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（合格）保亭教育局" sheetId="1" r:id="rId1"/>
  </sheets>
  <definedNames/>
  <calcPr fullCalcOnLoad="1"/>
</workbook>
</file>

<file path=xl/sharedStrings.xml><?xml version="1.0" encoding="utf-8"?>
<sst xmlns="http://schemas.openxmlformats.org/spreadsheetml/2006/main" count="3786" uniqueCount="27">
  <si>
    <t>保亭县2021年中小学幼儿园教师及医务人员招聘资格      初审通过人员名单</t>
  </si>
  <si>
    <t>序号</t>
  </si>
  <si>
    <t>报考号</t>
  </si>
  <si>
    <t>报考岗位</t>
  </si>
  <si>
    <t>姓名</t>
  </si>
  <si>
    <t>性别</t>
  </si>
  <si>
    <t>0101_高中政治教师</t>
  </si>
  <si>
    <t>0102_高中数学教师</t>
  </si>
  <si>
    <t>0103_高中英语教师</t>
  </si>
  <si>
    <t>0104_高中体育教师</t>
  </si>
  <si>
    <t>0105_高中生物教师</t>
  </si>
  <si>
    <t>0106_高中历史教师</t>
  </si>
  <si>
    <t>0107_高中地理教师</t>
  </si>
  <si>
    <t>0201_小学语文教师（全国）</t>
  </si>
  <si>
    <t>0202_小学语文教师（海南）</t>
  </si>
  <si>
    <t>0203_小学数学教师（全国）</t>
  </si>
  <si>
    <t>0204_小学数学教师（海南）</t>
  </si>
  <si>
    <t>0205_小学英语教师（全国）</t>
  </si>
  <si>
    <t>0206_小学英语教师（海南）</t>
  </si>
  <si>
    <t>0207_小学信息技术教师</t>
  </si>
  <si>
    <t>0208_小学体育教师</t>
  </si>
  <si>
    <t>0209_小学美术教师</t>
  </si>
  <si>
    <t>0210_小学音乐教师</t>
  </si>
  <si>
    <t>0301_学前教育（全国）</t>
  </si>
  <si>
    <t>0302_学前教育（海南）</t>
  </si>
  <si>
    <t>0303_医务人员</t>
  </si>
  <si>
    <t>0402_音乐教师2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</si>
</sst>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82"/>
  <sheetViews>
    <sheetView tabSelected="1" workbookViewId="0" topLeftCell="A1">
      <selection activeCell="A3" sqref="A3:IV3"/>
    </sheetView>
  </sheetViews>
  <sheetFormatPr defaultColWidth="9.00390625" defaultRowHeight="30" customHeight="1"/>
  <cols>
    <col min="1" max="1" width="5.8515625" style="2" customWidth="1"/>
    <col min="2" max="2" width="26.00390625" style="2" customWidth="1"/>
    <col min="3" max="3" width="26.8515625" style="2" customWidth="1"/>
    <col min="4" max="16384" width="9.00390625" style="2" customWidth="1"/>
  </cols>
  <sheetData>
    <row r="1" spans="1:5" ht="48" customHeight="1">
      <c r="A1" s="3" t="s">
        <v>0</v>
      </c>
      <c r="B1" s="4"/>
      <c r="C1" s="4"/>
      <c r="D1" s="4"/>
      <c r="E1" s="4"/>
    </row>
    <row r="2" spans="1:5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0" customHeight="1">
      <c r="A3" s="6">
        <v>1</v>
      </c>
      <c r="B3" s="7" t="str">
        <f>"29802021050908240580510"</f>
        <v>29802021050908240580510</v>
      </c>
      <c r="C3" s="7" t="s">
        <v>6</v>
      </c>
      <c r="D3" s="7" t="str">
        <f>"冯吉"</f>
        <v>冯吉</v>
      </c>
      <c r="E3" s="7" t="str">
        <f>"男"</f>
        <v>男</v>
      </c>
    </row>
    <row r="4" spans="1:5" ht="30" customHeight="1">
      <c r="A4" s="6">
        <v>2</v>
      </c>
      <c r="B4" s="7" t="str">
        <f>"29802021050909401980623"</f>
        <v>29802021050909401980623</v>
      </c>
      <c r="C4" s="7" t="s">
        <v>6</v>
      </c>
      <c r="D4" s="7" t="str">
        <f>"陈石养"</f>
        <v>陈石养</v>
      </c>
      <c r="E4" s="7" t="str">
        <f aca="true" t="shared" si="0" ref="E4:E17">"女"</f>
        <v>女</v>
      </c>
    </row>
    <row r="5" spans="1:5" ht="30" customHeight="1">
      <c r="A5" s="6">
        <v>3</v>
      </c>
      <c r="B5" s="7" t="str">
        <f>"29802021050913260681042"</f>
        <v>29802021050913260681042</v>
      </c>
      <c r="C5" s="7" t="s">
        <v>6</v>
      </c>
      <c r="D5" s="7" t="str">
        <f>"李美桂"</f>
        <v>李美桂</v>
      </c>
      <c r="E5" s="7" t="str">
        <f t="shared" si="0"/>
        <v>女</v>
      </c>
    </row>
    <row r="6" spans="1:5" ht="30" customHeight="1">
      <c r="A6" s="6">
        <v>4</v>
      </c>
      <c r="B6" s="7" t="str">
        <f>"29802021050917312881482"</f>
        <v>29802021050917312881482</v>
      </c>
      <c r="C6" s="7" t="s">
        <v>6</v>
      </c>
      <c r="D6" s="7" t="str">
        <f>"王春萍"</f>
        <v>王春萍</v>
      </c>
      <c r="E6" s="7" t="str">
        <f t="shared" si="0"/>
        <v>女</v>
      </c>
    </row>
    <row r="7" spans="1:5" ht="30" customHeight="1">
      <c r="A7" s="6">
        <v>5</v>
      </c>
      <c r="B7" s="7" t="str">
        <f>"29802021050920161081787"</f>
        <v>29802021050920161081787</v>
      </c>
      <c r="C7" s="7" t="s">
        <v>6</v>
      </c>
      <c r="D7" s="7" t="str">
        <f>"吴慧"</f>
        <v>吴慧</v>
      </c>
      <c r="E7" s="7" t="str">
        <f t="shared" si="0"/>
        <v>女</v>
      </c>
    </row>
    <row r="8" spans="1:5" ht="30" customHeight="1">
      <c r="A8" s="6">
        <v>6</v>
      </c>
      <c r="B8" s="7" t="str">
        <f>"29802021050920560181888"</f>
        <v>29802021050920560181888</v>
      </c>
      <c r="C8" s="7" t="s">
        <v>6</v>
      </c>
      <c r="D8" s="7" t="str">
        <f>"文丽丽"</f>
        <v>文丽丽</v>
      </c>
      <c r="E8" s="7" t="str">
        <f t="shared" si="0"/>
        <v>女</v>
      </c>
    </row>
    <row r="9" spans="1:5" ht="30" customHeight="1">
      <c r="A9" s="6">
        <v>7</v>
      </c>
      <c r="B9" s="7" t="str">
        <f>"29802021050921120481920"</f>
        <v>29802021050921120481920</v>
      </c>
      <c r="C9" s="7" t="s">
        <v>6</v>
      </c>
      <c r="D9" s="7" t="str">
        <f>"陈欣"</f>
        <v>陈欣</v>
      </c>
      <c r="E9" s="7" t="str">
        <f t="shared" si="0"/>
        <v>女</v>
      </c>
    </row>
    <row r="10" spans="1:5" ht="30" customHeight="1">
      <c r="A10" s="6">
        <v>8</v>
      </c>
      <c r="B10" s="7" t="str">
        <f>"29802021050921405982002"</f>
        <v>29802021050921405982002</v>
      </c>
      <c r="C10" s="7" t="s">
        <v>6</v>
      </c>
      <c r="D10" s="7" t="str">
        <f>"曾来南"</f>
        <v>曾来南</v>
      </c>
      <c r="E10" s="7" t="str">
        <f t="shared" si="0"/>
        <v>女</v>
      </c>
    </row>
    <row r="11" spans="1:5" ht="30" customHeight="1">
      <c r="A11" s="6">
        <v>9</v>
      </c>
      <c r="B11" s="7" t="str">
        <f>"29802021051001005582319"</f>
        <v>29802021051001005582319</v>
      </c>
      <c r="C11" s="7" t="s">
        <v>6</v>
      </c>
      <c r="D11" s="7" t="str">
        <f>"王俊"</f>
        <v>王俊</v>
      </c>
      <c r="E11" s="7" t="str">
        <f t="shared" si="0"/>
        <v>女</v>
      </c>
    </row>
    <row r="12" spans="1:5" ht="30" customHeight="1">
      <c r="A12" s="6">
        <v>10</v>
      </c>
      <c r="B12" s="7" t="str">
        <f>"29802021051007492382376"</f>
        <v>29802021051007492382376</v>
      </c>
      <c r="C12" s="7" t="s">
        <v>6</v>
      </c>
      <c r="D12" s="7" t="str">
        <f>"廖彩云"</f>
        <v>廖彩云</v>
      </c>
      <c r="E12" s="7" t="str">
        <f t="shared" si="0"/>
        <v>女</v>
      </c>
    </row>
    <row r="13" spans="1:5" ht="30" customHeight="1">
      <c r="A13" s="6">
        <v>11</v>
      </c>
      <c r="B13" s="7" t="str">
        <f>"29802021051008102882420"</f>
        <v>29802021051008102882420</v>
      </c>
      <c r="C13" s="7" t="s">
        <v>6</v>
      </c>
      <c r="D13" s="7" t="str">
        <f>"唐薇"</f>
        <v>唐薇</v>
      </c>
      <c r="E13" s="7" t="str">
        <f t="shared" si="0"/>
        <v>女</v>
      </c>
    </row>
    <row r="14" spans="1:5" ht="30" customHeight="1">
      <c r="A14" s="6">
        <v>12</v>
      </c>
      <c r="B14" s="7" t="str">
        <f>"29802021051008265482488"</f>
        <v>29802021051008265482488</v>
      </c>
      <c r="C14" s="7" t="s">
        <v>6</v>
      </c>
      <c r="D14" s="7" t="str">
        <f>"孙燕娜"</f>
        <v>孙燕娜</v>
      </c>
      <c r="E14" s="7" t="str">
        <f t="shared" si="0"/>
        <v>女</v>
      </c>
    </row>
    <row r="15" spans="1:5" ht="30" customHeight="1">
      <c r="A15" s="6">
        <v>13</v>
      </c>
      <c r="B15" s="7" t="str">
        <f>"29802021051008331382524"</f>
        <v>29802021051008331382524</v>
      </c>
      <c r="C15" s="7" t="s">
        <v>6</v>
      </c>
      <c r="D15" s="7" t="str">
        <f>"王美"</f>
        <v>王美</v>
      </c>
      <c r="E15" s="7" t="str">
        <f t="shared" si="0"/>
        <v>女</v>
      </c>
    </row>
    <row r="16" spans="1:5" ht="30" customHeight="1">
      <c r="A16" s="6">
        <v>14</v>
      </c>
      <c r="B16" s="7" t="str">
        <f>"29802021051009174182943"</f>
        <v>29802021051009174182943</v>
      </c>
      <c r="C16" s="7" t="s">
        <v>6</v>
      </c>
      <c r="D16" s="7" t="str">
        <f>"谢浩玲"</f>
        <v>谢浩玲</v>
      </c>
      <c r="E16" s="7" t="str">
        <f t="shared" si="0"/>
        <v>女</v>
      </c>
    </row>
    <row r="17" spans="1:5" ht="30" customHeight="1">
      <c r="A17" s="6">
        <v>15</v>
      </c>
      <c r="B17" s="7" t="str">
        <f>"29802021051009392983188"</f>
        <v>29802021051009392983188</v>
      </c>
      <c r="C17" s="7" t="s">
        <v>6</v>
      </c>
      <c r="D17" s="7" t="str">
        <f>"王景荟"</f>
        <v>王景荟</v>
      </c>
      <c r="E17" s="7" t="str">
        <f t="shared" si="0"/>
        <v>女</v>
      </c>
    </row>
    <row r="18" spans="1:5" ht="30" customHeight="1">
      <c r="A18" s="6">
        <v>16</v>
      </c>
      <c r="B18" s="7" t="str">
        <f>"29802021051010171483627"</f>
        <v>29802021051010171483627</v>
      </c>
      <c r="C18" s="7" t="s">
        <v>6</v>
      </c>
      <c r="D18" s="7" t="str">
        <f>"王超"</f>
        <v>王超</v>
      </c>
      <c r="E18" s="7" t="str">
        <f>"男"</f>
        <v>男</v>
      </c>
    </row>
    <row r="19" spans="1:5" ht="30" customHeight="1">
      <c r="A19" s="6">
        <v>17</v>
      </c>
      <c r="B19" s="7" t="str">
        <f>"29802021051010234483725"</f>
        <v>29802021051010234483725</v>
      </c>
      <c r="C19" s="7" t="s">
        <v>6</v>
      </c>
      <c r="D19" s="7" t="str">
        <f>"凡文菁"</f>
        <v>凡文菁</v>
      </c>
      <c r="E19" s="7" t="str">
        <f>"女"</f>
        <v>女</v>
      </c>
    </row>
    <row r="20" spans="1:5" ht="30" customHeight="1">
      <c r="A20" s="6">
        <v>18</v>
      </c>
      <c r="B20" s="7" t="str">
        <f>"29802021051010565884088"</f>
        <v>29802021051010565884088</v>
      </c>
      <c r="C20" s="7" t="s">
        <v>6</v>
      </c>
      <c r="D20" s="7" t="str">
        <f>"甘金婷"</f>
        <v>甘金婷</v>
      </c>
      <c r="E20" s="7" t="str">
        <f>"女"</f>
        <v>女</v>
      </c>
    </row>
    <row r="21" spans="1:5" ht="30" customHeight="1">
      <c r="A21" s="6">
        <v>19</v>
      </c>
      <c r="B21" s="7" t="str">
        <f>"29802021051010591684111"</f>
        <v>29802021051010591684111</v>
      </c>
      <c r="C21" s="7" t="s">
        <v>6</v>
      </c>
      <c r="D21" s="7" t="str">
        <f>"黄晓雯"</f>
        <v>黄晓雯</v>
      </c>
      <c r="E21" s="7" t="str">
        <f>"女"</f>
        <v>女</v>
      </c>
    </row>
    <row r="22" spans="1:5" ht="30" customHeight="1">
      <c r="A22" s="6">
        <v>20</v>
      </c>
      <c r="B22" s="7" t="str">
        <f>"29802021051011000784122"</f>
        <v>29802021051011000784122</v>
      </c>
      <c r="C22" s="7" t="s">
        <v>6</v>
      </c>
      <c r="D22" s="7" t="str">
        <f>"吴乾弘"</f>
        <v>吴乾弘</v>
      </c>
      <c r="E22" s="7" t="str">
        <f>"男"</f>
        <v>男</v>
      </c>
    </row>
    <row r="23" spans="1:5" ht="30" customHeight="1">
      <c r="A23" s="6">
        <v>21</v>
      </c>
      <c r="B23" s="7" t="str">
        <f>"29802021051011030084153"</f>
        <v>29802021051011030084153</v>
      </c>
      <c r="C23" s="7" t="s">
        <v>6</v>
      </c>
      <c r="D23" s="7" t="str">
        <f>"文丽珍"</f>
        <v>文丽珍</v>
      </c>
      <c r="E23" s="7" t="str">
        <f>"女"</f>
        <v>女</v>
      </c>
    </row>
    <row r="24" spans="1:5" ht="30" customHeight="1">
      <c r="A24" s="6">
        <v>22</v>
      </c>
      <c r="B24" s="7" t="str">
        <f>"29802021051011305484391"</f>
        <v>29802021051011305484391</v>
      </c>
      <c r="C24" s="7" t="s">
        <v>6</v>
      </c>
      <c r="D24" s="7" t="str">
        <f>"陈莉香"</f>
        <v>陈莉香</v>
      </c>
      <c r="E24" s="7" t="str">
        <f>"女"</f>
        <v>女</v>
      </c>
    </row>
    <row r="25" spans="1:5" ht="30" customHeight="1">
      <c r="A25" s="6">
        <v>23</v>
      </c>
      <c r="B25" s="7" t="str">
        <f>"29802021051011400784463"</f>
        <v>29802021051011400784463</v>
      </c>
      <c r="C25" s="7" t="s">
        <v>6</v>
      </c>
      <c r="D25" s="7" t="str">
        <f>"吴文谋"</f>
        <v>吴文谋</v>
      </c>
      <c r="E25" s="7" t="str">
        <f>"男"</f>
        <v>男</v>
      </c>
    </row>
    <row r="26" spans="1:5" ht="30" customHeight="1">
      <c r="A26" s="6">
        <v>24</v>
      </c>
      <c r="B26" s="7" t="str">
        <f>"29802021051013081084964"</f>
        <v>29802021051013081084964</v>
      </c>
      <c r="C26" s="7" t="s">
        <v>6</v>
      </c>
      <c r="D26" s="7" t="str">
        <f>"林小女"</f>
        <v>林小女</v>
      </c>
      <c r="E26" s="7" t="str">
        <f aca="true" t="shared" si="1" ref="E26:E45">"女"</f>
        <v>女</v>
      </c>
    </row>
    <row r="27" spans="1:5" ht="30" customHeight="1">
      <c r="A27" s="6">
        <v>25</v>
      </c>
      <c r="B27" s="7" t="str">
        <f>"29802021051013100984971"</f>
        <v>29802021051013100984971</v>
      </c>
      <c r="C27" s="7" t="s">
        <v>6</v>
      </c>
      <c r="D27" s="7" t="str">
        <f>"李小林"</f>
        <v>李小林</v>
      </c>
      <c r="E27" s="7" t="str">
        <f t="shared" si="1"/>
        <v>女</v>
      </c>
    </row>
    <row r="28" spans="1:5" ht="30" customHeight="1">
      <c r="A28" s="6">
        <v>26</v>
      </c>
      <c r="B28" s="7" t="str">
        <f>"29802021051013113284980"</f>
        <v>29802021051013113284980</v>
      </c>
      <c r="C28" s="7" t="s">
        <v>6</v>
      </c>
      <c r="D28" s="7" t="str">
        <f>"王健汝"</f>
        <v>王健汝</v>
      </c>
      <c r="E28" s="7" t="str">
        <f t="shared" si="1"/>
        <v>女</v>
      </c>
    </row>
    <row r="29" spans="1:5" ht="30" customHeight="1">
      <c r="A29" s="6">
        <v>27</v>
      </c>
      <c r="B29" s="7" t="str">
        <f>"29802021051015005785505"</f>
        <v>29802021051015005785505</v>
      </c>
      <c r="C29" s="7" t="s">
        <v>6</v>
      </c>
      <c r="D29" s="7" t="str">
        <f>"李学莉"</f>
        <v>李学莉</v>
      </c>
      <c r="E29" s="7" t="str">
        <f t="shared" si="1"/>
        <v>女</v>
      </c>
    </row>
    <row r="30" spans="1:5" ht="30" customHeight="1">
      <c r="A30" s="6">
        <v>28</v>
      </c>
      <c r="B30" s="7" t="str">
        <f>"29802021051015514685877"</f>
        <v>29802021051015514685877</v>
      </c>
      <c r="C30" s="7" t="s">
        <v>6</v>
      </c>
      <c r="D30" s="7" t="str">
        <f>"周金叶"</f>
        <v>周金叶</v>
      </c>
      <c r="E30" s="7" t="str">
        <f t="shared" si="1"/>
        <v>女</v>
      </c>
    </row>
    <row r="31" spans="1:5" ht="30" customHeight="1">
      <c r="A31" s="6">
        <v>29</v>
      </c>
      <c r="B31" s="7" t="str">
        <f>"29802021051017081286396"</f>
        <v>29802021051017081286396</v>
      </c>
      <c r="C31" s="7" t="s">
        <v>6</v>
      </c>
      <c r="D31" s="7" t="str">
        <f>"杨少花"</f>
        <v>杨少花</v>
      </c>
      <c r="E31" s="7" t="str">
        <f t="shared" si="1"/>
        <v>女</v>
      </c>
    </row>
    <row r="32" spans="1:5" ht="30" customHeight="1">
      <c r="A32" s="6">
        <v>30</v>
      </c>
      <c r="B32" s="7" t="str">
        <f>"29802021051017230486482"</f>
        <v>29802021051017230486482</v>
      </c>
      <c r="C32" s="7" t="s">
        <v>6</v>
      </c>
      <c r="D32" s="7" t="str">
        <f>"吴泽姣"</f>
        <v>吴泽姣</v>
      </c>
      <c r="E32" s="7" t="str">
        <f t="shared" si="1"/>
        <v>女</v>
      </c>
    </row>
    <row r="33" spans="1:5" ht="30" customHeight="1">
      <c r="A33" s="6">
        <v>31</v>
      </c>
      <c r="B33" s="7" t="str">
        <f>"29802021051017250886489"</f>
        <v>29802021051017250886489</v>
      </c>
      <c r="C33" s="7" t="s">
        <v>6</v>
      </c>
      <c r="D33" s="7" t="str">
        <f>"林永教"</f>
        <v>林永教</v>
      </c>
      <c r="E33" s="7" t="str">
        <f t="shared" si="1"/>
        <v>女</v>
      </c>
    </row>
    <row r="34" spans="1:5" ht="30" customHeight="1">
      <c r="A34" s="6">
        <v>32</v>
      </c>
      <c r="B34" s="7" t="str">
        <f>"29802021051018244486766"</f>
        <v>29802021051018244486766</v>
      </c>
      <c r="C34" s="7" t="s">
        <v>6</v>
      </c>
      <c r="D34" s="7" t="str">
        <f>"温小英"</f>
        <v>温小英</v>
      </c>
      <c r="E34" s="7" t="str">
        <f t="shared" si="1"/>
        <v>女</v>
      </c>
    </row>
    <row r="35" spans="1:5" ht="30" customHeight="1">
      <c r="A35" s="6">
        <v>33</v>
      </c>
      <c r="B35" s="7" t="str">
        <f>"29802021051018305486795"</f>
        <v>29802021051018305486795</v>
      </c>
      <c r="C35" s="7" t="s">
        <v>6</v>
      </c>
      <c r="D35" s="7" t="str">
        <f>"陈春娇"</f>
        <v>陈春娇</v>
      </c>
      <c r="E35" s="7" t="str">
        <f t="shared" si="1"/>
        <v>女</v>
      </c>
    </row>
    <row r="36" spans="1:5" ht="30" customHeight="1">
      <c r="A36" s="6">
        <v>34</v>
      </c>
      <c r="B36" s="7" t="str">
        <f>"29802021051019184787003"</f>
        <v>29802021051019184787003</v>
      </c>
      <c r="C36" s="7" t="s">
        <v>6</v>
      </c>
      <c r="D36" s="7" t="str">
        <f>"何子曾"</f>
        <v>何子曾</v>
      </c>
      <c r="E36" s="7" t="str">
        <f t="shared" si="1"/>
        <v>女</v>
      </c>
    </row>
    <row r="37" spans="1:5" ht="30" customHeight="1">
      <c r="A37" s="6">
        <v>35</v>
      </c>
      <c r="B37" s="7" t="str">
        <f>"29802021051019263887028"</f>
        <v>29802021051019263887028</v>
      </c>
      <c r="C37" s="7" t="s">
        <v>6</v>
      </c>
      <c r="D37" s="7" t="str">
        <f>"林永琪"</f>
        <v>林永琪</v>
      </c>
      <c r="E37" s="7" t="str">
        <f t="shared" si="1"/>
        <v>女</v>
      </c>
    </row>
    <row r="38" spans="1:5" ht="30" customHeight="1">
      <c r="A38" s="6">
        <v>36</v>
      </c>
      <c r="B38" s="7" t="str">
        <f>"29802021051019383487072"</f>
        <v>29802021051019383487072</v>
      </c>
      <c r="C38" s="7" t="s">
        <v>6</v>
      </c>
      <c r="D38" s="7" t="str">
        <f>"戴秀芬"</f>
        <v>戴秀芬</v>
      </c>
      <c r="E38" s="7" t="str">
        <f t="shared" si="1"/>
        <v>女</v>
      </c>
    </row>
    <row r="39" spans="1:5" ht="30" customHeight="1">
      <c r="A39" s="6">
        <v>37</v>
      </c>
      <c r="B39" s="7" t="str">
        <f>"29802021051019384287073"</f>
        <v>29802021051019384287073</v>
      </c>
      <c r="C39" s="7" t="s">
        <v>6</v>
      </c>
      <c r="D39" s="7" t="str">
        <f>"林秋菊"</f>
        <v>林秋菊</v>
      </c>
      <c r="E39" s="7" t="str">
        <f t="shared" si="1"/>
        <v>女</v>
      </c>
    </row>
    <row r="40" spans="1:5" ht="30" customHeight="1">
      <c r="A40" s="6">
        <v>38</v>
      </c>
      <c r="B40" s="7" t="str">
        <f>"29802021051020171287265"</f>
        <v>29802021051020171287265</v>
      </c>
      <c r="C40" s="7" t="s">
        <v>6</v>
      </c>
      <c r="D40" s="7" t="str">
        <f>"张海虹"</f>
        <v>张海虹</v>
      </c>
      <c r="E40" s="7" t="str">
        <f t="shared" si="1"/>
        <v>女</v>
      </c>
    </row>
    <row r="41" spans="1:5" ht="30" customHeight="1">
      <c r="A41" s="6">
        <v>39</v>
      </c>
      <c r="B41" s="7" t="str">
        <f>"29802021051020264187306"</f>
        <v>29802021051020264187306</v>
      </c>
      <c r="C41" s="7" t="s">
        <v>6</v>
      </c>
      <c r="D41" s="7" t="str">
        <f>"陈慧"</f>
        <v>陈慧</v>
      </c>
      <c r="E41" s="7" t="str">
        <f t="shared" si="1"/>
        <v>女</v>
      </c>
    </row>
    <row r="42" spans="1:5" ht="30" customHeight="1">
      <c r="A42" s="6">
        <v>40</v>
      </c>
      <c r="B42" s="7" t="str">
        <f>"29802021051021291587554"</f>
        <v>29802021051021291587554</v>
      </c>
      <c r="C42" s="7" t="s">
        <v>6</v>
      </c>
      <c r="D42" s="7" t="str">
        <f>"符定妹"</f>
        <v>符定妹</v>
      </c>
      <c r="E42" s="7" t="str">
        <f t="shared" si="1"/>
        <v>女</v>
      </c>
    </row>
    <row r="43" spans="1:5" ht="30" customHeight="1">
      <c r="A43" s="6">
        <v>41</v>
      </c>
      <c r="B43" s="7" t="str">
        <f>"29802021051021331287582"</f>
        <v>29802021051021331287582</v>
      </c>
      <c r="C43" s="7" t="s">
        <v>6</v>
      </c>
      <c r="D43" s="7" t="str">
        <f>"李美带"</f>
        <v>李美带</v>
      </c>
      <c r="E43" s="7" t="str">
        <f t="shared" si="1"/>
        <v>女</v>
      </c>
    </row>
    <row r="44" spans="1:5" ht="30" customHeight="1">
      <c r="A44" s="6">
        <v>42</v>
      </c>
      <c r="B44" s="7" t="str">
        <f>"29802021051021414487633"</f>
        <v>29802021051021414487633</v>
      </c>
      <c r="C44" s="7" t="s">
        <v>6</v>
      </c>
      <c r="D44" s="7" t="str">
        <f>"唐小花"</f>
        <v>唐小花</v>
      </c>
      <c r="E44" s="7" t="str">
        <f t="shared" si="1"/>
        <v>女</v>
      </c>
    </row>
    <row r="45" spans="1:5" ht="30" customHeight="1">
      <c r="A45" s="6">
        <v>43</v>
      </c>
      <c r="B45" s="7" t="str">
        <f>"29802021051022152687795"</f>
        <v>29802021051022152687795</v>
      </c>
      <c r="C45" s="7" t="s">
        <v>6</v>
      </c>
      <c r="D45" s="7" t="str">
        <f>"邓晓敏"</f>
        <v>邓晓敏</v>
      </c>
      <c r="E45" s="7" t="str">
        <f t="shared" si="1"/>
        <v>女</v>
      </c>
    </row>
    <row r="46" spans="1:5" ht="30" customHeight="1">
      <c r="A46" s="6">
        <v>44</v>
      </c>
      <c r="B46" s="7" t="str">
        <f>"29802021051022262287847"</f>
        <v>29802021051022262287847</v>
      </c>
      <c r="C46" s="7" t="s">
        <v>6</v>
      </c>
      <c r="D46" s="7" t="str">
        <f>"王优"</f>
        <v>王优</v>
      </c>
      <c r="E46" s="7" t="str">
        <f>"男"</f>
        <v>男</v>
      </c>
    </row>
    <row r="47" spans="1:5" ht="30" customHeight="1">
      <c r="A47" s="6">
        <v>45</v>
      </c>
      <c r="B47" s="7" t="str">
        <f>"29802021051022381587889"</f>
        <v>29802021051022381587889</v>
      </c>
      <c r="C47" s="7" t="s">
        <v>6</v>
      </c>
      <c r="D47" s="7" t="str">
        <f>"毛泽秋"</f>
        <v>毛泽秋</v>
      </c>
      <c r="E47" s="7" t="str">
        <f aca="true" t="shared" si="2" ref="E47:E79">"女"</f>
        <v>女</v>
      </c>
    </row>
    <row r="48" spans="1:5" ht="30" customHeight="1">
      <c r="A48" s="6">
        <v>46</v>
      </c>
      <c r="B48" s="7" t="str">
        <f>"29802021051022521287942"</f>
        <v>29802021051022521287942</v>
      </c>
      <c r="C48" s="7" t="s">
        <v>6</v>
      </c>
      <c r="D48" s="7" t="str">
        <f>" 张燕"</f>
        <v> 张燕</v>
      </c>
      <c r="E48" s="7" t="str">
        <f t="shared" si="2"/>
        <v>女</v>
      </c>
    </row>
    <row r="49" spans="1:5" ht="30" customHeight="1">
      <c r="A49" s="6">
        <v>47</v>
      </c>
      <c r="B49" s="7" t="str">
        <f>"29802021051022544087950"</f>
        <v>29802021051022544087950</v>
      </c>
      <c r="C49" s="7" t="s">
        <v>6</v>
      </c>
      <c r="D49" s="7" t="str">
        <f>"周舟"</f>
        <v>周舟</v>
      </c>
      <c r="E49" s="7" t="str">
        <f t="shared" si="2"/>
        <v>女</v>
      </c>
    </row>
    <row r="50" spans="1:5" ht="30" customHeight="1">
      <c r="A50" s="6">
        <v>48</v>
      </c>
      <c r="B50" s="7" t="str">
        <f>"29802021051023333088064"</f>
        <v>29802021051023333088064</v>
      </c>
      <c r="C50" s="7" t="s">
        <v>6</v>
      </c>
      <c r="D50" s="7" t="str">
        <f>"林琪"</f>
        <v>林琪</v>
      </c>
      <c r="E50" s="7" t="str">
        <f t="shared" si="2"/>
        <v>女</v>
      </c>
    </row>
    <row r="51" spans="1:5" ht="30" customHeight="1">
      <c r="A51" s="6">
        <v>49</v>
      </c>
      <c r="B51" s="7" t="str">
        <f>"29802021051108534788373"</f>
        <v>29802021051108534788373</v>
      </c>
      <c r="C51" s="7" t="s">
        <v>6</v>
      </c>
      <c r="D51" s="7" t="str">
        <f>"徐蕾"</f>
        <v>徐蕾</v>
      </c>
      <c r="E51" s="7" t="str">
        <f t="shared" si="2"/>
        <v>女</v>
      </c>
    </row>
    <row r="52" spans="1:5" ht="30" customHeight="1">
      <c r="A52" s="6">
        <v>50</v>
      </c>
      <c r="B52" s="7" t="str">
        <f>"29802021051108551188380"</f>
        <v>29802021051108551188380</v>
      </c>
      <c r="C52" s="7" t="s">
        <v>6</v>
      </c>
      <c r="D52" s="7" t="str">
        <f>"苏永丽"</f>
        <v>苏永丽</v>
      </c>
      <c r="E52" s="7" t="str">
        <f t="shared" si="2"/>
        <v>女</v>
      </c>
    </row>
    <row r="53" spans="1:5" ht="30" customHeight="1">
      <c r="A53" s="6">
        <v>51</v>
      </c>
      <c r="B53" s="7" t="str">
        <f>"29802021051108551588381"</f>
        <v>29802021051108551588381</v>
      </c>
      <c r="C53" s="7" t="s">
        <v>6</v>
      </c>
      <c r="D53" s="7" t="str">
        <f>"朱青宇"</f>
        <v>朱青宇</v>
      </c>
      <c r="E53" s="7" t="str">
        <f t="shared" si="2"/>
        <v>女</v>
      </c>
    </row>
    <row r="54" spans="1:5" ht="30" customHeight="1">
      <c r="A54" s="6">
        <v>52</v>
      </c>
      <c r="B54" s="7" t="str">
        <f>"29802021051109065988442"</f>
        <v>29802021051109065988442</v>
      </c>
      <c r="C54" s="7" t="s">
        <v>6</v>
      </c>
      <c r="D54" s="7" t="str">
        <f>"黄蕾"</f>
        <v>黄蕾</v>
      </c>
      <c r="E54" s="7" t="str">
        <f t="shared" si="2"/>
        <v>女</v>
      </c>
    </row>
    <row r="55" spans="1:5" ht="30" customHeight="1">
      <c r="A55" s="6">
        <v>53</v>
      </c>
      <c r="B55" s="7" t="str">
        <f>"29802021051109073388448"</f>
        <v>29802021051109073388448</v>
      </c>
      <c r="C55" s="7" t="s">
        <v>6</v>
      </c>
      <c r="D55" s="7" t="str">
        <f>"王瑞"</f>
        <v>王瑞</v>
      </c>
      <c r="E55" s="7" t="str">
        <f t="shared" si="2"/>
        <v>女</v>
      </c>
    </row>
    <row r="56" spans="1:5" ht="30" customHeight="1">
      <c r="A56" s="6">
        <v>54</v>
      </c>
      <c r="B56" s="7" t="str">
        <f>"29802021051109255688532"</f>
        <v>29802021051109255688532</v>
      </c>
      <c r="C56" s="7" t="s">
        <v>6</v>
      </c>
      <c r="D56" s="7" t="str">
        <f>"陈志美"</f>
        <v>陈志美</v>
      </c>
      <c r="E56" s="7" t="str">
        <f t="shared" si="2"/>
        <v>女</v>
      </c>
    </row>
    <row r="57" spans="1:5" ht="30" customHeight="1">
      <c r="A57" s="6">
        <v>55</v>
      </c>
      <c r="B57" s="7" t="str">
        <f>"29802021051109321188553"</f>
        <v>29802021051109321188553</v>
      </c>
      <c r="C57" s="7" t="s">
        <v>6</v>
      </c>
      <c r="D57" s="7" t="str">
        <f>"梁雨君"</f>
        <v>梁雨君</v>
      </c>
      <c r="E57" s="7" t="str">
        <f t="shared" si="2"/>
        <v>女</v>
      </c>
    </row>
    <row r="58" spans="1:5" ht="30" customHeight="1">
      <c r="A58" s="6">
        <v>56</v>
      </c>
      <c r="B58" s="7" t="str">
        <f>"29802021051109555088675"</f>
        <v>29802021051109555088675</v>
      </c>
      <c r="C58" s="7" t="s">
        <v>6</v>
      </c>
      <c r="D58" s="7" t="str">
        <f>"陈秋萍"</f>
        <v>陈秋萍</v>
      </c>
      <c r="E58" s="7" t="str">
        <f t="shared" si="2"/>
        <v>女</v>
      </c>
    </row>
    <row r="59" spans="1:5" ht="30" customHeight="1">
      <c r="A59" s="6">
        <v>57</v>
      </c>
      <c r="B59" s="7" t="str">
        <f>"29802021051110021388701"</f>
        <v>29802021051110021388701</v>
      </c>
      <c r="C59" s="7" t="s">
        <v>6</v>
      </c>
      <c r="D59" s="7" t="str">
        <f>"陈海芬"</f>
        <v>陈海芬</v>
      </c>
      <c r="E59" s="7" t="str">
        <f t="shared" si="2"/>
        <v>女</v>
      </c>
    </row>
    <row r="60" spans="1:5" ht="30" customHeight="1">
      <c r="A60" s="6">
        <v>58</v>
      </c>
      <c r="B60" s="7" t="str">
        <f>"29802021051110043188714"</f>
        <v>29802021051110043188714</v>
      </c>
      <c r="C60" s="7" t="s">
        <v>6</v>
      </c>
      <c r="D60" s="7" t="str">
        <f>"胡小燕"</f>
        <v>胡小燕</v>
      </c>
      <c r="E60" s="7" t="str">
        <f t="shared" si="2"/>
        <v>女</v>
      </c>
    </row>
    <row r="61" spans="1:5" ht="30" customHeight="1">
      <c r="A61" s="6">
        <v>59</v>
      </c>
      <c r="B61" s="7" t="str">
        <f>"29802021051110065688726"</f>
        <v>29802021051110065688726</v>
      </c>
      <c r="C61" s="7" t="s">
        <v>6</v>
      </c>
      <c r="D61" s="7" t="str">
        <f>"符丹丹"</f>
        <v>符丹丹</v>
      </c>
      <c r="E61" s="7" t="str">
        <f t="shared" si="2"/>
        <v>女</v>
      </c>
    </row>
    <row r="62" spans="1:5" ht="30" customHeight="1">
      <c r="A62" s="6">
        <v>60</v>
      </c>
      <c r="B62" s="7" t="str">
        <f>"29802021051110290088846"</f>
        <v>29802021051110290088846</v>
      </c>
      <c r="C62" s="7" t="s">
        <v>6</v>
      </c>
      <c r="D62" s="7" t="str">
        <f>"王能"</f>
        <v>王能</v>
      </c>
      <c r="E62" s="7" t="str">
        <f t="shared" si="2"/>
        <v>女</v>
      </c>
    </row>
    <row r="63" spans="1:5" ht="30" customHeight="1">
      <c r="A63" s="6">
        <v>61</v>
      </c>
      <c r="B63" s="7" t="str">
        <f>"29802021051110333088869"</f>
        <v>29802021051110333088869</v>
      </c>
      <c r="C63" s="7" t="s">
        <v>6</v>
      </c>
      <c r="D63" s="7" t="str">
        <f>"林春香"</f>
        <v>林春香</v>
      </c>
      <c r="E63" s="7" t="str">
        <f t="shared" si="2"/>
        <v>女</v>
      </c>
    </row>
    <row r="64" spans="1:5" ht="30" customHeight="1">
      <c r="A64" s="6">
        <v>62</v>
      </c>
      <c r="B64" s="7" t="str">
        <f>"29802021051110421688905"</f>
        <v>29802021051110421688905</v>
      </c>
      <c r="C64" s="7" t="s">
        <v>6</v>
      </c>
      <c r="D64" s="7" t="str">
        <f>"陈梅"</f>
        <v>陈梅</v>
      </c>
      <c r="E64" s="7" t="str">
        <f t="shared" si="2"/>
        <v>女</v>
      </c>
    </row>
    <row r="65" spans="1:5" ht="30" customHeight="1">
      <c r="A65" s="6">
        <v>63</v>
      </c>
      <c r="B65" s="7" t="str">
        <f>"29802021051110574688999"</f>
        <v>29802021051110574688999</v>
      </c>
      <c r="C65" s="7" t="s">
        <v>6</v>
      </c>
      <c r="D65" s="7" t="str">
        <f>"曾珍霞"</f>
        <v>曾珍霞</v>
      </c>
      <c r="E65" s="7" t="str">
        <f t="shared" si="2"/>
        <v>女</v>
      </c>
    </row>
    <row r="66" spans="1:5" ht="30" customHeight="1">
      <c r="A66" s="6">
        <v>64</v>
      </c>
      <c r="B66" s="7" t="str">
        <f>"29802021051110575989001"</f>
        <v>29802021051110575989001</v>
      </c>
      <c r="C66" s="7" t="s">
        <v>6</v>
      </c>
      <c r="D66" s="7" t="str">
        <f>"李海南"</f>
        <v>李海南</v>
      </c>
      <c r="E66" s="7" t="str">
        <f t="shared" si="2"/>
        <v>女</v>
      </c>
    </row>
    <row r="67" spans="1:5" ht="30" customHeight="1">
      <c r="A67" s="6">
        <v>65</v>
      </c>
      <c r="B67" s="7" t="str">
        <f>"29802021051111284589136"</f>
        <v>29802021051111284589136</v>
      </c>
      <c r="C67" s="7" t="s">
        <v>6</v>
      </c>
      <c r="D67" s="7" t="str">
        <f>"林晓芬"</f>
        <v>林晓芬</v>
      </c>
      <c r="E67" s="7" t="str">
        <f t="shared" si="2"/>
        <v>女</v>
      </c>
    </row>
    <row r="68" spans="1:5" ht="30" customHeight="1">
      <c r="A68" s="6">
        <v>66</v>
      </c>
      <c r="B68" s="7" t="str">
        <f>"29802021051111384289171"</f>
        <v>29802021051111384289171</v>
      </c>
      <c r="C68" s="7" t="s">
        <v>6</v>
      </c>
      <c r="D68" s="7" t="str">
        <f>"苏娜"</f>
        <v>苏娜</v>
      </c>
      <c r="E68" s="7" t="str">
        <f t="shared" si="2"/>
        <v>女</v>
      </c>
    </row>
    <row r="69" spans="1:5" ht="30" customHeight="1">
      <c r="A69" s="6">
        <v>67</v>
      </c>
      <c r="B69" s="7" t="str">
        <f>"29802021051111401989174"</f>
        <v>29802021051111401989174</v>
      </c>
      <c r="C69" s="7" t="s">
        <v>6</v>
      </c>
      <c r="D69" s="7" t="str">
        <f>"王卷佳"</f>
        <v>王卷佳</v>
      </c>
      <c r="E69" s="7" t="str">
        <f t="shared" si="2"/>
        <v>女</v>
      </c>
    </row>
    <row r="70" spans="1:5" ht="30" customHeight="1">
      <c r="A70" s="6">
        <v>68</v>
      </c>
      <c r="B70" s="7" t="str">
        <f>"29802021051112245489300"</f>
        <v>29802021051112245489300</v>
      </c>
      <c r="C70" s="7" t="s">
        <v>6</v>
      </c>
      <c r="D70" s="7" t="str">
        <f>"洪丽红"</f>
        <v>洪丽红</v>
      </c>
      <c r="E70" s="7" t="str">
        <f t="shared" si="2"/>
        <v>女</v>
      </c>
    </row>
    <row r="71" spans="1:5" ht="30" customHeight="1">
      <c r="A71" s="6">
        <v>69</v>
      </c>
      <c r="B71" s="7" t="str">
        <f>"29802021051115255489815"</f>
        <v>29802021051115255489815</v>
      </c>
      <c r="C71" s="7" t="s">
        <v>6</v>
      </c>
      <c r="D71" s="7" t="str">
        <f>"符尾女"</f>
        <v>符尾女</v>
      </c>
      <c r="E71" s="7" t="str">
        <f t="shared" si="2"/>
        <v>女</v>
      </c>
    </row>
    <row r="72" spans="1:5" ht="30" customHeight="1">
      <c r="A72" s="6">
        <v>70</v>
      </c>
      <c r="B72" s="7" t="str">
        <f>"29802021051115404489886"</f>
        <v>29802021051115404489886</v>
      </c>
      <c r="C72" s="7" t="s">
        <v>6</v>
      </c>
      <c r="D72" s="7" t="str">
        <f>"&amp;#160;谢福美"</f>
        <v>&amp;#160;谢福美</v>
      </c>
      <c r="E72" s="7" t="str">
        <f t="shared" si="2"/>
        <v>女</v>
      </c>
    </row>
    <row r="73" spans="1:5" ht="30" customHeight="1">
      <c r="A73" s="6">
        <v>71</v>
      </c>
      <c r="B73" s="7" t="str">
        <f>"29802021051116222790062"</f>
        <v>29802021051116222790062</v>
      </c>
      <c r="C73" s="7" t="s">
        <v>6</v>
      </c>
      <c r="D73" s="7" t="str">
        <f>"梁小燕"</f>
        <v>梁小燕</v>
      </c>
      <c r="E73" s="7" t="str">
        <f t="shared" si="2"/>
        <v>女</v>
      </c>
    </row>
    <row r="74" spans="1:5" ht="30" customHeight="1">
      <c r="A74" s="6">
        <v>72</v>
      </c>
      <c r="B74" s="7" t="str">
        <f>"29802021051117021490203"</f>
        <v>29802021051117021490203</v>
      </c>
      <c r="C74" s="7" t="s">
        <v>6</v>
      </c>
      <c r="D74" s="7" t="str">
        <f>"陈香池"</f>
        <v>陈香池</v>
      </c>
      <c r="E74" s="7" t="str">
        <f t="shared" si="2"/>
        <v>女</v>
      </c>
    </row>
    <row r="75" spans="1:5" ht="30" customHeight="1">
      <c r="A75" s="6">
        <v>73</v>
      </c>
      <c r="B75" s="7" t="str">
        <f>"29802021051118340890480"</f>
        <v>29802021051118340890480</v>
      </c>
      <c r="C75" s="7" t="s">
        <v>6</v>
      </c>
      <c r="D75" s="7" t="str">
        <f>"王静"</f>
        <v>王静</v>
      </c>
      <c r="E75" s="7" t="str">
        <f t="shared" si="2"/>
        <v>女</v>
      </c>
    </row>
    <row r="76" spans="1:5" ht="30" customHeight="1">
      <c r="A76" s="6">
        <v>74</v>
      </c>
      <c r="B76" s="7" t="str">
        <f>"29802021051119041290559"</f>
        <v>29802021051119041290559</v>
      </c>
      <c r="C76" s="7" t="s">
        <v>6</v>
      </c>
      <c r="D76" s="7" t="str">
        <f>"文章铭"</f>
        <v>文章铭</v>
      </c>
      <c r="E76" s="7" t="str">
        <f t="shared" si="2"/>
        <v>女</v>
      </c>
    </row>
    <row r="77" spans="1:5" ht="30" customHeight="1">
      <c r="A77" s="6">
        <v>75</v>
      </c>
      <c r="B77" s="7" t="str">
        <f>"29802021051119185690591"</f>
        <v>29802021051119185690591</v>
      </c>
      <c r="C77" s="7" t="s">
        <v>6</v>
      </c>
      <c r="D77" s="7" t="str">
        <f>"马玉礼"</f>
        <v>马玉礼</v>
      </c>
      <c r="E77" s="7" t="str">
        <f t="shared" si="2"/>
        <v>女</v>
      </c>
    </row>
    <row r="78" spans="1:5" ht="30" customHeight="1">
      <c r="A78" s="6">
        <v>76</v>
      </c>
      <c r="B78" s="7" t="str">
        <f>"29802021051120430490847"</f>
        <v>29802021051120430490847</v>
      </c>
      <c r="C78" s="7" t="s">
        <v>6</v>
      </c>
      <c r="D78" s="7" t="str">
        <f>"张雅婷"</f>
        <v>张雅婷</v>
      </c>
      <c r="E78" s="7" t="str">
        <f t="shared" si="2"/>
        <v>女</v>
      </c>
    </row>
    <row r="79" spans="1:5" ht="30" customHeight="1">
      <c r="A79" s="6">
        <v>77</v>
      </c>
      <c r="B79" s="7" t="str">
        <f>"29802021051121312890989"</f>
        <v>29802021051121312890989</v>
      </c>
      <c r="C79" s="7" t="s">
        <v>6</v>
      </c>
      <c r="D79" s="7" t="str">
        <f>"林莉"</f>
        <v>林莉</v>
      </c>
      <c r="E79" s="7" t="str">
        <f t="shared" si="2"/>
        <v>女</v>
      </c>
    </row>
    <row r="80" spans="1:5" ht="30" customHeight="1">
      <c r="A80" s="6">
        <v>78</v>
      </c>
      <c r="B80" s="7" t="str">
        <f>"29802021051121514891066"</f>
        <v>29802021051121514891066</v>
      </c>
      <c r="C80" s="7" t="s">
        <v>6</v>
      </c>
      <c r="D80" s="7" t="str">
        <f>"蔡兴浩"</f>
        <v>蔡兴浩</v>
      </c>
      <c r="E80" s="7" t="str">
        <f>"男"</f>
        <v>男</v>
      </c>
    </row>
    <row r="81" spans="1:5" ht="30" customHeight="1">
      <c r="A81" s="6">
        <v>79</v>
      </c>
      <c r="B81" s="7" t="str">
        <f>"29802021051121520491067"</f>
        <v>29802021051121520491067</v>
      </c>
      <c r="C81" s="7" t="s">
        <v>6</v>
      </c>
      <c r="D81" s="7" t="str">
        <f>"陈焕坤"</f>
        <v>陈焕坤</v>
      </c>
      <c r="E81" s="7" t="str">
        <f aca="true" t="shared" si="3" ref="E81:E109">"女"</f>
        <v>女</v>
      </c>
    </row>
    <row r="82" spans="1:5" ht="30" customHeight="1">
      <c r="A82" s="6">
        <v>80</v>
      </c>
      <c r="B82" s="7" t="str">
        <f>"29802021051122325791188"</f>
        <v>29802021051122325791188</v>
      </c>
      <c r="C82" s="7" t="s">
        <v>6</v>
      </c>
      <c r="D82" s="7" t="str">
        <f>"叶玉会"</f>
        <v>叶玉会</v>
      </c>
      <c r="E82" s="7" t="str">
        <f t="shared" si="3"/>
        <v>女</v>
      </c>
    </row>
    <row r="83" spans="1:5" ht="30" customHeight="1">
      <c r="A83" s="6">
        <v>81</v>
      </c>
      <c r="B83" s="7" t="str">
        <f>"29802021051205575991407"</f>
        <v>29802021051205575991407</v>
      </c>
      <c r="C83" s="7" t="s">
        <v>6</v>
      </c>
      <c r="D83" s="7" t="str">
        <f>"李秀慧"</f>
        <v>李秀慧</v>
      </c>
      <c r="E83" s="7" t="str">
        <f t="shared" si="3"/>
        <v>女</v>
      </c>
    </row>
    <row r="84" spans="1:5" ht="30" customHeight="1">
      <c r="A84" s="6">
        <v>82</v>
      </c>
      <c r="B84" s="7" t="str">
        <f>"29802021051209053891557"</f>
        <v>29802021051209053891557</v>
      </c>
      <c r="C84" s="7" t="s">
        <v>6</v>
      </c>
      <c r="D84" s="7" t="str">
        <f>"蔡亲贝"</f>
        <v>蔡亲贝</v>
      </c>
      <c r="E84" s="7" t="str">
        <f t="shared" si="3"/>
        <v>女</v>
      </c>
    </row>
    <row r="85" spans="1:5" ht="30" customHeight="1">
      <c r="A85" s="6">
        <v>83</v>
      </c>
      <c r="B85" s="7" t="str">
        <f>"29802021051209211791635"</f>
        <v>29802021051209211791635</v>
      </c>
      <c r="C85" s="7" t="s">
        <v>6</v>
      </c>
      <c r="D85" s="7" t="str">
        <f>"叶芷苗"</f>
        <v>叶芷苗</v>
      </c>
      <c r="E85" s="7" t="str">
        <f t="shared" si="3"/>
        <v>女</v>
      </c>
    </row>
    <row r="86" spans="1:5" ht="30" customHeight="1">
      <c r="A86" s="6">
        <v>84</v>
      </c>
      <c r="B86" s="7" t="str">
        <f>"29802021051210052391830"</f>
        <v>29802021051210052391830</v>
      </c>
      <c r="C86" s="7" t="s">
        <v>6</v>
      </c>
      <c r="D86" s="7" t="str">
        <f>"陈茵茵"</f>
        <v>陈茵茵</v>
      </c>
      <c r="E86" s="7" t="str">
        <f t="shared" si="3"/>
        <v>女</v>
      </c>
    </row>
    <row r="87" spans="1:5" ht="30" customHeight="1">
      <c r="A87" s="6">
        <v>85</v>
      </c>
      <c r="B87" s="7" t="str">
        <f>"29802021051210104091857"</f>
        <v>29802021051210104091857</v>
      </c>
      <c r="C87" s="7" t="s">
        <v>6</v>
      </c>
      <c r="D87" s="7" t="str">
        <f>"吴小艳"</f>
        <v>吴小艳</v>
      </c>
      <c r="E87" s="7" t="str">
        <f t="shared" si="3"/>
        <v>女</v>
      </c>
    </row>
    <row r="88" spans="1:5" ht="30" customHeight="1">
      <c r="A88" s="6">
        <v>86</v>
      </c>
      <c r="B88" s="7" t="str">
        <f>"29802021051210112391861"</f>
        <v>29802021051210112391861</v>
      </c>
      <c r="C88" s="7" t="s">
        <v>6</v>
      </c>
      <c r="D88" s="7" t="str">
        <f>"王初乾"</f>
        <v>王初乾</v>
      </c>
      <c r="E88" s="7" t="str">
        <f t="shared" si="3"/>
        <v>女</v>
      </c>
    </row>
    <row r="89" spans="1:5" ht="30" customHeight="1">
      <c r="A89" s="6">
        <v>87</v>
      </c>
      <c r="B89" s="7" t="str">
        <f>"29802021051210530892092"</f>
        <v>29802021051210530892092</v>
      </c>
      <c r="C89" s="7" t="s">
        <v>6</v>
      </c>
      <c r="D89" s="7" t="str">
        <f>"陈锦荧"</f>
        <v>陈锦荧</v>
      </c>
      <c r="E89" s="7" t="str">
        <f t="shared" si="3"/>
        <v>女</v>
      </c>
    </row>
    <row r="90" spans="1:5" ht="30" customHeight="1">
      <c r="A90" s="6">
        <v>88</v>
      </c>
      <c r="B90" s="7" t="str">
        <f>"29802021051211014292131"</f>
        <v>29802021051211014292131</v>
      </c>
      <c r="C90" s="7" t="s">
        <v>6</v>
      </c>
      <c r="D90" s="7" t="str">
        <f>"吉妹"</f>
        <v>吉妹</v>
      </c>
      <c r="E90" s="7" t="str">
        <f t="shared" si="3"/>
        <v>女</v>
      </c>
    </row>
    <row r="91" spans="1:5" ht="30" customHeight="1">
      <c r="A91" s="6">
        <v>89</v>
      </c>
      <c r="B91" s="7" t="str">
        <f>"29802021051211571092343"</f>
        <v>29802021051211571092343</v>
      </c>
      <c r="C91" s="7" t="s">
        <v>6</v>
      </c>
      <c r="D91" s="7" t="str">
        <f>"陈心怡"</f>
        <v>陈心怡</v>
      </c>
      <c r="E91" s="7" t="str">
        <f t="shared" si="3"/>
        <v>女</v>
      </c>
    </row>
    <row r="92" spans="1:5" ht="30" customHeight="1">
      <c r="A92" s="6">
        <v>90</v>
      </c>
      <c r="B92" s="7" t="str">
        <f>"29802021051215182292879"</f>
        <v>29802021051215182292879</v>
      </c>
      <c r="C92" s="7" t="s">
        <v>6</v>
      </c>
      <c r="D92" s="7" t="str">
        <f>"梁馨允"</f>
        <v>梁馨允</v>
      </c>
      <c r="E92" s="7" t="str">
        <f t="shared" si="3"/>
        <v>女</v>
      </c>
    </row>
    <row r="93" spans="1:5" ht="30" customHeight="1">
      <c r="A93" s="6">
        <v>91</v>
      </c>
      <c r="B93" s="7" t="str">
        <f>"29802021051215580793045"</f>
        <v>29802021051215580793045</v>
      </c>
      <c r="C93" s="7" t="s">
        <v>6</v>
      </c>
      <c r="D93" s="7" t="str">
        <f>"林仙"</f>
        <v>林仙</v>
      </c>
      <c r="E93" s="7" t="str">
        <f t="shared" si="3"/>
        <v>女</v>
      </c>
    </row>
    <row r="94" spans="1:5" ht="30" customHeight="1">
      <c r="A94" s="6">
        <v>92</v>
      </c>
      <c r="B94" s="7" t="str">
        <f>"29802021051216192393123"</f>
        <v>29802021051216192393123</v>
      </c>
      <c r="C94" s="7" t="s">
        <v>6</v>
      </c>
      <c r="D94" s="7" t="str">
        <f>"梁振花"</f>
        <v>梁振花</v>
      </c>
      <c r="E94" s="7" t="str">
        <f t="shared" si="3"/>
        <v>女</v>
      </c>
    </row>
    <row r="95" spans="1:5" ht="30" customHeight="1">
      <c r="A95" s="6">
        <v>93</v>
      </c>
      <c r="B95" s="7" t="str">
        <f>"29802021051216223093137"</f>
        <v>29802021051216223093137</v>
      </c>
      <c r="C95" s="7" t="s">
        <v>6</v>
      </c>
      <c r="D95" s="7" t="str">
        <f>"伍美翔"</f>
        <v>伍美翔</v>
      </c>
      <c r="E95" s="7" t="str">
        <f t="shared" si="3"/>
        <v>女</v>
      </c>
    </row>
    <row r="96" spans="1:5" ht="30" customHeight="1">
      <c r="A96" s="6">
        <v>94</v>
      </c>
      <c r="B96" s="7" t="str">
        <f>"29802021051216243493141"</f>
        <v>29802021051216243493141</v>
      </c>
      <c r="C96" s="7" t="s">
        <v>6</v>
      </c>
      <c r="D96" s="7" t="str">
        <f>"黄虹"</f>
        <v>黄虹</v>
      </c>
      <c r="E96" s="7" t="str">
        <f t="shared" si="3"/>
        <v>女</v>
      </c>
    </row>
    <row r="97" spans="1:5" ht="30" customHeight="1">
      <c r="A97" s="6">
        <v>95</v>
      </c>
      <c r="B97" s="7" t="str">
        <f>"29802021051216275993154"</f>
        <v>29802021051216275993154</v>
      </c>
      <c r="C97" s="7" t="s">
        <v>6</v>
      </c>
      <c r="D97" s="7" t="str">
        <f>"李水花"</f>
        <v>李水花</v>
      </c>
      <c r="E97" s="7" t="str">
        <f t="shared" si="3"/>
        <v>女</v>
      </c>
    </row>
    <row r="98" spans="1:5" ht="30" customHeight="1">
      <c r="A98" s="6">
        <v>96</v>
      </c>
      <c r="B98" s="7" t="str">
        <f>"29802021051216313793169"</f>
        <v>29802021051216313793169</v>
      </c>
      <c r="C98" s="7" t="s">
        <v>6</v>
      </c>
      <c r="D98" s="7" t="str">
        <f>"羊春源"</f>
        <v>羊春源</v>
      </c>
      <c r="E98" s="7" t="str">
        <f t="shared" si="3"/>
        <v>女</v>
      </c>
    </row>
    <row r="99" spans="1:5" ht="30" customHeight="1">
      <c r="A99" s="6">
        <v>97</v>
      </c>
      <c r="B99" s="7" t="str">
        <f>"29802021051216332893176"</f>
        <v>29802021051216332893176</v>
      </c>
      <c r="C99" s="7" t="s">
        <v>6</v>
      </c>
      <c r="D99" s="7" t="str">
        <f>"王思宇"</f>
        <v>王思宇</v>
      </c>
      <c r="E99" s="7" t="str">
        <f t="shared" si="3"/>
        <v>女</v>
      </c>
    </row>
    <row r="100" spans="1:5" ht="30" customHeight="1">
      <c r="A100" s="6">
        <v>98</v>
      </c>
      <c r="B100" s="7" t="str">
        <f>"29802021051216532993281"</f>
        <v>29802021051216532993281</v>
      </c>
      <c r="C100" s="7" t="s">
        <v>6</v>
      </c>
      <c r="D100" s="7" t="str">
        <f>"吴冰"</f>
        <v>吴冰</v>
      </c>
      <c r="E100" s="7" t="str">
        <f t="shared" si="3"/>
        <v>女</v>
      </c>
    </row>
    <row r="101" spans="1:5" ht="30" customHeight="1">
      <c r="A101" s="6">
        <v>99</v>
      </c>
      <c r="B101" s="7" t="str">
        <f>"29802021051218082793495"</f>
        <v>29802021051218082793495</v>
      </c>
      <c r="C101" s="7" t="s">
        <v>6</v>
      </c>
      <c r="D101" s="7" t="str">
        <f>"陈汉玉"</f>
        <v>陈汉玉</v>
      </c>
      <c r="E101" s="7" t="str">
        <f t="shared" si="3"/>
        <v>女</v>
      </c>
    </row>
    <row r="102" spans="1:5" ht="30" customHeight="1">
      <c r="A102" s="6">
        <v>100</v>
      </c>
      <c r="B102" s="7" t="str">
        <f>"29802021051218343493550"</f>
        <v>29802021051218343493550</v>
      </c>
      <c r="C102" s="7" t="s">
        <v>6</v>
      </c>
      <c r="D102" s="7" t="str">
        <f>"曾素荣"</f>
        <v>曾素荣</v>
      </c>
      <c r="E102" s="7" t="str">
        <f t="shared" si="3"/>
        <v>女</v>
      </c>
    </row>
    <row r="103" spans="1:5" ht="30" customHeight="1">
      <c r="A103" s="6">
        <v>101</v>
      </c>
      <c r="B103" s="7" t="str">
        <f>"29802021051219293793637"</f>
        <v>29802021051219293793637</v>
      </c>
      <c r="C103" s="7" t="s">
        <v>6</v>
      </c>
      <c r="D103" s="7" t="str">
        <f>"李小驳"</f>
        <v>李小驳</v>
      </c>
      <c r="E103" s="7" t="str">
        <f t="shared" si="3"/>
        <v>女</v>
      </c>
    </row>
    <row r="104" spans="1:5" ht="30" customHeight="1">
      <c r="A104" s="6">
        <v>102</v>
      </c>
      <c r="B104" s="7" t="str">
        <f>"29802021051222593794131"</f>
        <v>29802021051222593794131</v>
      </c>
      <c r="C104" s="7" t="s">
        <v>6</v>
      </c>
      <c r="D104" s="7" t="str">
        <f>"陈方容"</f>
        <v>陈方容</v>
      </c>
      <c r="E104" s="7" t="str">
        <f t="shared" si="3"/>
        <v>女</v>
      </c>
    </row>
    <row r="105" spans="1:5" ht="30" customHeight="1">
      <c r="A105" s="6">
        <v>103</v>
      </c>
      <c r="B105" s="7" t="str">
        <f>"29802021051223053694144"</f>
        <v>29802021051223053694144</v>
      </c>
      <c r="C105" s="7" t="s">
        <v>6</v>
      </c>
      <c r="D105" s="7" t="str">
        <f>"韦健秋"</f>
        <v>韦健秋</v>
      </c>
      <c r="E105" s="7" t="str">
        <f t="shared" si="3"/>
        <v>女</v>
      </c>
    </row>
    <row r="106" spans="1:5" ht="30" customHeight="1">
      <c r="A106" s="6">
        <v>104</v>
      </c>
      <c r="B106" s="7" t="str">
        <f>"29802021051309244794465"</f>
        <v>29802021051309244794465</v>
      </c>
      <c r="C106" s="7" t="s">
        <v>6</v>
      </c>
      <c r="D106" s="7" t="str">
        <f>"吴云瑶"</f>
        <v>吴云瑶</v>
      </c>
      <c r="E106" s="7" t="str">
        <f t="shared" si="3"/>
        <v>女</v>
      </c>
    </row>
    <row r="107" spans="1:5" ht="30" customHeight="1">
      <c r="A107" s="6">
        <v>105</v>
      </c>
      <c r="B107" s="7" t="str">
        <f>"29802021051310025894566"</f>
        <v>29802021051310025894566</v>
      </c>
      <c r="C107" s="7" t="s">
        <v>6</v>
      </c>
      <c r="D107" s="7" t="str">
        <f>"邢春柳"</f>
        <v>邢春柳</v>
      </c>
      <c r="E107" s="7" t="str">
        <f t="shared" si="3"/>
        <v>女</v>
      </c>
    </row>
    <row r="108" spans="1:5" ht="30" customHeight="1">
      <c r="A108" s="6">
        <v>106</v>
      </c>
      <c r="B108" s="7" t="str">
        <f>"29802021051310451394709"</f>
        <v>29802021051310451394709</v>
      </c>
      <c r="C108" s="7" t="s">
        <v>6</v>
      </c>
      <c r="D108" s="7" t="str">
        <f>"黎阿娇"</f>
        <v>黎阿娇</v>
      </c>
      <c r="E108" s="7" t="str">
        <f t="shared" si="3"/>
        <v>女</v>
      </c>
    </row>
    <row r="109" spans="1:5" ht="30" customHeight="1">
      <c r="A109" s="6">
        <v>107</v>
      </c>
      <c r="B109" s="7" t="str">
        <f>"29802021051312060894950"</f>
        <v>29802021051312060894950</v>
      </c>
      <c r="C109" s="7" t="s">
        <v>6</v>
      </c>
      <c r="D109" s="7" t="str">
        <f>"马清明"</f>
        <v>马清明</v>
      </c>
      <c r="E109" s="7" t="str">
        <f t="shared" si="3"/>
        <v>女</v>
      </c>
    </row>
    <row r="110" spans="1:5" ht="30" customHeight="1">
      <c r="A110" s="6">
        <v>108</v>
      </c>
      <c r="B110" s="7" t="str">
        <f>"29802021051313472395111"</f>
        <v>29802021051313472395111</v>
      </c>
      <c r="C110" s="7" t="s">
        <v>6</v>
      </c>
      <c r="D110" s="7" t="str">
        <f>"陈元冲"</f>
        <v>陈元冲</v>
      </c>
      <c r="E110" s="7" t="str">
        <f>"男"</f>
        <v>男</v>
      </c>
    </row>
    <row r="111" spans="1:5" ht="30" customHeight="1">
      <c r="A111" s="6">
        <v>109</v>
      </c>
      <c r="B111" s="7" t="str">
        <f>"29802021051315105095270"</f>
        <v>29802021051315105095270</v>
      </c>
      <c r="C111" s="7" t="s">
        <v>6</v>
      </c>
      <c r="D111" s="7" t="str">
        <f>"赵月风"</f>
        <v>赵月风</v>
      </c>
      <c r="E111" s="7" t="str">
        <f aca="true" t="shared" si="4" ref="E111:E118">"女"</f>
        <v>女</v>
      </c>
    </row>
    <row r="112" spans="1:5" ht="30" customHeight="1">
      <c r="A112" s="6">
        <v>110</v>
      </c>
      <c r="B112" s="7" t="str">
        <f>"29802021051316174695447"</f>
        <v>29802021051316174695447</v>
      </c>
      <c r="C112" s="7" t="s">
        <v>6</v>
      </c>
      <c r="D112" s="7" t="str">
        <f>"张妙"</f>
        <v>张妙</v>
      </c>
      <c r="E112" s="7" t="str">
        <f t="shared" si="4"/>
        <v>女</v>
      </c>
    </row>
    <row r="113" spans="1:5" ht="30" customHeight="1">
      <c r="A113" s="6">
        <v>111</v>
      </c>
      <c r="B113" s="7" t="str">
        <f>"29802021051317021395555"</f>
        <v>29802021051317021395555</v>
      </c>
      <c r="C113" s="7" t="s">
        <v>6</v>
      </c>
      <c r="D113" s="7" t="str">
        <f>"王正月"</f>
        <v>王正月</v>
      </c>
      <c r="E113" s="7" t="str">
        <f t="shared" si="4"/>
        <v>女</v>
      </c>
    </row>
    <row r="114" spans="1:5" ht="30" customHeight="1">
      <c r="A114" s="6">
        <v>112</v>
      </c>
      <c r="B114" s="7" t="str">
        <f>"29802021051317120295584"</f>
        <v>29802021051317120295584</v>
      </c>
      <c r="C114" s="7" t="s">
        <v>6</v>
      </c>
      <c r="D114" s="7" t="str">
        <f>"余业珍"</f>
        <v>余业珍</v>
      </c>
      <c r="E114" s="7" t="str">
        <f t="shared" si="4"/>
        <v>女</v>
      </c>
    </row>
    <row r="115" spans="1:5" ht="30" customHeight="1">
      <c r="A115" s="6">
        <v>113</v>
      </c>
      <c r="B115" s="7" t="str">
        <f>"29802021051317322895626"</f>
        <v>29802021051317322895626</v>
      </c>
      <c r="C115" s="7" t="s">
        <v>6</v>
      </c>
      <c r="D115" s="7" t="str">
        <f>"蔡仁曼"</f>
        <v>蔡仁曼</v>
      </c>
      <c r="E115" s="7" t="str">
        <f t="shared" si="4"/>
        <v>女</v>
      </c>
    </row>
    <row r="116" spans="1:5" ht="30" customHeight="1">
      <c r="A116" s="6">
        <v>114</v>
      </c>
      <c r="B116" s="7" t="str">
        <f>"29802021051317552195671"</f>
        <v>29802021051317552195671</v>
      </c>
      <c r="C116" s="7" t="s">
        <v>6</v>
      </c>
      <c r="D116" s="7" t="str">
        <f>"杨丽嘉"</f>
        <v>杨丽嘉</v>
      </c>
      <c r="E116" s="7" t="str">
        <f t="shared" si="4"/>
        <v>女</v>
      </c>
    </row>
    <row r="117" spans="1:5" ht="30" customHeight="1">
      <c r="A117" s="6">
        <v>115</v>
      </c>
      <c r="B117" s="7" t="str">
        <f>"29802021051318141095713"</f>
        <v>29802021051318141095713</v>
      </c>
      <c r="C117" s="7" t="s">
        <v>6</v>
      </c>
      <c r="D117" s="7" t="str">
        <f>"罗诗彦"</f>
        <v>罗诗彦</v>
      </c>
      <c r="E117" s="7" t="str">
        <f t="shared" si="4"/>
        <v>女</v>
      </c>
    </row>
    <row r="118" spans="1:5" ht="30" customHeight="1">
      <c r="A118" s="6">
        <v>116</v>
      </c>
      <c r="B118" s="7" t="str">
        <f>"29802021051318534095787"</f>
        <v>29802021051318534095787</v>
      </c>
      <c r="C118" s="7" t="s">
        <v>6</v>
      </c>
      <c r="D118" s="7" t="str">
        <f>"谭小梅"</f>
        <v>谭小梅</v>
      </c>
      <c r="E118" s="7" t="str">
        <f t="shared" si="4"/>
        <v>女</v>
      </c>
    </row>
    <row r="119" spans="1:5" ht="30" customHeight="1">
      <c r="A119" s="6">
        <v>117</v>
      </c>
      <c r="B119" s="7" t="str">
        <f>"29802021051318593195804"</f>
        <v>29802021051318593195804</v>
      </c>
      <c r="C119" s="7" t="s">
        <v>6</v>
      </c>
      <c r="D119" s="7" t="str">
        <f>"覃家敏"</f>
        <v>覃家敏</v>
      </c>
      <c r="E119" s="7" t="str">
        <f>"男"</f>
        <v>男</v>
      </c>
    </row>
    <row r="120" spans="1:5" ht="30" customHeight="1">
      <c r="A120" s="6">
        <v>118</v>
      </c>
      <c r="B120" s="7" t="str">
        <f>"29802021051319002595805"</f>
        <v>29802021051319002595805</v>
      </c>
      <c r="C120" s="7" t="s">
        <v>6</v>
      </c>
      <c r="D120" s="7" t="str">
        <f>"羊丽英"</f>
        <v>羊丽英</v>
      </c>
      <c r="E120" s="7" t="str">
        <f aca="true" t="shared" si="5" ref="E120:E158">"女"</f>
        <v>女</v>
      </c>
    </row>
    <row r="121" spans="1:5" ht="30" customHeight="1">
      <c r="A121" s="6">
        <v>119</v>
      </c>
      <c r="B121" s="7" t="str">
        <f>"29802021051319173195840"</f>
        <v>29802021051319173195840</v>
      </c>
      <c r="C121" s="7" t="s">
        <v>6</v>
      </c>
      <c r="D121" s="7" t="str">
        <f>"杜阿娜"</f>
        <v>杜阿娜</v>
      </c>
      <c r="E121" s="7" t="str">
        <f t="shared" si="5"/>
        <v>女</v>
      </c>
    </row>
    <row r="122" spans="1:5" ht="30" customHeight="1">
      <c r="A122" s="6">
        <v>120</v>
      </c>
      <c r="B122" s="7" t="str">
        <f>"29802021051320233495950"</f>
        <v>29802021051320233495950</v>
      </c>
      <c r="C122" s="7" t="s">
        <v>6</v>
      </c>
      <c r="D122" s="7" t="str">
        <f>"姜小莉"</f>
        <v>姜小莉</v>
      </c>
      <c r="E122" s="7" t="str">
        <f t="shared" si="5"/>
        <v>女</v>
      </c>
    </row>
    <row r="123" spans="1:5" ht="30" customHeight="1">
      <c r="A123" s="6">
        <v>121</v>
      </c>
      <c r="B123" s="7" t="str">
        <f>"29802021051320463396000"</f>
        <v>29802021051320463396000</v>
      </c>
      <c r="C123" s="7" t="s">
        <v>6</v>
      </c>
      <c r="D123" s="7" t="str">
        <f>"黎小雯"</f>
        <v>黎小雯</v>
      </c>
      <c r="E123" s="7" t="str">
        <f t="shared" si="5"/>
        <v>女</v>
      </c>
    </row>
    <row r="124" spans="1:5" ht="30" customHeight="1">
      <c r="A124" s="6">
        <v>122</v>
      </c>
      <c r="B124" s="7" t="str">
        <f>"29802021051321472896133"</f>
        <v>29802021051321472896133</v>
      </c>
      <c r="C124" s="7" t="s">
        <v>6</v>
      </c>
      <c r="D124" s="7" t="str">
        <f>"周滢"</f>
        <v>周滢</v>
      </c>
      <c r="E124" s="7" t="str">
        <f t="shared" si="5"/>
        <v>女</v>
      </c>
    </row>
    <row r="125" spans="1:5" ht="30" customHeight="1">
      <c r="A125" s="6">
        <v>123</v>
      </c>
      <c r="B125" s="7" t="str">
        <f>"29802021051322084096180"</f>
        <v>29802021051322084096180</v>
      </c>
      <c r="C125" s="7" t="s">
        <v>6</v>
      </c>
      <c r="D125" s="7" t="str">
        <f>"谭彩彬"</f>
        <v>谭彩彬</v>
      </c>
      <c r="E125" s="7" t="str">
        <f t="shared" si="5"/>
        <v>女</v>
      </c>
    </row>
    <row r="126" spans="1:5" ht="30" customHeight="1">
      <c r="A126" s="6">
        <v>124</v>
      </c>
      <c r="B126" s="7" t="str">
        <f>"29802021051323552696366"</f>
        <v>29802021051323552696366</v>
      </c>
      <c r="C126" s="7" t="s">
        <v>6</v>
      </c>
      <c r="D126" s="7" t="str">
        <f>"蔡娟惠"</f>
        <v>蔡娟惠</v>
      </c>
      <c r="E126" s="7" t="str">
        <f t="shared" si="5"/>
        <v>女</v>
      </c>
    </row>
    <row r="127" spans="1:5" ht="30" customHeight="1">
      <c r="A127" s="6">
        <v>125</v>
      </c>
      <c r="B127" s="7" t="str">
        <f>"29802021051405545596415"</f>
        <v>29802021051405545596415</v>
      </c>
      <c r="C127" s="7" t="s">
        <v>6</v>
      </c>
      <c r="D127" s="7" t="str">
        <f>"陈英选"</f>
        <v>陈英选</v>
      </c>
      <c r="E127" s="7" t="str">
        <f t="shared" si="5"/>
        <v>女</v>
      </c>
    </row>
    <row r="128" spans="1:5" ht="30" customHeight="1">
      <c r="A128" s="6">
        <v>126</v>
      </c>
      <c r="B128" s="7" t="str">
        <f>"29802021051408124996451"</f>
        <v>29802021051408124996451</v>
      </c>
      <c r="C128" s="7" t="s">
        <v>6</v>
      </c>
      <c r="D128" s="7" t="str">
        <f>"赵兴坤"</f>
        <v>赵兴坤</v>
      </c>
      <c r="E128" s="7" t="str">
        <f t="shared" si="5"/>
        <v>女</v>
      </c>
    </row>
    <row r="129" spans="1:5" ht="30" customHeight="1">
      <c r="A129" s="6">
        <v>127</v>
      </c>
      <c r="B129" s="7" t="str">
        <f>"29802021051408304496471"</f>
        <v>29802021051408304496471</v>
      </c>
      <c r="C129" s="7" t="s">
        <v>6</v>
      </c>
      <c r="D129" s="7" t="str">
        <f>"黎金玉"</f>
        <v>黎金玉</v>
      </c>
      <c r="E129" s="7" t="str">
        <f t="shared" si="5"/>
        <v>女</v>
      </c>
    </row>
    <row r="130" spans="1:5" ht="30" customHeight="1">
      <c r="A130" s="6">
        <v>128</v>
      </c>
      <c r="B130" s="7" t="str">
        <f>"29802021051409314496585"</f>
        <v>29802021051409314496585</v>
      </c>
      <c r="C130" s="7" t="s">
        <v>6</v>
      </c>
      <c r="D130" s="7" t="str">
        <f>"周雪玲"</f>
        <v>周雪玲</v>
      </c>
      <c r="E130" s="7" t="str">
        <f t="shared" si="5"/>
        <v>女</v>
      </c>
    </row>
    <row r="131" spans="1:5" ht="30" customHeight="1">
      <c r="A131" s="6">
        <v>129</v>
      </c>
      <c r="B131" s="7" t="str">
        <f>"29802021051410573996787"</f>
        <v>29802021051410573996787</v>
      </c>
      <c r="C131" s="7" t="s">
        <v>6</v>
      </c>
      <c r="D131" s="7" t="str">
        <f>"张少玲"</f>
        <v>张少玲</v>
      </c>
      <c r="E131" s="7" t="str">
        <f t="shared" si="5"/>
        <v>女</v>
      </c>
    </row>
    <row r="132" spans="1:5" ht="30" customHeight="1">
      <c r="A132" s="6">
        <v>130</v>
      </c>
      <c r="B132" s="7" t="str">
        <f>"29802021051411060996813"</f>
        <v>29802021051411060996813</v>
      </c>
      <c r="C132" s="7" t="s">
        <v>6</v>
      </c>
      <c r="D132" s="7" t="str">
        <f>"李鹏"</f>
        <v>李鹏</v>
      </c>
      <c r="E132" s="7" t="str">
        <f t="shared" si="5"/>
        <v>女</v>
      </c>
    </row>
    <row r="133" spans="1:5" ht="30" customHeight="1">
      <c r="A133" s="6">
        <v>131</v>
      </c>
      <c r="B133" s="7" t="str">
        <f>"29802021051411264896856"</f>
        <v>29802021051411264896856</v>
      </c>
      <c r="C133" s="7" t="s">
        <v>6</v>
      </c>
      <c r="D133" s="7" t="str">
        <f>"林燕"</f>
        <v>林燕</v>
      </c>
      <c r="E133" s="7" t="str">
        <f t="shared" si="5"/>
        <v>女</v>
      </c>
    </row>
    <row r="134" spans="1:5" ht="30" customHeight="1">
      <c r="A134" s="6">
        <v>132</v>
      </c>
      <c r="B134" s="7" t="str">
        <f>"29802021051412313796982"</f>
        <v>29802021051412313796982</v>
      </c>
      <c r="C134" s="7" t="s">
        <v>6</v>
      </c>
      <c r="D134" s="7" t="str">
        <f>"陈婆燕"</f>
        <v>陈婆燕</v>
      </c>
      <c r="E134" s="7" t="str">
        <f t="shared" si="5"/>
        <v>女</v>
      </c>
    </row>
    <row r="135" spans="1:5" ht="30" customHeight="1">
      <c r="A135" s="6">
        <v>133</v>
      </c>
      <c r="B135" s="7" t="str">
        <f>"29802021051414332197205"</f>
        <v>29802021051414332197205</v>
      </c>
      <c r="C135" s="7" t="s">
        <v>6</v>
      </c>
      <c r="D135" s="7" t="str">
        <f>"蔡月翠"</f>
        <v>蔡月翠</v>
      </c>
      <c r="E135" s="7" t="str">
        <f t="shared" si="5"/>
        <v>女</v>
      </c>
    </row>
    <row r="136" spans="1:5" ht="30" customHeight="1">
      <c r="A136" s="6">
        <v>134</v>
      </c>
      <c r="B136" s="7" t="str">
        <f>"29802021051414470897234"</f>
        <v>29802021051414470897234</v>
      </c>
      <c r="C136" s="7" t="s">
        <v>6</v>
      </c>
      <c r="D136" s="7" t="str">
        <f>"陈娇丽"</f>
        <v>陈娇丽</v>
      </c>
      <c r="E136" s="7" t="str">
        <f t="shared" si="5"/>
        <v>女</v>
      </c>
    </row>
    <row r="137" spans="1:5" ht="30" customHeight="1">
      <c r="A137" s="6">
        <v>135</v>
      </c>
      <c r="B137" s="7" t="str">
        <f>"29802021051415233497308"</f>
        <v>29802021051415233497308</v>
      </c>
      <c r="C137" s="7" t="s">
        <v>6</v>
      </c>
      <c r="D137" s="7" t="str">
        <f>"盆阿连"</f>
        <v>盆阿连</v>
      </c>
      <c r="E137" s="7" t="str">
        <f t="shared" si="5"/>
        <v>女</v>
      </c>
    </row>
    <row r="138" spans="1:5" ht="30" customHeight="1">
      <c r="A138" s="6">
        <v>136</v>
      </c>
      <c r="B138" s="7" t="str">
        <f>"29802021051416040197414"</f>
        <v>29802021051416040197414</v>
      </c>
      <c r="C138" s="7" t="s">
        <v>6</v>
      </c>
      <c r="D138" s="7" t="str">
        <f>"李慧萍"</f>
        <v>李慧萍</v>
      </c>
      <c r="E138" s="7" t="str">
        <f t="shared" si="5"/>
        <v>女</v>
      </c>
    </row>
    <row r="139" spans="1:5" ht="30" customHeight="1">
      <c r="A139" s="6">
        <v>137</v>
      </c>
      <c r="B139" s="7" t="str">
        <f>"29802021051416554397539"</f>
        <v>29802021051416554397539</v>
      </c>
      <c r="C139" s="7" t="s">
        <v>6</v>
      </c>
      <c r="D139" s="7" t="str">
        <f>"文学虹"</f>
        <v>文学虹</v>
      </c>
      <c r="E139" s="7" t="str">
        <f t="shared" si="5"/>
        <v>女</v>
      </c>
    </row>
    <row r="140" spans="1:5" ht="30" customHeight="1">
      <c r="A140" s="6">
        <v>138</v>
      </c>
      <c r="B140" s="7" t="str">
        <f>"29802021051420245297872"</f>
        <v>29802021051420245297872</v>
      </c>
      <c r="C140" s="7" t="s">
        <v>6</v>
      </c>
      <c r="D140" s="7" t="str">
        <f>"郁星星"</f>
        <v>郁星星</v>
      </c>
      <c r="E140" s="7" t="str">
        <f t="shared" si="5"/>
        <v>女</v>
      </c>
    </row>
    <row r="141" spans="1:5" ht="30" customHeight="1">
      <c r="A141" s="6">
        <v>139</v>
      </c>
      <c r="B141" s="7" t="str">
        <f>"29802021051421264197981"</f>
        <v>29802021051421264197981</v>
      </c>
      <c r="C141" s="7" t="s">
        <v>6</v>
      </c>
      <c r="D141" s="7" t="str">
        <f>"何应蕊"</f>
        <v>何应蕊</v>
      </c>
      <c r="E141" s="7" t="str">
        <f t="shared" si="5"/>
        <v>女</v>
      </c>
    </row>
    <row r="142" spans="1:5" ht="30" customHeight="1">
      <c r="A142" s="6">
        <v>140</v>
      </c>
      <c r="B142" s="7" t="str">
        <f>"29802021051422274298093"</f>
        <v>29802021051422274298093</v>
      </c>
      <c r="C142" s="7" t="s">
        <v>6</v>
      </c>
      <c r="D142" s="7" t="str">
        <f>"羊长芳"</f>
        <v>羊长芳</v>
      </c>
      <c r="E142" s="7" t="str">
        <f t="shared" si="5"/>
        <v>女</v>
      </c>
    </row>
    <row r="143" spans="1:5" ht="30" customHeight="1">
      <c r="A143" s="6">
        <v>141</v>
      </c>
      <c r="B143" s="7" t="str">
        <f>"29802021051422542998136"</f>
        <v>29802021051422542998136</v>
      </c>
      <c r="C143" s="7" t="s">
        <v>6</v>
      </c>
      <c r="D143" s="7" t="str">
        <f>"陈爱兰"</f>
        <v>陈爱兰</v>
      </c>
      <c r="E143" s="7" t="str">
        <f t="shared" si="5"/>
        <v>女</v>
      </c>
    </row>
    <row r="144" spans="1:5" ht="30" customHeight="1">
      <c r="A144" s="6">
        <v>142</v>
      </c>
      <c r="B144" s="7" t="str">
        <f>"29802021051423085498158"</f>
        <v>29802021051423085498158</v>
      </c>
      <c r="C144" s="7" t="s">
        <v>6</v>
      </c>
      <c r="D144" s="7" t="str">
        <f>"钟春霞"</f>
        <v>钟春霞</v>
      </c>
      <c r="E144" s="7" t="str">
        <f t="shared" si="5"/>
        <v>女</v>
      </c>
    </row>
    <row r="145" spans="1:5" ht="30" customHeight="1">
      <c r="A145" s="6">
        <v>143</v>
      </c>
      <c r="B145" s="7" t="str">
        <f>"29802021051423564598223"</f>
        <v>29802021051423564598223</v>
      </c>
      <c r="C145" s="7" t="s">
        <v>6</v>
      </c>
      <c r="D145" s="7" t="str">
        <f>"王一童"</f>
        <v>王一童</v>
      </c>
      <c r="E145" s="7" t="str">
        <f t="shared" si="5"/>
        <v>女</v>
      </c>
    </row>
    <row r="146" spans="1:5" ht="30" customHeight="1">
      <c r="A146" s="6">
        <v>144</v>
      </c>
      <c r="B146" s="7" t="str">
        <f>"29802021051500203498250"</f>
        <v>29802021051500203498250</v>
      </c>
      <c r="C146" s="7" t="s">
        <v>6</v>
      </c>
      <c r="D146" s="7" t="str">
        <f>"裴荣茹"</f>
        <v>裴荣茹</v>
      </c>
      <c r="E146" s="7" t="str">
        <f t="shared" si="5"/>
        <v>女</v>
      </c>
    </row>
    <row r="147" spans="1:5" ht="30" customHeight="1">
      <c r="A147" s="6">
        <v>145</v>
      </c>
      <c r="B147" s="7" t="str">
        <f>"29802021051500380198261"</f>
        <v>29802021051500380198261</v>
      </c>
      <c r="C147" s="7" t="s">
        <v>6</v>
      </c>
      <c r="D147" s="7" t="str">
        <f>"黄许英"</f>
        <v>黄许英</v>
      </c>
      <c r="E147" s="7" t="str">
        <f t="shared" si="5"/>
        <v>女</v>
      </c>
    </row>
    <row r="148" spans="1:5" ht="30" customHeight="1">
      <c r="A148" s="6">
        <v>146</v>
      </c>
      <c r="B148" s="7" t="str">
        <f>"29802021051507373198302"</f>
        <v>29802021051507373198302</v>
      </c>
      <c r="C148" s="7" t="s">
        <v>6</v>
      </c>
      <c r="D148" s="7" t="str">
        <f>"林文青"</f>
        <v>林文青</v>
      </c>
      <c r="E148" s="7" t="str">
        <f t="shared" si="5"/>
        <v>女</v>
      </c>
    </row>
    <row r="149" spans="1:5" ht="30" customHeight="1">
      <c r="A149" s="6">
        <v>147</v>
      </c>
      <c r="B149" s="7" t="str">
        <f>"29802021051509403298394"</f>
        <v>29802021051509403298394</v>
      </c>
      <c r="C149" s="7" t="s">
        <v>6</v>
      </c>
      <c r="D149" s="7" t="str">
        <f>"李菲"</f>
        <v>李菲</v>
      </c>
      <c r="E149" s="7" t="str">
        <f t="shared" si="5"/>
        <v>女</v>
      </c>
    </row>
    <row r="150" spans="1:5" ht="30" customHeight="1">
      <c r="A150" s="6">
        <v>148</v>
      </c>
      <c r="B150" s="7" t="str">
        <f>"29802021051509544298417"</f>
        <v>29802021051509544298417</v>
      </c>
      <c r="C150" s="7" t="s">
        <v>6</v>
      </c>
      <c r="D150" s="7" t="str">
        <f>"王跃情"</f>
        <v>王跃情</v>
      </c>
      <c r="E150" s="7" t="str">
        <f t="shared" si="5"/>
        <v>女</v>
      </c>
    </row>
    <row r="151" spans="1:5" ht="30" customHeight="1">
      <c r="A151" s="6">
        <v>149</v>
      </c>
      <c r="B151" s="7" t="str">
        <f>"29802021051511291198577"</f>
        <v>29802021051511291198577</v>
      </c>
      <c r="C151" s="7" t="s">
        <v>6</v>
      </c>
      <c r="D151" s="7" t="str">
        <f>"冯美"</f>
        <v>冯美</v>
      </c>
      <c r="E151" s="7" t="str">
        <f t="shared" si="5"/>
        <v>女</v>
      </c>
    </row>
    <row r="152" spans="1:5" ht="30" customHeight="1">
      <c r="A152" s="6">
        <v>150</v>
      </c>
      <c r="B152" s="7" t="str">
        <f>"29802021051511295298578"</f>
        <v>29802021051511295298578</v>
      </c>
      <c r="C152" s="7" t="s">
        <v>6</v>
      </c>
      <c r="D152" s="7" t="str">
        <f>"林琅"</f>
        <v>林琅</v>
      </c>
      <c r="E152" s="7" t="str">
        <f t="shared" si="5"/>
        <v>女</v>
      </c>
    </row>
    <row r="153" spans="1:5" ht="30" customHeight="1">
      <c r="A153" s="6">
        <v>151</v>
      </c>
      <c r="B153" s="7" t="str">
        <f>"29802021051513500598817"</f>
        <v>29802021051513500598817</v>
      </c>
      <c r="C153" s="7" t="s">
        <v>6</v>
      </c>
      <c r="D153" s="7" t="str">
        <f>"徐倩芸"</f>
        <v>徐倩芸</v>
      </c>
      <c r="E153" s="7" t="str">
        <f t="shared" si="5"/>
        <v>女</v>
      </c>
    </row>
    <row r="154" spans="1:5" ht="30" customHeight="1">
      <c r="A154" s="6">
        <v>152</v>
      </c>
      <c r="B154" s="7" t="str">
        <f>"29802021051515032198930"</f>
        <v>29802021051515032198930</v>
      </c>
      <c r="C154" s="7" t="s">
        <v>6</v>
      </c>
      <c r="D154" s="7" t="str">
        <f>"李仲连"</f>
        <v>李仲连</v>
      </c>
      <c r="E154" s="7" t="str">
        <f t="shared" si="5"/>
        <v>女</v>
      </c>
    </row>
    <row r="155" spans="1:5" ht="30" customHeight="1">
      <c r="A155" s="6">
        <v>153</v>
      </c>
      <c r="B155" s="7" t="str">
        <f>"29802021051515213998961"</f>
        <v>29802021051515213998961</v>
      </c>
      <c r="C155" s="7" t="s">
        <v>6</v>
      </c>
      <c r="D155" s="7" t="str">
        <f>"符有英"</f>
        <v>符有英</v>
      </c>
      <c r="E155" s="7" t="str">
        <f t="shared" si="5"/>
        <v>女</v>
      </c>
    </row>
    <row r="156" spans="1:5" ht="30" customHeight="1">
      <c r="A156" s="6">
        <v>154</v>
      </c>
      <c r="B156" s="7" t="str">
        <f>"29802021051515473199007"</f>
        <v>29802021051515473199007</v>
      </c>
      <c r="C156" s="7" t="s">
        <v>6</v>
      </c>
      <c r="D156" s="7" t="str">
        <f>"游婷文"</f>
        <v>游婷文</v>
      </c>
      <c r="E156" s="7" t="str">
        <f t="shared" si="5"/>
        <v>女</v>
      </c>
    </row>
    <row r="157" spans="1:5" ht="30" customHeight="1">
      <c r="A157" s="6">
        <v>155</v>
      </c>
      <c r="B157" s="7" t="str">
        <f>"29802021051515482399008"</f>
        <v>29802021051515482399008</v>
      </c>
      <c r="C157" s="7" t="s">
        <v>6</v>
      </c>
      <c r="D157" s="7" t="str">
        <f>"王誉蓉"</f>
        <v>王誉蓉</v>
      </c>
      <c r="E157" s="7" t="str">
        <f t="shared" si="5"/>
        <v>女</v>
      </c>
    </row>
    <row r="158" spans="1:5" ht="30" customHeight="1">
      <c r="A158" s="6">
        <v>156</v>
      </c>
      <c r="B158" s="7" t="str">
        <f>"29802021051515572599029"</f>
        <v>29802021051515572599029</v>
      </c>
      <c r="C158" s="7" t="s">
        <v>6</v>
      </c>
      <c r="D158" s="7" t="str">
        <f>"蔡月燕"</f>
        <v>蔡月燕</v>
      </c>
      <c r="E158" s="7" t="str">
        <f t="shared" si="5"/>
        <v>女</v>
      </c>
    </row>
    <row r="159" spans="1:5" ht="30" customHeight="1">
      <c r="A159" s="6">
        <v>157</v>
      </c>
      <c r="B159" s="7" t="str">
        <f>"29802021050921511082025"</f>
        <v>29802021050921511082025</v>
      </c>
      <c r="C159" s="7" t="s">
        <v>7</v>
      </c>
      <c r="D159" s="7" t="str">
        <f>"邵远东"</f>
        <v>邵远东</v>
      </c>
      <c r="E159" s="7" t="str">
        <f>"男"</f>
        <v>男</v>
      </c>
    </row>
    <row r="160" spans="1:5" ht="30" customHeight="1">
      <c r="A160" s="6">
        <v>158</v>
      </c>
      <c r="B160" s="7" t="str">
        <f>"29802021051008513982652"</f>
        <v>29802021051008513982652</v>
      </c>
      <c r="C160" s="7" t="s">
        <v>7</v>
      </c>
      <c r="D160" s="7" t="str">
        <f>"钟海菊"</f>
        <v>钟海菊</v>
      </c>
      <c r="E160" s="7" t="str">
        <f>"女"</f>
        <v>女</v>
      </c>
    </row>
    <row r="161" spans="1:5" ht="30" customHeight="1">
      <c r="A161" s="6">
        <v>159</v>
      </c>
      <c r="B161" s="7" t="str">
        <f>"29802021051009413383212"</f>
        <v>29802021051009413383212</v>
      </c>
      <c r="C161" s="7" t="s">
        <v>7</v>
      </c>
      <c r="D161" s="7" t="str">
        <f>"郑海月"</f>
        <v>郑海月</v>
      </c>
      <c r="E161" s="7" t="str">
        <f>"女"</f>
        <v>女</v>
      </c>
    </row>
    <row r="162" spans="1:5" ht="30" customHeight="1">
      <c r="A162" s="6">
        <v>160</v>
      </c>
      <c r="B162" s="7" t="str">
        <f>"29802021051020062887219"</f>
        <v>29802021051020062887219</v>
      </c>
      <c r="C162" s="7" t="s">
        <v>7</v>
      </c>
      <c r="D162" s="7" t="str">
        <f>"赖金霞"</f>
        <v>赖金霞</v>
      </c>
      <c r="E162" s="7" t="str">
        <f>"女"</f>
        <v>女</v>
      </c>
    </row>
    <row r="163" spans="1:5" ht="30" customHeight="1">
      <c r="A163" s="6">
        <v>161</v>
      </c>
      <c r="B163" s="7" t="str">
        <f>"29802021051108593388402"</f>
        <v>29802021051108593388402</v>
      </c>
      <c r="C163" s="7" t="s">
        <v>7</v>
      </c>
      <c r="D163" s="7" t="str">
        <f>"刘勃"</f>
        <v>刘勃</v>
      </c>
      <c r="E163" s="7" t="str">
        <f>"男"</f>
        <v>男</v>
      </c>
    </row>
    <row r="164" spans="1:5" ht="30" customHeight="1">
      <c r="A164" s="6">
        <v>162</v>
      </c>
      <c r="B164" s="7" t="str">
        <f>"29802021051110280088837"</f>
        <v>29802021051110280088837</v>
      </c>
      <c r="C164" s="7" t="s">
        <v>7</v>
      </c>
      <c r="D164" s="7" t="str">
        <f>"赵学秋"</f>
        <v>赵学秋</v>
      </c>
      <c r="E164" s="7" t="str">
        <f>"女"</f>
        <v>女</v>
      </c>
    </row>
    <row r="165" spans="1:5" ht="30" customHeight="1">
      <c r="A165" s="6">
        <v>163</v>
      </c>
      <c r="B165" s="7" t="str">
        <f>"29802021051114300589586"</f>
        <v>29802021051114300589586</v>
      </c>
      <c r="C165" s="7" t="s">
        <v>7</v>
      </c>
      <c r="D165" s="7" t="str">
        <f>"黄肖可"</f>
        <v>黄肖可</v>
      </c>
      <c r="E165" s="7" t="str">
        <f>"男"</f>
        <v>男</v>
      </c>
    </row>
    <row r="166" spans="1:5" ht="30" customHeight="1">
      <c r="A166" s="6">
        <v>164</v>
      </c>
      <c r="B166" s="7" t="str">
        <f>"29802021051116532890167"</f>
        <v>29802021051116532890167</v>
      </c>
      <c r="C166" s="7" t="s">
        <v>7</v>
      </c>
      <c r="D166" s="7" t="str">
        <f>"符雲玉"</f>
        <v>符雲玉</v>
      </c>
      <c r="E166" s="7" t="str">
        <f>"女"</f>
        <v>女</v>
      </c>
    </row>
    <row r="167" spans="1:5" ht="30" customHeight="1">
      <c r="A167" s="6">
        <v>165</v>
      </c>
      <c r="B167" s="7" t="str">
        <f>"29802021051212490892487"</f>
        <v>29802021051212490892487</v>
      </c>
      <c r="C167" s="7" t="s">
        <v>7</v>
      </c>
      <c r="D167" s="7" t="str">
        <f>"王昌喜"</f>
        <v>王昌喜</v>
      </c>
      <c r="E167" s="7" t="str">
        <f>"女"</f>
        <v>女</v>
      </c>
    </row>
    <row r="168" spans="1:5" ht="30" customHeight="1">
      <c r="A168" s="6">
        <v>166</v>
      </c>
      <c r="B168" s="7" t="str">
        <f>"29802021051217304293412"</f>
        <v>29802021051217304293412</v>
      </c>
      <c r="C168" s="7" t="s">
        <v>7</v>
      </c>
      <c r="D168" s="7" t="str">
        <f>"仇欢"</f>
        <v>仇欢</v>
      </c>
      <c r="E168" s="7" t="str">
        <f>"女"</f>
        <v>女</v>
      </c>
    </row>
    <row r="169" spans="1:5" ht="30" customHeight="1">
      <c r="A169" s="6">
        <v>167</v>
      </c>
      <c r="B169" s="7" t="str">
        <f>"29802021051308560694375"</f>
        <v>29802021051308560694375</v>
      </c>
      <c r="C169" s="7" t="s">
        <v>7</v>
      </c>
      <c r="D169" s="7" t="str">
        <f>"杨丹丹"</f>
        <v>杨丹丹</v>
      </c>
      <c r="E169" s="7" t="str">
        <f>"女"</f>
        <v>女</v>
      </c>
    </row>
    <row r="170" spans="1:5" ht="30" customHeight="1">
      <c r="A170" s="6">
        <v>168</v>
      </c>
      <c r="B170" s="7" t="str">
        <f>"29802021051408500796510"</f>
        <v>29802021051408500796510</v>
      </c>
      <c r="C170" s="7" t="s">
        <v>7</v>
      </c>
      <c r="D170" s="7" t="str">
        <f>"董少芬"</f>
        <v>董少芬</v>
      </c>
      <c r="E170" s="7" t="str">
        <f>"女"</f>
        <v>女</v>
      </c>
    </row>
    <row r="171" spans="1:5" ht="30" customHeight="1">
      <c r="A171" s="6">
        <v>169</v>
      </c>
      <c r="B171" s="7" t="str">
        <f>"29802021051411195996840"</f>
        <v>29802021051411195996840</v>
      </c>
      <c r="C171" s="7" t="s">
        <v>7</v>
      </c>
      <c r="D171" s="7" t="str">
        <f>"文华"</f>
        <v>文华</v>
      </c>
      <c r="E171" s="7" t="str">
        <f>"男"</f>
        <v>男</v>
      </c>
    </row>
    <row r="172" spans="1:5" ht="30" customHeight="1">
      <c r="A172" s="6">
        <v>170</v>
      </c>
      <c r="B172" s="7" t="str">
        <f>"29802021051413523397149"</f>
        <v>29802021051413523397149</v>
      </c>
      <c r="C172" s="7" t="s">
        <v>7</v>
      </c>
      <c r="D172" s="7" t="str">
        <f>"洪宁"</f>
        <v>洪宁</v>
      </c>
      <c r="E172" s="7" t="str">
        <f>"女"</f>
        <v>女</v>
      </c>
    </row>
    <row r="173" spans="1:5" ht="30" customHeight="1">
      <c r="A173" s="6">
        <v>171</v>
      </c>
      <c r="B173" s="7" t="str">
        <f>"29802021051417261197602"</f>
        <v>29802021051417261197602</v>
      </c>
      <c r="C173" s="7" t="s">
        <v>7</v>
      </c>
      <c r="D173" s="7" t="str">
        <f>"张凯欣"</f>
        <v>张凯欣</v>
      </c>
      <c r="E173" s="7" t="str">
        <f>"女"</f>
        <v>女</v>
      </c>
    </row>
    <row r="174" spans="1:5" ht="30" customHeight="1">
      <c r="A174" s="6">
        <v>172</v>
      </c>
      <c r="B174" s="7" t="str">
        <f>"29802021051510465498510"</f>
        <v>29802021051510465498510</v>
      </c>
      <c r="C174" s="7" t="s">
        <v>7</v>
      </c>
      <c r="D174" s="7" t="str">
        <f>"彭冉"</f>
        <v>彭冉</v>
      </c>
      <c r="E174" s="7" t="str">
        <f>"女"</f>
        <v>女</v>
      </c>
    </row>
    <row r="175" spans="1:5" ht="30" customHeight="1">
      <c r="A175" s="6">
        <v>173</v>
      </c>
      <c r="B175" s="7" t="str">
        <f>"29802021051511194398568"</f>
        <v>29802021051511194398568</v>
      </c>
      <c r="C175" s="7" t="s">
        <v>7</v>
      </c>
      <c r="D175" s="7" t="str">
        <f>"吴庭解"</f>
        <v>吴庭解</v>
      </c>
      <c r="E175" s="7" t="str">
        <f>"女"</f>
        <v>女</v>
      </c>
    </row>
    <row r="176" spans="1:5" ht="30" customHeight="1">
      <c r="A176" s="6">
        <v>174</v>
      </c>
      <c r="B176" s="7" t="str">
        <f>"29802021051515274498974"</f>
        <v>29802021051515274498974</v>
      </c>
      <c r="C176" s="7" t="s">
        <v>7</v>
      </c>
      <c r="D176" s="7" t="str">
        <f>"黄成家"</f>
        <v>黄成家</v>
      </c>
      <c r="E176" s="7" t="str">
        <f>"男"</f>
        <v>男</v>
      </c>
    </row>
    <row r="177" spans="1:5" ht="30" customHeight="1">
      <c r="A177" s="6">
        <v>175</v>
      </c>
      <c r="B177" s="7" t="str">
        <f>"29802021050910012680675"</f>
        <v>29802021050910012680675</v>
      </c>
      <c r="C177" s="7" t="s">
        <v>8</v>
      </c>
      <c r="D177" s="7" t="str">
        <f>"蔡青燕"</f>
        <v>蔡青燕</v>
      </c>
      <c r="E177" s="7" t="str">
        <f aca="true" t="shared" si="6" ref="E177:E190">"女"</f>
        <v>女</v>
      </c>
    </row>
    <row r="178" spans="1:5" ht="30" customHeight="1">
      <c r="A178" s="6">
        <v>176</v>
      </c>
      <c r="B178" s="7" t="str">
        <f>"29802021050914203881115"</f>
        <v>29802021050914203881115</v>
      </c>
      <c r="C178" s="7" t="s">
        <v>8</v>
      </c>
      <c r="D178" s="7" t="str">
        <f>"张宝月"</f>
        <v>张宝月</v>
      </c>
      <c r="E178" s="7" t="str">
        <f t="shared" si="6"/>
        <v>女</v>
      </c>
    </row>
    <row r="179" spans="1:5" ht="30" customHeight="1">
      <c r="A179" s="6">
        <v>177</v>
      </c>
      <c r="B179" s="7" t="str">
        <f>"29802021050918460581632"</f>
        <v>29802021050918460581632</v>
      </c>
      <c r="C179" s="7" t="s">
        <v>8</v>
      </c>
      <c r="D179" s="7" t="str">
        <f>"何锦凤"</f>
        <v>何锦凤</v>
      </c>
      <c r="E179" s="7" t="str">
        <f t="shared" si="6"/>
        <v>女</v>
      </c>
    </row>
    <row r="180" spans="1:5" ht="30" customHeight="1">
      <c r="A180" s="6">
        <v>178</v>
      </c>
      <c r="B180" s="7" t="str">
        <f>"29802021050919100081673"</f>
        <v>29802021050919100081673</v>
      </c>
      <c r="C180" s="7" t="s">
        <v>8</v>
      </c>
      <c r="D180" s="7" t="str">
        <f>"范欣"</f>
        <v>范欣</v>
      </c>
      <c r="E180" s="7" t="str">
        <f t="shared" si="6"/>
        <v>女</v>
      </c>
    </row>
    <row r="181" spans="1:5" ht="30" customHeight="1">
      <c r="A181" s="6">
        <v>179</v>
      </c>
      <c r="B181" s="7" t="str">
        <f>"29802021051012082584613"</f>
        <v>29802021051012082584613</v>
      </c>
      <c r="C181" s="7" t="s">
        <v>8</v>
      </c>
      <c r="D181" s="7" t="str">
        <f>"吴丽娃"</f>
        <v>吴丽娃</v>
      </c>
      <c r="E181" s="7" t="str">
        <f t="shared" si="6"/>
        <v>女</v>
      </c>
    </row>
    <row r="182" spans="1:5" ht="30" customHeight="1">
      <c r="A182" s="6">
        <v>180</v>
      </c>
      <c r="B182" s="7" t="str">
        <f>"29802021051013285885060"</f>
        <v>29802021051013285885060</v>
      </c>
      <c r="C182" s="7" t="s">
        <v>8</v>
      </c>
      <c r="D182" s="7" t="str">
        <f>"赵秀兰"</f>
        <v>赵秀兰</v>
      </c>
      <c r="E182" s="7" t="str">
        <f t="shared" si="6"/>
        <v>女</v>
      </c>
    </row>
    <row r="183" spans="1:5" ht="30" customHeight="1">
      <c r="A183" s="6">
        <v>181</v>
      </c>
      <c r="B183" s="7" t="str">
        <f>"29802021051021331587584"</f>
        <v>29802021051021331587584</v>
      </c>
      <c r="C183" s="7" t="s">
        <v>8</v>
      </c>
      <c r="D183" s="7" t="str">
        <f>"林声芳"</f>
        <v>林声芳</v>
      </c>
      <c r="E183" s="7" t="str">
        <f t="shared" si="6"/>
        <v>女</v>
      </c>
    </row>
    <row r="184" spans="1:5" ht="30" customHeight="1">
      <c r="A184" s="6">
        <v>182</v>
      </c>
      <c r="B184" s="7" t="str">
        <f>"29802021051110152788769"</f>
        <v>29802021051110152788769</v>
      </c>
      <c r="C184" s="7" t="s">
        <v>8</v>
      </c>
      <c r="D184" s="7" t="str">
        <f>"莫常玉"</f>
        <v>莫常玉</v>
      </c>
      <c r="E184" s="7" t="str">
        <f t="shared" si="6"/>
        <v>女</v>
      </c>
    </row>
    <row r="185" spans="1:5" ht="30" customHeight="1">
      <c r="A185" s="6">
        <v>183</v>
      </c>
      <c r="B185" s="7" t="str">
        <f>"29802021051110231288815"</f>
        <v>29802021051110231288815</v>
      </c>
      <c r="C185" s="7" t="s">
        <v>8</v>
      </c>
      <c r="D185" s="7" t="str">
        <f>"李海梅"</f>
        <v>李海梅</v>
      </c>
      <c r="E185" s="7" t="str">
        <f t="shared" si="6"/>
        <v>女</v>
      </c>
    </row>
    <row r="186" spans="1:5" ht="30" customHeight="1">
      <c r="A186" s="6">
        <v>184</v>
      </c>
      <c r="B186" s="7" t="str">
        <f>"29802021051113382989480"</f>
        <v>29802021051113382989480</v>
      </c>
      <c r="C186" s="7" t="s">
        <v>8</v>
      </c>
      <c r="D186" s="7" t="str">
        <f>"王昌玉"</f>
        <v>王昌玉</v>
      </c>
      <c r="E186" s="7" t="str">
        <f t="shared" si="6"/>
        <v>女</v>
      </c>
    </row>
    <row r="187" spans="1:5" ht="30" customHeight="1">
      <c r="A187" s="6">
        <v>185</v>
      </c>
      <c r="B187" s="7" t="str">
        <f>"29802021051114471589650"</f>
        <v>29802021051114471589650</v>
      </c>
      <c r="C187" s="7" t="s">
        <v>8</v>
      </c>
      <c r="D187" s="7" t="str">
        <f>"李静"</f>
        <v>李静</v>
      </c>
      <c r="E187" s="7" t="str">
        <f t="shared" si="6"/>
        <v>女</v>
      </c>
    </row>
    <row r="188" spans="1:5" ht="30" customHeight="1">
      <c r="A188" s="6">
        <v>186</v>
      </c>
      <c r="B188" s="7" t="str">
        <f>"29802021051210302091953"</f>
        <v>29802021051210302091953</v>
      </c>
      <c r="C188" s="7" t="s">
        <v>8</v>
      </c>
      <c r="D188" s="7" t="str">
        <f>"吴小婷"</f>
        <v>吴小婷</v>
      </c>
      <c r="E188" s="7" t="str">
        <f t="shared" si="6"/>
        <v>女</v>
      </c>
    </row>
    <row r="189" spans="1:5" ht="30" customHeight="1">
      <c r="A189" s="6">
        <v>187</v>
      </c>
      <c r="B189" s="7" t="str">
        <f>"29802021051212040492361"</f>
        <v>29802021051212040492361</v>
      </c>
      <c r="C189" s="7" t="s">
        <v>8</v>
      </c>
      <c r="D189" s="7" t="str">
        <f>"薛恒"</f>
        <v>薛恒</v>
      </c>
      <c r="E189" s="7" t="str">
        <f t="shared" si="6"/>
        <v>女</v>
      </c>
    </row>
    <row r="190" spans="1:5" ht="30" customHeight="1">
      <c r="A190" s="6">
        <v>188</v>
      </c>
      <c r="B190" s="7" t="str">
        <f>"29802021051214433792748"</f>
        <v>29802021051214433792748</v>
      </c>
      <c r="C190" s="7" t="s">
        <v>8</v>
      </c>
      <c r="D190" s="7" t="str">
        <f>"黄妮旅"</f>
        <v>黄妮旅</v>
      </c>
      <c r="E190" s="7" t="str">
        <f t="shared" si="6"/>
        <v>女</v>
      </c>
    </row>
    <row r="191" spans="1:5" ht="30" customHeight="1">
      <c r="A191" s="6">
        <v>189</v>
      </c>
      <c r="B191" s="7" t="str">
        <f>"29802021051223125594157"</f>
        <v>29802021051223125594157</v>
      </c>
      <c r="C191" s="7" t="s">
        <v>8</v>
      </c>
      <c r="D191" s="7" t="str">
        <f>"朱成龙"</f>
        <v>朱成龙</v>
      </c>
      <c r="E191" s="7" t="str">
        <f>"男"</f>
        <v>男</v>
      </c>
    </row>
    <row r="192" spans="1:5" ht="30" customHeight="1">
      <c r="A192" s="6">
        <v>190</v>
      </c>
      <c r="B192" s="7" t="str">
        <f>"29802021051308361894339"</f>
        <v>29802021051308361894339</v>
      </c>
      <c r="C192" s="7" t="s">
        <v>8</v>
      </c>
      <c r="D192" s="7" t="str">
        <f>"谢慧芬"</f>
        <v>谢慧芬</v>
      </c>
      <c r="E192" s="7" t="str">
        <f>"女"</f>
        <v>女</v>
      </c>
    </row>
    <row r="193" spans="1:5" ht="30" customHeight="1">
      <c r="A193" s="6">
        <v>191</v>
      </c>
      <c r="B193" s="7" t="str">
        <f>"29802021051315211795300"</f>
        <v>29802021051315211795300</v>
      </c>
      <c r="C193" s="7" t="s">
        <v>8</v>
      </c>
      <c r="D193" s="7" t="str">
        <f>"洪莉玲"</f>
        <v>洪莉玲</v>
      </c>
      <c r="E193" s="7" t="str">
        <f>"女"</f>
        <v>女</v>
      </c>
    </row>
    <row r="194" spans="1:5" ht="30" customHeight="1">
      <c r="A194" s="6">
        <v>192</v>
      </c>
      <c r="B194" s="7" t="str">
        <f>"29802021051319470695890"</f>
        <v>29802021051319470695890</v>
      </c>
      <c r="C194" s="7" t="s">
        <v>8</v>
      </c>
      <c r="D194" s="7" t="str">
        <f>"李卓"</f>
        <v>李卓</v>
      </c>
      <c r="E194" s="7" t="str">
        <f>"女"</f>
        <v>女</v>
      </c>
    </row>
    <row r="195" spans="1:5" ht="30" customHeight="1">
      <c r="A195" s="6">
        <v>193</v>
      </c>
      <c r="B195" s="7" t="str">
        <f>"29802021051321371596103"</f>
        <v>29802021051321371596103</v>
      </c>
      <c r="C195" s="7" t="s">
        <v>8</v>
      </c>
      <c r="D195" s="7" t="str">
        <f>"黄宝玉"</f>
        <v>黄宝玉</v>
      </c>
      <c r="E195" s="7" t="str">
        <f>"女"</f>
        <v>女</v>
      </c>
    </row>
    <row r="196" spans="1:5" ht="30" customHeight="1">
      <c r="A196" s="6">
        <v>194</v>
      </c>
      <c r="B196" s="7" t="str">
        <f>"29802021051410053096671"</f>
        <v>29802021051410053096671</v>
      </c>
      <c r="C196" s="7" t="s">
        <v>8</v>
      </c>
      <c r="D196" s="7" t="str">
        <f>"王彬安"</f>
        <v>王彬安</v>
      </c>
      <c r="E196" s="7" t="str">
        <f>"男"</f>
        <v>男</v>
      </c>
    </row>
    <row r="197" spans="1:5" ht="30" customHeight="1">
      <c r="A197" s="6">
        <v>195</v>
      </c>
      <c r="B197" s="7" t="str">
        <f>"29802021051413342297112"</f>
        <v>29802021051413342297112</v>
      </c>
      <c r="C197" s="7" t="s">
        <v>8</v>
      </c>
      <c r="D197" s="7" t="str">
        <f>"陈喜蓉"</f>
        <v>陈喜蓉</v>
      </c>
      <c r="E197" s="7" t="str">
        <f aca="true" t="shared" si="7" ref="E197:E203">"女"</f>
        <v>女</v>
      </c>
    </row>
    <row r="198" spans="1:5" ht="30" customHeight="1">
      <c r="A198" s="6">
        <v>196</v>
      </c>
      <c r="B198" s="7" t="str">
        <f>"29802021051417491397634"</f>
        <v>29802021051417491397634</v>
      </c>
      <c r="C198" s="7" t="s">
        <v>8</v>
      </c>
      <c r="D198" s="7" t="str">
        <f>"杨珍"</f>
        <v>杨珍</v>
      </c>
      <c r="E198" s="7" t="str">
        <f t="shared" si="7"/>
        <v>女</v>
      </c>
    </row>
    <row r="199" spans="1:5" ht="30" customHeight="1">
      <c r="A199" s="6">
        <v>197</v>
      </c>
      <c r="B199" s="7" t="str">
        <f>"29802021051422141098070"</f>
        <v>29802021051422141098070</v>
      </c>
      <c r="C199" s="7" t="s">
        <v>8</v>
      </c>
      <c r="D199" s="7" t="str">
        <f>"洪音惠"</f>
        <v>洪音惠</v>
      </c>
      <c r="E199" s="7" t="str">
        <f t="shared" si="7"/>
        <v>女</v>
      </c>
    </row>
    <row r="200" spans="1:5" ht="30" customHeight="1">
      <c r="A200" s="6">
        <v>198</v>
      </c>
      <c r="B200" s="7" t="str">
        <f>"29802021051509263898377"</f>
        <v>29802021051509263898377</v>
      </c>
      <c r="C200" s="7" t="s">
        <v>8</v>
      </c>
      <c r="D200" s="7" t="str">
        <f>"雷媛媛"</f>
        <v>雷媛媛</v>
      </c>
      <c r="E200" s="7" t="str">
        <f t="shared" si="7"/>
        <v>女</v>
      </c>
    </row>
    <row r="201" spans="1:5" ht="30" customHeight="1">
      <c r="A201" s="6">
        <v>199</v>
      </c>
      <c r="B201" s="7" t="str">
        <f>"29802021051511351498589"</f>
        <v>29802021051511351498589</v>
      </c>
      <c r="C201" s="7" t="s">
        <v>8</v>
      </c>
      <c r="D201" s="7" t="str">
        <f>"颜春果"</f>
        <v>颜春果</v>
      </c>
      <c r="E201" s="7" t="str">
        <f t="shared" si="7"/>
        <v>女</v>
      </c>
    </row>
    <row r="202" spans="1:5" ht="30" customHeight="1">
      <c r="A202" s="6">
        <v>200</v>
      </c>
      <c r="B202" s="7" t="str">
        <f>"29802021051512141398661"</f>
        <v>29802021051512141398661</v>
      </c>
      <c r="C202" s="7" t="s">
        <v>8</v>
      </c>
      <c r="D202" s="7" t="str">
        <f>"文妃容"</f>
        <v>文妃容</v>
      </c>
      <c r="E202" s="7" t="str">
        <f t="shared" si="7"/>
        <v>女</v>
      </c>
    </row>
    <row r="203" spans="1:5" ht="30" customHeight="1">
      <c r="A203" s="6">
        <v>201</v>
      </c>
      <c r="B203" s="7" t="str">
        <f>"29802021051513223998762"</f>
        <v>29802021051513223998762</v>
      </c>
      <c r="C203" s="7" t="s">
        <v>8</v>
      </c>
      <c r="D203" s="7" t="str">
        <f>"邓雅诗"</f>
        <v>邓雅诗</v>
      </c>
      <c r="E203" s="7" t="str">
        <f t="shared" si="7"/>
        <v>女</v>
      </c>
    </row>
    <row r="204" spans="1:5" ht="30" customHeight="1">
      <c r="A204" s="6">
        <v>202</v>
      </c>
      <c r="B204" s="7" t="str">
        <f>"29802021050910170380714"</f>
        <v>29802021050910170380714</v>
      </c>
      <c r="C204" s="7" t="s">
        <v>9</v>
      </c>
      <c r="D204" s="7" t="str">
        <f>"许博生"</f>
        <v>许博生</v>
      </c>
      <c r="E204" s="7" t="str">
        <f aca="true" t="shared" si="8" ref="E204:E209">"男"</f>
        <v>男</v>
      </c>
    </row>
    <row r="205" spans="1:5" ht="30" customHeight="1">
      <c r="A205" s="6">
        <v>203</v>
      </c>
      <c r="B205" s="7" t="str">
        <f>"29802021050911413380875"</f>
        <v>29802021050911413380875</v>
      </c>
      <c r="C205" s="7" t="s">
        <v>9</v>
      </c>
      <c r="D205" s="7" t="str">
        <f>"谭晓鉴"</f>
        <v>谭晓鉴</v>
      </c>
      <c r="E205" s="7" t="str">
        <f t="shared" si="8"/>
        <v>男</v>
      </c>
    </row>
    <row r="206" spans="1:5" ht="30" customHeight="1">
      <c r="A206" s="6">
        <v>204</v>
      </c>
      <c r="B206" s="7" t="str">
        <f>"29802021050922441282163"</f>
        <v>29802021050922441282163</v>
      </c>
      <c r="C206" s="7" t="s">
        <v>9</v>
      </c>
      <c r="D206" s="7" t="str">
        <f>"潘在望"</f>
        <v>潘在望</v>
      </c>
      <c r="E206" s="7" t="str">
        <f t="shared" si="8"/>
        <v>男</v>
      </c>
    </row>
    <row r="207" spans="1:5" ht="30" customHeight="1">
      <c r="A207" s="6">
        <v>205</v>
      </c>
      <c r="B207" s="7" t="str">
        <f>"29802021051007531282382"</f>
        <v>29802021051007531282382</v>
      </c>
      <c r="C207" s="7" t="s">
        <v>9</v>
      </c>
      <c r="D207" s="7" t="str">
        <f>"潘在煌"</f>
        <v>潘在煌</v>
      </c>
      <c r="E207" s="7" t="str">
        <f t="shared" si="8"/>
        <v>男</v>
      </c>
    </row>
    <row r="208" spans="1:5" ht="30" customHeight="1">
      <c r="A208" s="6">
        <v>206</v>
      </c>
      <c r="B208" s="7" t="str">
        <f>"29802021051008525082661"</f>
        <v>29802021051008525082661</v>
      </c>
      <c r="C208" s="7" t="s">
        <v>9</v>
      </c>
      <c r="D208" s="7" t="str">
        <f>"朱允康"</f>
        <v>朱允康</v>
      </c>
      <c r="E208" s="7" t="str">
        <f t="shared" si="8"/>
        <v>男</v>
      </c>
    </row>
    <row r="209" spans="1:5" ht="30" customHeight="1">
      <c r="A209" s="6">
        <v>207</v>
      </c>
      <c r="B209" s="7" t="str">
        <f>"29802021051013000284923"</f>
        <v>29802021051013000284923</v>
      </c>
      <c r="C209" s="7" t="s">
        <v>9</v>
      </c>
      <c r="D209" s="7" t="str">
        <f>"陈天丹"</f>
        <v>陈天丹</v>
      </c>
      <c r="E209" s="7" t="str">
        <f t="shared" si="8"/>
        <v>男</v>
      </c>
    </row>
    <row r="210" spans="1:5" ht="30" customHeight="1">
      <c r="A210" s="6">
        <v>208</v>
      </c>
      <c r="B210" s="7" t="str">
        <f>"29802021051013114984987"</f>
        <v>29802021051013114984987</v>
      </c>
      <c r="C210" s="7" t="s">
        <v>9</v>
      </c>
      <c r="D210" s="7" t="str">
        <f>"王婆爱"</f>
        <v>王婆爱</v>
      </c>
      <c r="E210" s="7" t="str">
        <f>"女"</f>
        <v>女</v>
      </c>
    </row>
    <row r="211" spans="1:5" ht="30" customHeight="1">
      <c r="A211" s="6">
        <v>209</v>
      </c>
      <c r="B211" s="7" t="str">
        <f>"29802021051016190186053"</f>
        <v>29802021051016190186053</v>
      </c>
      <c r="C211" s="7" t="s">
        <v>9</v>
      </c>
      <c r="D211" s="7" t="str">
        <f>"杨令捷"</f>
        <v>杨令捷</v>
      </c>
      <c r="E211" s="7" t="str">
        <f aca="true" t="shared" si="9" ref="E211:E221">"男"</f>
        <v>男</v>
      </c>
    </row>
    <row r="212" spans="1:5" ht="30" customHeight="1">
      <c r="A212" s="6">
        <v>210</v>
      </c>
      <c r="B212" s="7" t="str">
        <f>"29802021051018050786680"</f>
        <v>29802021051018050786680</v>
      </c>
      <c r="C212" s="7" t="s">
        <v>9</v>
      </c>
      <c r="D212" s="7" t="str">
        <f>"张天庆"</f>
        <v>张天庆</v>
      </c>
      <c r="E212" s="7" t="str">
        <f t="shared" si="9"/>
        <v>男</v>
      </c>
    </row>
    <row r="213" spans="1:5" ht="30" customHeight="1">
      <c r="A213" s="6">
        <v>211</v>
      </c>
      <c r="B213" s="7" t="str">
        <f>"29802021051018571186921"</f>
        <v>29802021051018571186921</v>
      </c>
      <c r="C213" s="7" t="s">
        <v>9</v>
      </c>
      <c r="D213" s="7" t="str">
        <f>"高杰斌"</f>
        <v>高杰斌</v>
      </c>
      <c r="E213" s="7" t="str">
        <f t="shared" si="9"/>
        <v>男</v>
      </c>
    </row>
    <row r="214" spans="1:5" ht="30" customHeight="1">
      <c r="A214" s="6">
        <v>212</v>
      </c>
      <c r="B214" s="7" t="str">
        <f>"29802021051106591588194"</f>
        <v>29802021051106591588194</v>
      </c>
      <c r="C214" s="7" t="s">
        <v>9</v>
      </c>
      <c r="D214" s="7" t="str">
        <f>"林明旭"</f>
        <v>林明旭</v>
      </c>
      <c r="E214" s="7" t="str">
        <f t="shared" si="9"/>
        <v>男</v>
      </c>
    </row>
    <row r="215" spans="1:5" ht="30" customHeight="1">
      <c r="A215" s="6">
        <v>213</v>
      </c>
      <c r="B215" s="7" t="str">
        <f>"29802021051115131589747"</f>
        <v>29802021051115131589747</v>
      </c>
      <c r="C215" s="7" t="s">
        <v>9</v>
      </c>
      <c r="D215" s="7" t="str">
        <f>"蔡笃兴"</f>
        <v>蔡笃兴</v>
      </c>
      <c r="E215" s="7" t="str">
        <f t="shared" si="9"/>
        <v>男</v>
      </c>
    </row>
    <row r="216" spans="1:5" ht="30" customHeight="1">
      <c r="A216" s="6">
        <v>214</v>
      </c>
      <c r="B216" s="7" t="str">
        <f>"29802021051116234690069"</f>
        <v>29802021051116234690069</v>
      </c>
      <c r="C216" s="7" t="s">
        <v>9</v>
      </c>
      <c r="D216" s="7" t="str">
        <f>"黎建贤"</f>
        <v>黎建贤</v>
      </c>
      <c r="E216" s="7" t="str">
        <f t="shared" si="9"/>
        <v>男</v>
      </c>
    </row>
    <row r="217" spans="1:5" ht="30" customHeight="1">
      <c r="A217" s="6">
        <v>215</v>
      </c>
      <c r="B217" s="7" t="str">
        <f>"29802021051116513990160"</f>
        <v>29802021051116513990160</v>
      </c>
      <c r="C217" s="7" t="s">
        <v>9</v>
      </c>
      <c r="D217" s="7" t="str">
        <f>"孙振烘"</f>
        <v>孙振烘</v>
      </c>
      <c r="E217" s="7" t="str">
        <f t="shared" si="9"/>
        <v>男</v>
      </c>
    </row>
    <row r="218" spans="1:5" ht="30" customHeight="1">
      <c r="A218" s="6">
        <v>216</v>
      </c>
      <c r="B218" s="7" t="str">
        <f>"29802021051209060391560"</f>
        <v>29802021051209060391560</v>
      </c>
      <c r="C218" s="7" t="s">
        <v>9</v>
      </c>
      <c r="D218" s="7" t="str">
        <f>"何世安"</f>
        <v>何世安</v>
      </c>
      <c r="E218" s="7" t="str">
        <f t="shared" si="9"/>
        <v>男</v>
      </c>
    </row>
    <row r="219" spans="1:5" ht="30" customHeight="1">
      <c r="A219" s="6">
        <v>217</v>
      </c>
      <c r="B219" s="7" t="str">
        <f>"29802021051218433793565"</f>
        <v>29802021051218433793565</v>
      </c>
      <c r="C219" s="7" t="s">
        <v>9</v>
      </c>
      <c r="D219" s="7" t="str">
        <f>"万兴辅"</f>
        <v>万兴辅</v>
      </c>
      <c r="E219" s="7" t="str">
        <f t="shared" si="9"/>
        <v>男</v>
      </c>
    </row>
    <row r="220" spans="1:5" ht="30" customHeight="1">
      <c r="A220" s="6">
        <v>218</v>
      </c>
      <c r="B220" s="7" t="str">
        <f>"29802021051313252895073"</f>
        <v>29802021051313252895073</v>
      </c>
      <c r="C220" s="7" t="s">
        <v>9</v>
      </c>
      <c r="D220" s="7" t="str">
        <f>"杨许利"</f>
        <v>杨许利</v>
      </c>
      <c r="E220" s="7" t="str">
        <f t="shared" si="9"/>
        <v>男</v>
      </c>
    </row>
    <row r="221" spans="1:5" ht="30" customHeight="1">
      <c r="A221" s="6">
        <v>219</v>
      </c>
      <c r="B221" s="7" t="str">
        <f>"29802021051323440696353"</f>
        <v>29802021051323440696353</v>
      </c>
      <c r="C221" s="7" t="s">
        <v>9</v>
      </c>
      <c r="D221" s="7" t="str">
        <f>"周冬潮"</f>
        <v>周冬潮</v>
      </c>
      <c r="E221" s="7" t="str">
        <f t="shared" si="9"/>
        <v>男</v>
      </c>
    </row>
    <row r="222" spans="1:5" ht="30" customHeight="1">
      <c r="A222" s="6">
        <v>220</v>
      </c>
      <c r="B222" s="7" t="str">
        <f>"29802021051413163797085"</f>
        <v>29802021051413163797085</v>
      </c>
      <c r="C222" s="7" t="s">
        <v>9</v>
      </c>
      <c r="D222" s="7" t="str">
        <f>"孙牟奇"</f>
        <v>孙牟奇</v>
      </c>
      <c r="E222" s="7" t="str">
        <f>"女"</f>
        <v>女</v>
      </c>
    </row>
    <row r="223" spans="1:5" ht="30" customHeight="1">
      <c r="A223" s="6">
        <v>221</v>
      </c>
      <c r="B223" s="7" t="str">
        <f>"29802021051421545998029"</f>
        <v>29802021051421545998029</v>
      </c>
      <c r="C223" s="7" t="s">
        <v>9</v>
      </c>
      <c r="D223" s="7" t="str">
        <f>"符松荣"</f>
        <v>符松荣</v>
      </c>
      <c r="E223" s="7" t="str">
        <f>"男"</f>
        <v>男</v>
      </c>
    </row>
    <row r="224" spans="1:5" ht="30" customHeight="1">
      <c r="A224" s="6">
        <v>222</v>
      </c>
      <c r="B224" s="7" t="str">
        <f>"29802021050909230980595"</f>
        <v>29802021050909230980595</v>
      </c>
      <c r="C224" s="7" t="s">
        <v>10</v>
      </c>
      <c r="D224" s="7" t="str">
        <f>"李秋萍"</f>
        <v>李秋萍</v>
      </c>
      <c r="E224" s="7" t="str">
        <f>"女"</f>
        <v>女</v>
      </c>
    </row>
    <row r="225" spans="1:5" ht="30" customHeight="1">
      <c r="A225" s="6">
        <v>223</v>
      </c>
      <c r="B225" s="7" t="str">
        <f>"29802021050910171980715"</f>
        <v>29802021050910171980715</v>
      </c>
      <c r="C225" s="7" t="s">
        <v>10</v>
      </c>
      <c r="D225" s="7" t="str">
        <f>"王旭东"</f>
        <v>王旭东</v>
      </c>
      <c r="E225" s="7" t="str">
        <f>"男"</f>
        <v>男</v>
      </c>
    </row>
    <row r="226" spans="1:5" ht="30" customHeight="1">
      <c r="A226" s="6">
        <v>224</v>
      </c>
      <c r="B226" s="7" t="str">
        <f>"29802021050910572580802"</f>
        <v>29802021050910572580802</v>
      </c>
      <c r="C226" s="7" t="s">
        <v>10</v>
      </c>
      <c r="D226" s="7" t="str">
        <f>"陈常娟"</f>
        <v>陈常娟</v>
      </c>
      <c r="E226" s="7" t="str">
        <f>"女"</f>
        <v>女</v>
      </c>
    </row>
    <row r="227" spans="1:5" ht="30" customHeight="1">
      <c r="A227" s="6">
        <v>225</v>
      </c>
      <c r="B227" s="7" t="str">
        <f>"29802021050914154781111"</f>
        <v>29802021050914154781111</v>
      </c>
      <c r="C227" s="7" t="s">
        <v>10</v>
      </c>
      <c r="D227" s="7" t="str">
        <f>"王振霞"</f>
        <v>王振霞</v>
      </c>
      <c r="E227" s="7" t="str">
        <f>"女"</f>
        <v>女</v>
      </c>
    </row>
    <row r="228" spans="1:5" ht="30" customHeight="1">
      <c r="A228" s="6">
        <v>226</v>
      </c>
      <c r="B228" s="7" t="str">
        <f>"29802021050917233481459"</f>
        <v>29802021050917233481459</v>
      </c>
      <c r="C228" s="7" t="s">
        <v>10</v>
      </c>
      <c r="D228" s="7" t="str">
        <f>"林丽"</f>
        <v>林丽</v>
      </c>
      <c r="E228" s="7" t="str">
        <f>"女"</f>
        <v>女</v>
      </c>
    </row>
    <row r="229" spans="1:5" ht="30" customHeight="1">
      <c r="A229" s="6">
        <v>227</v>
      </c>
      <c r="B229" s="7" t="str">
        <f>"29802021050917561581533"</f>
        <v>29802021050917561581533</v>
      </c>
      <c r="C229" s="7" t="s">
        <v>10</v>
      </c>
      <c r="D229" s="7" t="str">
        <f>"陈海娜"</f>
        <v>陈海娜</v>
      </c>
      <c r="E229" s="7" t="str">
        <f>"女"</f>
        <v>女</v>
      </c>
    </row>
    <row r="230" spans="1:5" ht="30" customHeight="1">
      <c r="A230" s="6">
        <v>228</v>
      </c>
      <c r="B230" s="7" t="str">
        <f>"29802021050918362981606"</f>
        <v>29802021050918362981606</v>
      </c>
      <c r="C230" s="7" t="s">
        <v>10</v>
      </c>
      <c r="D230" s="7" t="str">
        <f>"吉健"</f>
        <v>吉健</v>
      </c>
      <c r="E230" s="7" t="str">
        <f>"男"</f>
        <v>男</v>
      </c>
    </row>
    <row r="231" spans="1:5" ht="30" customHeight="1">
      <c r="A231" s="6">
        <v>229</v>
      </c>
      <c r="B231" s="7" t="str">
        <f>"29802021050920384381843"</f>
        <v>29802021050920384381843</v>
      </c>
      <c r="C231" s="7" t="s">
        <v>10</v>
      </c>
      <c r="D231" s="7" t="str">
        <f>"程娟"</f>
        <v>程娟</v>
      </c>
      <c r="E231" s="7" t="str">
        <f aca="true" t="shared" si="10" ref="E231:E260">"女"</f>
        <v>女</v>
      </c>
    </row>
    <row r="232" spans="1:5" ht="30" customHeight="1">
      <c r="A232" s="6">
        <v>230</v>
      </c>
      <c r="B232" s="7" t="str">
        <f>"29802021050923595682285"</f>
        <v>29802021050923595682285</v>
      </c>
      <c r="C232" s="7" t="s">
        <v>10</v>
      </c>
      <c r="D232" s="7" t="str">
        <f>"梁舒琴"</f>
        <v>梁舒琴</v>
      </c>
      <c r="E232" s="7" t="str">
        <f t="shared" si="10"/>
        <v>女</v>
      </c>
    </row>
    <row r="233" spans="1:5" ht="30" customHeight="1">
      <c r="A233" s="6">
        <v>231</v>
      </c>
      <c r="B233" s="7" t="str">
        <f>"29802021051008420482579"</f>
        <v>29802021051008420482579</v>
      </c>
      <c r="C233" s="7" t="s">
        <v>10</v>
      </c>
      <c r="D233" s="7" t="str">
        <f>"王晓怡"</f>
        <v>王晓怡</v>
      </c>
      <c r="E233" s="7" t="str">
        <f t="shared" si="10"/>
        <v>女</v>
      </c>
    </row>
    <row r="234" spans="1:5" ht="30" customHeight="1">
      <c r="A234" s="6">
        <v>232</v>
      </c>
      <c r="B234" s="7" t="str">
        <f>"29802021051008482782624"</f>
        <v>29802021051008482782624</v>
      </c>
      <c r="C234" s="7" t="s">
        <v>10</v>
      </c>
      <c r="D234" s="7" t="str">
        <f>"李华姑"</f>
        <v>李华姑</v>
      </c>
      <c r="E234" s="7" t="str">
        <f t="shared" si="10"/>
        <v>女</v>
      </c>
    </row>
    <row r="235" spans="1:5" ht="30" customHeight="1">
      <c r="A235" s="6">
        <v>233</v>
      </c>
      <c r="B235" s="7" t="str">
        <f>"29802021051010123883561"</f>
        <v>29802021051010123883561</v>
      </c>
      <c r="C235" s="7" t="s">
        <v>10</v>
      </c>
      <c r="D235" s="7" t="str">
        <f>"林丹"</f>
        <v>林丹</v>
      </c>
      <c r="E235" s="7" t="str">
        <f t="shared" si="10"/>
        <v>女</v>
      </c>
    </row>
    <row r="236" spans="1:5" ht="30" customHeight="1">
      <c r="A236" s="6">
        <v>234</v>
      </c>
      <c r="B236" s="7" t="str">
        <f>"29802021051010230483713"</f>
        <v>29802021051010230483713</v>
      </c>
      <c r="C236" s="7" t="s">
        <v>10</v>
      </c>
      <c r="D236" s="7" t="str">
        <f>"冯海平"</f>
        <v>冯海平</v>
      </c>
      <c r="E236" s="7" t="str">
        <f t="shared" si="10"/>
        <v>女</v>
      </c>
    </row>
    <row r="237" spans="1:5" ht="30" customHeight="1">
      <c r="A237" s="6">
        <v>235</v>
      </c>
      <c r="B237" s="7" t="str">
        <f>"29802021051010233183721"</f>
        <v>29802021051010233183721</v>
      </c>
      <c r="C237" s="7" t="s">
        <v>10</v>
      </c>
      <c r="D237" s="7" t="str">
        <f>"唐外丽"</f>
        <v>唐外丽</v>
      </c>
      <c r="E237" s="7" t="str">
        <f t="shared" si="10"/>
        <v>女</v>
      </c>
    </row>
    <row r="238" spans="1:5" ht="30" customHeight="1">
      <c r="A238" s="6">
        <v>236</v>
      </c>
      <c r="B238" s="7" t="str">
        <f>"29802021051010363483877"</f>
        <v>29802021051010363483877</v>
      </c>
      <c r="C238" s="7" t="s">
        <v>10</v>
      </c>
      <c r="D238" s="7" t="str">
        <f>"陈菊"</f>
        <v>陈菊</v>
      </c>
      <c r="E238" s="7" t="str">
        <f t="shared" si="10"/>
        <v>女</v>
      </c>
    </row>
    <row r="239" spans="1:5" ht="30" customHeight="1">
      <c r="A239" s="6">
        <v>237</v>
      </c>
      <c r="B239" s="7" t="str">
        <f>"29802021051011053684175"</f>
        <v>29802021051011053684175</v>
      </c>
      <c r="C239" s="7" t="s">
        <v>10</v>
      </c>
      <c r="D239" s="7" t="str">
        <f>"刘桃桃"</f>
        <v>刘桃桃</v>
      </c>
      <c r="E239" s="7" t="str">
        <f t="shared" si="10"/>
        <v>女</v>
      </c>
    </row>
    <row r="240" spans="1:5" ht="30" customHeight="1">
      <c r="A240" s="6">
        <v>238</v>
      </c>
      <c r="B240" s="7" t="str">
        <f>"29802021051012013684581"</f>
        <v>29802021051012013684581</v>
      </c>
      <c r="C240" s="7" t="s">
        <v>10</v>
      </c>
      <c r="D240" s="7" t="str">
        <f>"洪莉燕"</f>
        <v>洪莉燕</v>
      </c>
      <c r="E240" s="7" t="str">
        <f t="shared" si="10"/>
        <v>女</v>
      </c>
    </row>
    <row r="241" spans="1:5" ht="30" customHeight="1">
      <c r="A241" s="6">
        <v>239</v>
      </c>
      <c r="B241" s="7" t="str">
        <f>"29802021051012472384850"</f>
        <v>29802021051012472384850</v>
      </c>
      <c r="C241" s="7" t="s">
        <v>10</v>
      </c>
      <c r="D241" s="7" t="str">
        <f>"王思艺"</f>
        <v>王思艺</v>
      </c>
      <c r="E241" s="7" t="str">
        <f t="shared" si="10"/>
        <v>女</v>
      </c>
    </row>
    <row r="242" spans="1:5" ht="30" customHeight="1">
      <c r="A242" s="6">
        <v>240</v>
      </c>
      <c r="B242" s="7" t="str">
        <f>"29802021051012473984851"</f>
        <v>29802021051012473984851</v>
      </c>
      <c r="C242" s="7" t="s">
        <v>10</v>
      </c>
      <c r="D242" s="7" t="str">
        <f>"黎日燕"</f>
        <v>黎日燕</v>
      </c>
      <c r="E242" s="7" t="str">
        <f t="shared" si="10"/>
        <v>女</v>
      </c>
    </row>
    <row r="243" spans="1:5" ht="30" customHeight="1">
      <c r="A243" s="6">
        <v>241</v>
      </c>
      <c r="B243" s="7" t="str">
        <f>"29802021051016183786050"</f>
        <v>29802021051016183786050</v>
      </c>
      <c r="C243" s="7" t="s">
        <v>10</v>
      </c>
      <c r="D243" s="7" t="str">
        <f>"罗莘"</f>
        <v>罗莘</v>
      </c>
      <c r="E243" s="7" t="str">
        <f t="shared" si="10"/>
        <v>女</v>
      </c>
    </row>
    <row r="244" spans="1:5" ht="30" customHeight="1">
      <c r="A244" s="6">
        <v>242</v>
      </c>
      <c r="B244" s="7" t="str">
        <f>"29802021051016203386069"</f>
        <v>29802021051016203386069</v>
      </c>
      <c r="C244" s="7" t="s">
        <v>10</v>
      </c>
      <c r="D244" s="7" t="str">
        <f>"周艳"</f>
        <v>周艳</v>
      </c>
      <c r="E244" s="7" t="str">
        <f t="shared" si="10"/>
        <v>女</v>
      </c>
    </row>
    <row r="245" spans="1:5" ht="30" customHeight="1">
      <c r="A245" s="6">
        <v>243</v>
      </c>
      <c r="B245" s="7" t="str">
        <f>"29802021051016515586307"</f>
        <v>29802021051016515586307</v>
      </c>
      <c r="C245" s="7" t="s">
        <v>10</v>
      </c>
      <c r="D245" s="7" t="str">
        <f>"周梅英"</f>
        <v>周梅英</v>
      </c>
      <c r="E245" s="7" t="str">
        <f t="shared" si="10"/>
        <v>女</v>
      </c>
    </row>
    <row r="246" spans="1:5" ht="30" customHeight="1">
      <c r="A246" s="6">
        <v>244</v>
      </c>
      <c r="B246" s="7" t="str">
        <f>"29802021051017020186367"</f>
        <v>29802021051017020186367</v>
      </c>
      <c r="C246" s="7" t="s">
        <v>10</v>
      </c>
      <c r="D246" s="7" t="str">
        <f>"黄杏丁"</f>
        <v>黄杏丁</v>
      </c>
      <c r="E246" s="7" t="str">
        <f t="shared" si="10"/>
        <v>女</v>
      </c>
    </row>
    <row r="247" spans="1:5" ht="30" customHeight="1">
      <c r="A247" s="6">
        <v>245</v>
      </c>
      <c r="B247" s="7" t="str">
        <f>"29802021051018554586913"</f>
        <v>29802021051018554586913</v>
      </c>
      <c r="C247" s="7" t="s">
        <v>10</v>
      </c>
      <c r="D247" s="7" t="str">
        <f>"冯艳青"</f>
        <v>冯艳青</v>
      </c>
      <c r="E247" s="7" t="str">
        <f t="shared" si="10"/>
        <v>女</v>
      </c>
    </row>
    <row r="248" spans="1:5" ht="30" customHeight="1">
      <c r="A248" s="6">
        <v>246</v>
      </c>
      <c r="B248" s="7" t="str">
        <f>"29802021051022232987833"</f>
        <v>29802021051022232987833</v>
      </c>
      <c r="C248" s="7" t="s">
        <v>10</v>
      </c>
      <c r="D248" s="7" t="str">
        <f>"董美妤"</f>
        <v>董美妤</v>
      </c>
      <c r="E248" s="7" t="str">
        <f t="shared" si="10"/>
        <v>女</v>
      </c>
    </row>
    <row r="249" spans="1:5" ht="30" customHeight="1">
      <c r="A249" s="6">
        <v>247</v>
      </c>
      <c r="B249" s="7" t="str">
        <f>"29802021051111034289036"</f>
        <v>29802021051111034289036</v>
      </c>
      <c r="C249" s="7" t="s">
        <v>10</v>
      </c>
      <c r="D249" s="7" t="str">
        <f>"蒋玉花"</f>
        <v>蒋玉花</v>
      </c>
      <c r="E249" s="7" t="str">
        <f t="shared" si="10"/>
        <v>女</v>
      </c>
    </row>
    <row r="250" spans="1:5" ht="30" customHeight="1">
      <c r="A250" s="6">
        <v>248</v>
      </c>
      <c r="B250" s="7" t="str">
        <f>"29802021051111065889050"</f>
        <v>29802021051111065889050</v>
      </c>
      <c r="C250" s="7" t="s">
        <v>10</v>
      </c>
      <c r="D250" s="7" t="str">
        <f>"黄晓晴"</f>
        <v>黄晓晴</v>
      </c>
      <c r="E250" s="7" t="str">
        <f t="shared" si="10"/>
        <v>女</v>
      </c>
    </row>
    <row r="251" spans="1:5" ht="30" customHeight="1">
      <c r="A251" s="6">
        <v>249</v>
      </c>
      <c r="B251" s="7" t="str">
        <f>"29802021051111185389098"</f>
        <v>29802021051111185389098</v>
      </c>
      <c r="C251" s="7" t="s">
        <v>10</v>
      </c>
      <c r="D251" s="7" t="str">
        <f>"吉家娟"</f>
        <v>吉家娟</v>
      </c>
      <c r="E251" s="7" t="str">
        <f t="shared" si="10"/>
        <v>女</v>
      </c>
    </row>
    <row r="252" spans="1:5" ht="30" customHeight="1">
      <c r="A252" s="6">
        <v>250</v>
      </c>
      <c r="B252" s="7" t="str">
        <f>"29802021051111475489194"</f>
        <v>29802021051111475489194</v>
      </c>
      <c r="C252" s="7" t="s">
        <v>10</v>
      </c>
      <c r="D252" s="7" t="str">
        <f>"文凤挑"</f>
        <v>文凤挑</v>
      </c>
      <c r="E252" s="7" t="str">
        <f t="shared" si="10"/>
        <v>女</v>
      </c>
    </row>
    <row r="253" spans="1:5" ht="30" customHeight="1">
      <c r="A253" s="6">
        <v>251</v>
      </c>
      <c r="B253" s="7" t="str">
        <f>"29802021051112454089370"</f>
        <v>29802021051112454089370</v>
      </c>
      <c r="C253" s="7" t="s">
        <v>10</v>
      </c>
      <c r="D253" s="7" t="str">
        <f>"李玲"</f>
        <v>李玲</v>
      </c>
      <c r="E253" s="7" t="str">
        <f t="shared" si="10"/>
        <v>女</v>
      </c>
    </row>
    <row r="254" spans="1:5" ht="30" customHeight="1">
      <c r="A254" s="6">
        <v>252</v>
      </c>
      <c r="B254" s="7" t="str">
        <f>"29802021051113031389416"</f>
        <v>29802021051113031389416</v>
      </c>
      <c r="C254" s="7" t="s">
        <v>10</v>
      </c>
      <c r="D254" s="7" t="str">
        <f>"符金珠"</f>
        <v>符金珠</v>
      </c>
      <c r="E254" s="7" t="str">
        <f t="shared" si="10"/>
        <v>女</v>
      </c>
    </row>
    <row r="255" spans="1:5" ht="30" customHeight="1">
      <c r="A255" s="6">
        <v>253</v>
      </c>
      <c r="B255" s="7" t="str">
        <f>"29802021051113143689435"</f>
        <v>29802021051113143689435</v>
      </c>
      <c r="C255" s="7" t="s">
        <v>10</v>
      </c>
      <c r="D255" s="7" t="str">
        <f>"唐琳玲"</f>
        <v>唐琳玲</v>
      </c>
      <c r="E255" s="7" t="str">
        <f t="shared" si="10"/>
        <v>女</v>
      </c>
    </row>
    <row r="256" spans="1:5" ht="30" customHeight="1">
      <c r="A256" s="6">
        <v>254</v>
      </c>
      <c r="B256" s="7" t="str">
        <f>"29802021051115402189885"</f>
        <v>29802021051115402189885</v>
      </c>
      <c r="C256" s="7" t="s">
        <v>10</v>
      </c>
      <c r="D256" s="7" t="str">
        <f>"吴婉依"</f>
        <v>吴婉依</v>
      </c>
      <c r="E256" s="7" t="str">
        <f t="shared" si="10"/>
        <v>女</v>
      </c>
    </row>
    <row r="257" spans="1:5" ht="30" customHeight="1">
      <c r="A257" s="6">
        <v>255</v>
      </c>
      <c r="B257" s="7" t="str">
        <f>"29802021051116074090007"</f>
        <v>29802021051116074090007</v>
      </c>
      <c r="C257" s="7" t="s">
        <v>10</v>
      </c>
      <c r="D257" s="7" t="str">
        <f>"符冬梅"</f>
        <v>符冬梅</v>
      </c>
      <c r="E257" s="7" t="str">
        <f t="shared" si="10"/>
        <v>女</v>
      </c>
    </row>
    <row r="258" spans="1:5" ht="30" customHeight="1">
      <c r="A258" s="6">
        <v>256</v>
      </c>
      <c r="B258" s="7" t="str">
        <f>"29802021051116472590147"</f>
        <v>29802021051116472590147</v>
      </c>
      <c r="C258" s="7" t="s">
        <v>10</v>
      </c>
      <c r="D258" s="7" t="str">
        <f>"许彩熊"</f>
        <v>许彩熊</v>
      </c>
      <c r="E258" s="7" t="str">
        <f t="shared" si="10"/>
        <v>女</v>
      </c>
    </row>
    <row r="259" spans="1:5" ht="30" customHeight="1">
      <c r="A259" s="6">
        <v>257</v>
      </c>
      <c r="B259" s="7" t="str">
        <f>"29802021051117405990331"</f>
        <v>29802021051117405990331</v>
      </c>
      <c r="C259" s="7" t="s">
        <v>10</v>
      </c>
      <c r="D259" s="7" t="str">
        <f>"陈金丹"</f>
        <v>陈金丹</v>
      </c>
      <c r="E259" s="7" t="str">
        <f t="shared" si="10"/>
        <v>女</v>
      </c>
    </row>
    <row r="260" spans="1:5" ht="30" customHeight="1">
      <c r="A260" s="6">
        <v>258</v>
      </c>
      <c r="B260" s="7" t="str">
        <f>"29802021051118452190513"</f>
        <v>29802021051118452190513</v>
      </c>
      <c r="C260" s="7" t="s">
        <v>10</v>
      </c>
      <c r="D260" s="7" t="str">
        <f>"林于淑"</f>
        <v>林于淑</v>
      </c>
      <c r="E260" s="7" t="str">
        <f t="shared" si="10"/>
        <v>女</v>
      </c>
    </row>
    <row r="261" spans="1:5" ht="30" customHeight="1">
      <c r="A261" s="6">
        <v>259</v>
      </c>
      <c r="B261" s="7" t="str">
        <f>"29802021051119594390719"</f>
        <v>29802021051119594390719</v>
      </c>
      <c r="C261" s="7" t="s">
        <v>10</v>
      </c>
      <c r="D261" s="7" t="str">
        <f>"郑森"</f>
        <v>郑森</v>
      </c>
      <c r="E261" s="7" t="str">
        <f>"男"</f>
        <v>男</v>
      </c>
    </row>
    <row r="262" spans="1:5" ht="30" customHeight="1">
      <c r="A262" s="6">
        <v>260</v>
      </c>
      <c r="B262" s="7" t="str">
        <f>"29802021051120452790857"</f>
        <v>29802021051120452790857</v>
      </c>
      <c r="C262" s="7" t="s">
        <v>10</v>
      </c>
      <c r="D262" s="7" t="str">
        <f>"吕晓珊"</f>
        <v>吕晓珊</v>
      </c>
      <c r="E262" s="7" t="str">
        <f aca="true" t="shared" si="11" ref="E262:E278">"女"</f>
        <v>女</v>
      </c>
    </row>
    <row r="263" spans="1:5" ht="30" customHeight="1">
      <c r="A263" s="6">
        <v>261</v>
      </c>
      <c r="B263" s="7" t="str">
        <f>"29802021051122212691148"</f>
        <v>29802021051122212691148</v>
      </c>
      <c r="C263" s="7" t="s">
        <v>10</v>
      </c>
      <c r="D263" s="7" t="str">
        <f>"孙婧莹"</f>
        <v>孙婧莹</v>
      </c>
      <c r="E263" s="7" t="str">
        <f t="shared" si="11"/>
        <v>女</v>
      </c>
    </row>
    <row r="264" spans="1:5" ht="30" customHeight="1">
      <c r="A264" s="6">
        <v>262</v>
      </c>
      <c r="B264" s="7" t="str">
        <f>"29802021051208583791530"</f>
        <v>29802021051208583791530</v>
      </c>
      <c r="C264" s="7" t="s">
        <v>10</v>
      </c>
      <c r="D264" s="7" t="str">
        <f>"邵小萍"</f>
        <v>邵小萍</v>
      </c>
      <c r="E264" s="7" t="str">
        <f t="shared" si="11"/>
        <v>女</v>
      </c>
    </row>
    <row r="265" spans="1:5" ht="30" customHeight="1">
      <c r="A265" s="6">
        <v>263</v>
      </c>
      <c r="B265" s="7" t="str">
        <f>"29802021051209030791546"</f>
        <v>29802021051209030791546</v>
      </c>
      <c r="C265" s="7" t="s">
        <v>10</v>
      </c>
      <c r="D265" s="7" t="str">
        <f>"钟惠"</f>
        <v>钟惠</v>
      </c>
      <c r="E265" s="7" t="str">
        <f t="shared" si="11"/>
        <v>女</v>
      </c>
    </row>
    <row r="266" spans="1:5" ht="30" customHeight="1">
      <c r="A266" s="6">
        <v>264</v>
      </c>
      <c r="B266" s="7" t="str">
        <f>"29802021051209265091654"</f>
        <v>29802021051209265091654</v>
      </c>
      <c r="C266" s="7" t="s">
        <v>10</v>
      </c>
      <c r="D266" s="7" t="str">
        <f>"周碟"</f>
        <v>周碟</v>
      </c>
      <c r="E266" s="7" t="str">
        <f t="shared" si="11"/>
        <v>女</v>
      </c>
    </row>
    <row r="267" spans="1:5" ht="30" customHeight="1">
      <c r="A267" s="6">
        <v>265</v>
      </c>
      <c r="B267" s="7" t="str">
        <f>"29802021051210270391934"</f>
        <v>29802021051210270391934</v>
      </c>
      <c r="C267" s="7" t="s">
        <v>10</v>
      </c>
      <c r="D267" s="7" t="str">
        <f>"吉才红"</f>
        <v>吉才红</v>
      </c>
      <c r="E267" s="7" t="str">
        <f t="shared" si="11"/>
        <v>女</v>
      </c>
    </row>
    <row r="268" spans="1:5" ht="30" customHeight="1">
      <c r="A268" s="6">
        <v>266</v>
      </c>
      <c r="B268" s="7" t="str">
        <f>"29802021051211085292158"</f>
        <v>29802021051211085292158</v>
      </c>
      <c r="C268" s="7" t="s">
        <v>10</v>
      </c>
      <c r="D268" s="7" t="str">
        <f>"邓雪映"</f>
        <v>邓雪映</v>
      </c>
      <c r="E268" s="7" t="str">
        <f t="shared" si="11"/>
        <v>女</v>
      </c>
    </row>
    <row r="269" spans="1:5" ht="30" customHeight="1">
      <c r="A269" s="6">
        <v>267</v>
      </c>
      <c r="B269" s="7" t="str">
        <f>"29802021051211470092310"</f>
        <v>29802021051211470092310</v>
      </c>
      <c r="C269" s="7" t="s">
        <v>10</v>
      </c>
      <c r="D269" s="7" t="str">
        <f>"何惠芬"</f>
        <v>何惠芬</v>
      </c>
      <c r="E269" s="7" t="str">
        <f t="shared" si="11"/>
        <v>女</v>
      </c>
    </row>
    <row r="270" spans="1:5" ht="30" customHeight="1">
      <c r="A270" s="6">
        <v>268</v>
      </c>
      <c r="B270" s="7" t="str">
        <f>"29802021051213231392599"</f>
        <v>29802021051213231392599</v>
      </c>
      <c r="C270" s="7" t="s">
        <v>10</v>
      </c>
      <c r="D270" s="7" t="str">
        <f>"吕琴"</f>
        <v>吕琴</v>
      </c>
      <c r="E270" s="7" t="str">
        <f t="shared" si="11"/>
        <v>女</v>
      </c>
    </row>
    <row r="271" spans="1:5" ht="30" customHeight="1">
      <c r="A271" s="6">
        <v>269</v>
      </c>
      <c r="B271" s="7" t="str">
        <f>"29802021051213315992615"</f>
        <v>29802021051213315992615</v>
      </c>
      <c r="C271" s="7" t="s">
        <v>10</v>
      </c>
      <c r="D271" s="7" t="str">
        <f>"李助桂"</f>
        <v>李助桂</v>
      </c>
      <c r="E271" s="7" t="str">
        <f t="shared" si="11"/>
        <v>女</v>
      </c>
    </row>
    <row r="272" spans="1:5" ht="30" customHeight="1">
      <c r="A272" s="6">
        <v>270</v>
      </c>
      <c r="B272" s="7" t="str">
        <f>"29802021051215064292829"</f>
        <v>29802021051215064292829</v>
      </c>
      <c r="C272" s="7" t="s">
        <v>10</v>
      </c>
      <c r="D272" s="7" t="str">
        <f>"林小晶"</f>
        <v>林小晶</v>
      </c>
      <c r="E272" s="7" t="str">
        <f t="shared" si="11"/>
        <v>女</v>
      </c>
    </row>
    <row r="273" spans="1:5" ht="30" customHeight="1">
      <c r="A273" s="6">
        <v>271</v>
      </c>
      <c r="B273" s="7" t="str">
        <f>"29802021051215460792993"</f>
        <v>29802021051215460792993</v>
      </c>
      <c r="C273" s="7" t="s">
        <v>10</v>
      </c>
      <c r="D273" s="7" t="str">
        <f>"莫启燕"</f>
        <v>莫启燕</v>
      </c>
      <c r="E273" s="7" t="str">
        <f t="shared" si="11"/>
        <v>女</v>
      </c>
    </row>
    <row r="274" spans="1:5" ht="30" customHeight="1">
      <c r="A274" s="6">
        <v>272</v>
      </c>
      <c r="B274" s="7" t="str">
        <f>"29802021051216055593071"</f>
        <v>29802021051216055593071</v>
      </c>
      <c r="C274" s="7" t="s">
        <v>10</v>
      </c>
      <c r="D274" s="7" t="str">
        <f>"高秀佳"</f>
        <v>高秀佳</v>
      </c>
      <c r="E274" s="7" t="str">
        <f t="shared" si="11"/>
        <v>女</v>
      </c>
    </row>
    <row r="275" spans="1:5" ht="30" customHeight="1">
      <c r="A275" s="6">
        <v>273</v>
      </c>
      <c r="B275" s="7" t="str">
        <f>"29802021051218571593586"</f>
        <v>29802021051218571593586</v>
      </c>
      <c r="C275" s="7" t="s">
        <v>10</v>
      </c>
      <c r="D275" s="7" t="str">
        <f>"林玛明"</f>
        <v>林玛明</v>
      </c>
      <c r="E275" s="7" t="str">
        <f t="shared" si="11"/>
        <v>女</v>
      </c>
    </row>
    <row r="276" spans="1:5" ht="30" customHeight="1">
      <c r="A276" s="6">
        <v>274</v>
      </c>
      <c r="B276" s="7" t="str">
        <f>"29802021051219133693616"</f>
        <v>29802021051219133693616</v>
      </c>
      <c r="C276" s="7" t="s">
        <v>10</v>
      </c>
      <c r="D276" s="7" t="str">
        <f>"马金凤"</f>
        <v>马金凤</v>
      </c>
      <c r="E276" s="7" t="str">
        <f t="shared" si="11"/>
        <v>女</v>
      </c>
    </row>
    <row r="277" spans="1:5" ht="30" customHeight="1">
      <c r="A277" s="6">
        <v>275</v>
      </c>
      <c r="B277" s="7" t="str">
        <f>"29802021051220363693781"</f>
        <v>29802021051220363693781</v>
      </c>
      <c r="C277" s="7" t="s">
        <v>10</v>
      </c>
      <c r="D277" s="7" t="str">
        <f>"钟丽洁"</f>
        <v>钟丽洁</v>
      </c>
      <c r="E277" s="7" t="str">
        <f t="shared" si="11"/>
        <v>女</v>
      </c>
    </row>
    <row r="278" spans="1:5" ht="30" customHeight="1">
      <c r="A278" s="6">
        <v>276</v>
      </c>
      <c r="B278" s="7" t="str">
        <f>"29802021051220481993803"</f>
        <v>29802021051220481993803</v>
      </c>
      <c r="C278" s="7" t="s">
        <v>10</v>
      </c>
      <c r="D278" s="7" t="str">
        <f>"文秋彦"</f>
        <v>文秋彦</v>
      </c>
      <c r="E278" s="7" t="str">
        <f t="shared" si="11"/>
        <v>女</v>
      </c>
    </row>
    <row r="279" spans="1:5" ht="30" customHeight="1">
      <c r="A279" s="6">
        <v>277</v>
      </c>
      <c r="B279" s="7" t="str">
        <f>"29802021051221042393848"</f>
        <v>29802021051221042393848</v>
      </c>
      <c r="C279" s="7" t="s">
        <v>10</v>
      </c>
      <c r="D279" s="7" t="str">
        <f>"王祺定"</f>
        <v>王祺定</v>
      </c>
      <c r="E279" s="7" t="str">
        <f>"男"</f>
        <v>男</v>
      </c>
    </row>
    <row r="280" spans="1:5" ht="30" customHeight="1">
      <c r="A280" s="6">
        <v>278</v>
      </c>
      <c r="B280" s="7" t="str">
        <f>"29802021051221165793880"</f>
        <v>29802021051221165793880</v>
      </c>
      <c r="C280" s="7" t="s">
        <v>10</v>
      </c>
      <c r="D280" s="7" t="str">
        <f>"倪德霞"</f>
        <v>倪德霞</v>
      </c>
      <c r="E280" s="7" t="str">
        <f aca="true" t="shared" si="12" ref="E280:E291">"女"</f>
        <v>女</v>
      </c>
    </row>
    <row r="281" spans="1:5" ht="30" customHeight="1">
      <c r="A281" s="6">
        <v>279</v>
      </c>
      <c r="B281" s="7" t="str">
        <f>"29802021051222541294114"</f>
        <v>29802021051222541294114</v>
      </c>
      <c r="C281" s="7" t="s">
        <v>10</v>
      </c>
      <c r="D281" s="7" t="str">
        <f>"赵日周"</f>
        <v>赵日周</v>
      </c>
      <c r="E281" s="7" t="str">
        <f t="shared" si="12"/>
        <v>女</v>
      </c>
    </row>
    <row r="282" spans="1:5" ht="30" customHeight="1">
      <c r="A282" s="6">
        <v>280</v>
      </c>
      <c r="B282" s="7" t="str">
        <f>"29802021051300433394236"</f>
        <v>29802021051300433394236</v>
      </c>
      <c r="C282" s="7" t="s">
        <v>10</v>
      </c>
      <c r="D282" s="7" t="str">
        <f>"符小兔"</f>
        <v>符小兔</v>
      </c>
      <c r="E282" s="7" t="str">
        <f t="shared" si="12"/>
        <v>女</v>
      </c>
    </row>
    <row r="283" spans="1:5" ht="30" customHeight="1">
      <c r="A283" s="6">
        <v>281</v>
      </c>
      <c r="B283" s="7" t="str">
        <f>"29802021051308130494289"</f>
        <v>29802021051308130494289</v>
      </c>
      <c r="C283" s="7" t="s">
        <v>10</v>
      </c>
      <c r="D283" s="7" t="str">
        <f>"李平丹"</f>
        <v>李平丹</v>
      </c>
      <c r="E283" s="7" t="str">
        <f t="shared" si="12"/>
        <v>女</v>
      </c>
    </row>
    <row r="284" spans="1:5" ht="30" customHeight="1">
      <c r="A284" s="6">
        <v>282</v>
      </c>
      <c r="B284" s="7" t="str">
        <f>"29802021051308223194308"</f>
        <v>29802021051308223194308</v>
      </c>
      <c r="C284" s="7" t="s">
        <v>10</v>
      </c>
      <c r="D284" s="7" t="str">
        <f>"李珍方"</f>
        <v>李珍方</v>
      </c>
      <c r="E284" s="7" t="str">
        <f t="shared" si="12"/>
        <v>女</v>
      </c>
    </row>
    <row r="285" spans="1:5" ht="30" customHeight="1">
      <c r="A285" s="6">
        <v>283</v>
      </c>
      <c r="B285" s="7" t="str">
        <f>"29802021051309114294423"</f>
        <v>29802021051309114294423</v>
      </c>
      <c r="C285" s="7" t="s">
        <v>10</v>
      </c>
      <c r="D285" s="7" t="str">
        <f>"黄国琴"</f>
        <v>黄国琴</v>
      </c>
      <c r="E285" s="7" t="str">
        <f t="shared" si="12"/>
        <v>女</v>
      </c>
    </row>
    <row r="286" spans="1:5" ht="30" customHeight="1">
      <c r="A286" s="6">
        <v>284</v>
      </c>
      <c r="B286" s="7" t="str">
        <f>"29802021051309472894526"</f>
        <v>29802021051309472894526</v>
      </c>
      <c r="C286" s="7" t="s">
        <v>10</v>
      </c>
      <c r="D286" s="7" t="str">
        <f>"程丹"</f>
        <v>程丹</v>
      </c>
      <c r="E286" s="7" t="str">
        <f t="shared" si="12"/>
        <v>女</v>
      </c>
    </row>
    <row r="287" spans="1:5" ht="30" customHeight="1">
      <c r="A287" s="6">
        <v>285</v>
      </c>
      <c r="B287" s="7" t="str">
        <f>"29802021051310393994693"</f>
        <v>29802021051310393994693</v>
      </c>
      <c r="C287" s="7" t="s">
        <v>10</v>
      </c>
      <c r="D287" s="7" t="str">
        <f>"陈银"</f>
        <v>陈银</v>
      </c>
      <c r="E287" s="7" t="str">
        <f t="shared" si="12"/>
        <v>女</v>
      </c>
    </row>
    <row r="288" spans="1:5" ht="30" customHeight="1">
      <c r="A288" s="6">
        <v>286</v>
      </c>
      <c r="B288" s="7" t="str">
        <f>"29802021051311280194867"</f>
        <v>29802021051311280194867</v>
      </c>
      <c r="C288" s="7" t="s">
        <v>10</v>
      </c>
      <c r="D288" s="7" t="str">
        <f>"张名娟"</f>
        <v>张名娟</v>
      </c>
      <c r="E288" s="7" t="str">
        <f t="shared" si="12"/>
        <v>女</v>
      </c>
    </row>
    <row r="289" spans="1:5" ht="30" customHeight="1">
      <c r="A289" s="6">
        <v>287</v>
      </c>
      <c r="B289" s="7" t="str">
        <f>"29802021051311484494915"</f>
        <v>29802021051311484494915</v>
      </c>
      <c r="C289" s="7" t="s">
        <v>10</v>
      </c>
      <c r="D289" s="7" t="str">
        <f>"温小宁"</f>
        <v>温小宁</v>
      </c>
      <c r="E289" s="7" t="str">
        <f t="shared" si="12"/>
        <v>女</v>
      </c>
    </row>
    <row r="290" spans="1:5" ht="30" customHeight="1">
      <c r="A290" s="6">
        <v>288</v>
      </c>
      <c r="B290" s="7" t="str">
        <f>"29802021051313271295076"</f>
        <v>29802021051313271295076</v>
      </c>
      <c r="C290" s="7" t="s">
        <v>10</v>
      </c>
      <c r="D290" s="7" t="str">
        <f>"王小霞"</f>
        <v>王小霞</v>
      </c>
      <c r="E290" s="7" t="str">
        <f t="shared" si="12"/>
        <v>女</v>
      </c>
    </row>
    <row r="291" spans="1:5" ht="30" customHeight="1">
      <c r="A291" s="6">
        <v>289</v>
      </c>
      <c r="B291" s="7" t="str">
        <f>"29802021051316064895413"</f>
        <v>29802021051316064895413</v>
      </c>
      <c r="C291" s="7" t="s">
        <v>10</v>
      </c>
      <c r="D291" s="7" t="str">
        <f>"王才华"</f>
        <v>王才华</v>
      </c>
      <c r="E291" s="7" t="str">
        <f t="shared" si="12"/>
        <v>女</v>
      </c>
    </row>
    <row r="292" spans="1:5" ht="30" customHeight="1">
      <c r="A292" s="6">
        <v>290</v>
      </c>
      <c r="B292" s="7" t="str">
        <f>"29802021051316245795465"</f>
        <v>29802021051316245795465</v>
      </c>
      <c r="C292" s="7" t="s">
        <v>10</v>
      </c>
      <c r="D292" s="7" t="str">
        <f>"钟晓明"</f>
        <v>钟晓明</v>
      </c>
      <c r="E292" s="7" t="str">
        <f>"男"</f>
        <v>男</v>
      </c>
    </row>
    <row r="293" spans="1:5" ht="30" customHeight="1">
      <c r="A293" s="6">
        <v>291</v>
      </c>
      <c r="B293" s="7" t="str">
        <f>"29802021051316333195486"</f>
        <v>29802021051316333195486</v>
      </c>
      <c r="C293" s="7" t="s">
        <v>10</v>
      </c>
      <c r="D293" s="7" t="str">
        <f>"王东露"</f>
        <v>王东露</v>
      </c>
      <c r="E293" s="7" t="str">
        <f aca="true" t="shared" si="13" ref="E293:E325">"女"</f>
        <v>女</v>
      </c>
    </row>
    <row r="294" spans="1:5" ht="30" customHeight="1">
      <c r="A294" s="6">
        <v>292</v>
      </c>
      <c r="B294" s="7" t="str">
        <f>"29802021051317253295617"</f>
        <v>29802021051317253295617</v>
      </c>
      <c r="C294" s="7" t="s">
        <v>10</v>
      </c>
      <c r="D294" s="7" t="str">
        <f>"羊昆妮"</f>
        <v>羊昆妮</v>
      </c>
      <c r="E294" s="7" t="str">
        <f t="shared" si="13"/>
        <v>女</v>
      </c>
    </row>
    <row r="295" spans="1:5" ht="30" customHeight="1">
      <c r="A295" s="6">
        <v>293</v>
      </c>
      <c r="B295" s="7" t="str">
        <f>"29802021051320031095915"</f>
        <v>29802021051320031095915</v>
      </c>
      <c r="C295" s="7" t="s">
        <v>10</v>
      </c>
      <c r="D295" s="7" t="str">
        <f>"李丽川"</f>
        <v>李丽川</v>
      </c>
      <c r="E295" s="7" t="str">
        <f t="shared" si="13"/>
        <v>女</v>
      </c>
    </row>
    <row r="296" spans="1:5" ht="30" customHeight="1">
      <c r="A296" s="6">
        <v>294</v>
      </c>
      <c r="B296" s="7" t="str">
        <f>"29802021051321191296056"</f>
        <v>29802021051321191296056</v>
      </c>
      <c r="C296" s="7" t="s">
        <v>10</v>
      </c>
      <c r="D296" s="7" t="str">
        <f>"麦小菊"</f>
        <v>麦小菊</v>
      </c>
      <c r="E296" s="7" t="str">
        <f t="shared" si="13"/>
        <v>女</v>
      </c>
    </row>
    <row r="297" spans="1:5" ht="30" customHeight="1">
      <c r="A297" s="6">
        <v>295</v>
      </c>
      <c r="B297" s="7" t="str">
        <f>"29802021051323034596295"</f>
        <v>29802021051323034596295</v>
      </c>
      <c r="C297" s="7" t="s">
        <v>10</v>
      </c>
      <c r="D297" s="7" t="str">
        <f>"唐杨柳"</f>
        <v>唐杨柳</v>
      </c>
      <c r="E297" s="7" t="str">
        <f t="shared" si="13"/>
        <v>女</v>
      </c>
    </row>
    <row r="298" spans="1:5" ht="30" customHeight="1">
      <c r="A298" s="6">
        <v>296</v>
      </c>
      <c r="B298" s="7" t="str">
        <f>"29802021051323253896330"</f>
        <v>29802021051323253896330</v>
      </c>
      <c r="C298" s="7" t="s">
        <v>10</v>
      </c>
      <c r="D298" s="7" t="str">
        <f>"周亚莲"</f>
        <v>周亚莲</v>
      </c>
      <c r="E298" s="7" t="str">
        <f t="shared" si="13"/>
        <v>女</v>
      </c>
    </row>
    <row r="299" spans="1:5" ht="30" customHeight="1">
      <c r="A299" s="6">
        <v>297</v>
      </c>
      <c r="B299" s="7" t="str">
        <f>"29802021051401391596405"</f>
        <v>29802021051401391596405</v>
      </c>
      <c r="C299" s="7" t="s">
        <v>10</v>
      </c>
      <c r="D299" s="7" t="str">
        <f>"王红芳"</f>
        <v>王红芳</v>
      </c>
      <c r="E299" s="7" t="str">
        <f t="shared" si="13"/>
        <v>女</v>
      </c>
    </row>
    <row r="300" spans="1:5" ht="30" customHeight="1">
      <c r="A300" s="6">
        <v>298</v>
      </c>
      <c r="B300" s="7" t="str">
        <f>"29802021051408384796481"</f>
        <v>29802021051408384796481</v>
      </c>
      <c r="C300" s="7" t="s">
        <v>10</v>
      </c>
      <c r="D300" s="7" t="str">
        <f>"陈小桥"</f>
        <v>陈小桥</v>
      </c>
      <c r="E300" s="7" t="str">
        <f t="shared" si="13"/>
        <v>女</v>
      </c>
    </row>
    <row r="301" spans="1:5" ht="30" customHeight="1">
      <c r="A301" s="6">
        <v>299</v>
      </c>
      <c r="B301" s="7" t="str">
        <f>"29802021051409382996601"</f>
        <v>29802021051409382996601</v>
      </c>
      <c r="C301" s="7" t="s">
        <v>10</v>
      </c>
      <c r="D301" s="7" t="str">
        <f>"文日婷"</f>
        <v>文日婷</v>
      </c>
      <c r="E301" s="7" t="str">
        <f t="shared" si="13"/>
        <v>女</v>
      </c>
    </row>
    <row r="302" spans="1:5" ht="30" customHeight="1">
      <c r="A302" s="6">
        <v>300</v>
      </c>
      <c r="B302" s="7" t="str">
        <f>"29802021051409383296603"</f>
        <v>29802021051409383296603</v>
      </c>
      <c r="C302" s="7" t="s">
        <v>10</v>
      </c>
      <c r="D302" s="7" t="str">
        <f>"王云丽"</f>
        <v>王云丽</v>
      </c>
      <c r="E302" s="7" t="str">
        <f t="shared" si="13"/>
        <v>女</v>
      </c>
    </row>
    <row r="303" spans="1:5" ht="30" customHeight="1">
      <c r="A303" s="6">
        <v>301</v>
      </c>
      <c r="B303" s="7" t="str">
        <f>"29802021051409512496637"</f>
        <v>29802021051409512496637</v>
      </c>
      <c r="C303" s="7" t="s">
        <v>10</v>
      </c>
      <c r="D303" s="7" t="str">
        <f>"陈秀娟"</f>
        <v>陈秀娟</v>
      </c>
      <c r="E303" s="7" t="str">
        <f t="shared" si="13"/>
        <v>女</v>
      </c>
    </row>
    <row r="304" spans="1:5" ht="30" customHeight="1">
      <c r="A304" s="6">
        <v>302</v>
      </c>
      <c r="B304" s="7" t="str">
        <f>"29802021051410262496725"</f>
        <v>29802021051410262496725</v>
      </c>
      <c r="C304" s="7" t="s">
        <v>10</v>
      </c>
      <c r="D304" s="7" t="str">
        <f>"邢贞莹"</f>
        <v>邢贞莹</v>
      </c>
      <c r="E304" s="7" t="str">
        <f t="shared" si="13"/>
        <v>女</v>
      </c>
    </row>
    <row r="305" spans="1:5" ht="30" customHeight="1">
      <c r="A305" s="6">
        <v>303</v>
      </c>
      <c r="B305" s="7" t="str">
        <f>"29802021051410585796790"</f>
        <v>29802021051410585796790</v>
      </c>
      <c r="C305" s="7" t="s">
        <v>10</v>
      </c>
      <c r="D305" s="7" t="str">
        <f>"冯铃雅"</f>
        <v>冯铃雅</v>
      </c>
      <c r="E305" s="7" t="str">
        <f t="shared" si="13"/>
        <v>女</v>
      </c>
    </row>
    <row r="306" spans="1:5" ht="30" customHeight="1">
      <c r="A306" s="6">
        <v>304</v>
      </c>
      <c r="B306" s="7" t="str">
        <f>"29802021051412390297001"</f>
        <v>29802021051412390297001</v>
      </c>
      <c r="C306" s="7" t="s">
        <v>10</v>
      </c>
      <c r="D306" s="7" t="str">
        <f>"石紫艳"</f>
        <v>石紫艳</v>
      </c>
      <c r="E306" s="7" t="str">
        <f t="shared" si="13"/>
        <v>女</v>
      </c>
    </row>
    <row r="307" spans="1:5" ht="30" customHeight="1">
      <c r="A307" s="6">
        <v>305</v>
      </c>
      <c r="B307" s="7" t="str">
        <f>"29802021051413571797157"</f>
        <v>29802021051413571797157</v>
      </c>
      <c r="C307" s="7" t="s">
        <v>10</v>
      </c>
      <c r="D307" s="7" t="str">
        <f>"符传丹"</f>
        <v>符传丹</v>
      </c>
      <c r="E307" s="7" t="str">
        <f t="shared" si="13"/>
        <v>女</v>
      </c>
    </row>
    <row r="308" spans="1:5" ht="30" customHeight="1">
      <c r="A308" s="6">
        <v>306</v>
      </c>
      <c r="B308" s="7" t="str">
        <f>"29802021051414392697221"</f>
        <v>29802021051414392697221</v>
      </c>
      <c r="C308" s="7" t="s">
        <v>10</v>
      </c>
      <c r="D308" s="7" t="str">
        <f>"周晶晶"</f>
        <v>周晶晶</v>
      </c>
      <c r="E308" s="7" t="str">
        <f t="shared" si="13"/>
        <v>女</v>
      </c>
    </row>
    <row r="309" spans="1:5" ht="30" customHeight="1">
      <c r="A309" s="6">
        <v>307</v>
      </c>
      <c r="B309" s="7" t="str">
        <f>"29802021051417381197621"</f>
        <v>29802021051417381197621</v>
      </c>
      <c r="C309" s="7" t="s">
        <v>10</v>
      </c>
      <c r="D309" s="7" t="str">
        <f>"王锡慧"</f>
        <v>王锡慧</v>
      </c>
      <c r="E309" s="7" t="str">
        <f t="shared" si="13"/>
        <v>女</v>
      </c>
    </row>
    <row r="310" spans="1:5" ht="30" customHeight="1">
      <c r="A310" s="6">
        <v>308</v>
      </c>
      <c r="B310" s="7" t="str">
        <f>"29802021051420391597898"</f>
        <v>29802021051420391597898</v>
      </c>
      <c r="C310" s="7" t="s">
        <v>10</v>
      </c>
      <c r="D310" s="7" t="str">
        <f>"徐长女"</f>
        <v>徐长女</v>
      </c>
      <c r="E310" s="7" t="str">
        <f t="shared" si="13"/>
        <v>女</v>
      </c>
    </row>
    <row r="311" spans="1:5" ht="30" customHeight="1">
      <c r="A311" s="6">
        <v>309</v>
      </c>
      <c r="B311" s="7" t="str">
        <f>"29802021051420400197901"</f>
        <v>29802021051420400197901</v>
      </c>
      <c r="C311" s="7" t="s">
        <v>10</v>
      </c>
      <c r="D311" s="7" t="str">
        <f>"符冬雨"</f>
        <v>符冬雨</v>
      </c>
      <c r="E311" s="7" t="str">
        <f t="shared" si="13"/>
        <v>女</v>
      </c>
    </row>
    <row r="312" spans="1:5" ht="30" customHeight="1">
      <c r="A312" s="6">
        <v>310</v>
      </c>
      <c r="B312" s="7" t="str">
        <f>"29802021051421050697945"</f>
        <v>29802021051421050697945</v>
      </c>
      <c r="C312" s="7" t="s">
        <v>10</v>
      </c>
      <c r="D312" s="7" t="str">
        <f>"谢小芸"</f>
        <v>谢小芸</v>
      </c>
      <c r="E312" s="7" t="str">
        <f t="shared" si="13"/>
        <v>女</v>
      </c>
    </row>
    <row r="313" spans="1:5" ht="30" customHeight="1">
      <c r="A313" s="6">
        <v>311</v>
      </c>
      <c r="B313" s="7" t="str">
        <f>"29802021051422134298067"</f>
        <v>29802021051422134298067</v>
      </c>
      <c r="C313" s="7" t="s">
        <v>10</v>
      </c>
      <c r="D313" s="7" t="str">
        <f>"张万晶"</f>
        <v>张万晶</v>
      </c>
      <c r="E313" s="7" t="str">
        <f t="shared" si="13"/>
        <v>女</v>
      </c>
    </row>
    <row r="314" spans="1:5" ht="30" customHeight="1">
      <c r="A314" s="6">
        <v>312</v>
      </c>
      <c r="B314" s="7" t="str">
        <f>"29802021051422165998076"</f>
        <v>29802021051422165998076</v>
      </c>
      <c r="C314" s="7" t="s">
        <v>10</v>
      </c>
      <c r="D314" s="7" t="str">
        <f>"王裕銮"</f>
        <v>王裕銮</v>
      </c>
      <c r="E314" s="7" t="str">
        <f t="shared" si="13"/>
        <v>女</v>
      </c>
    </row>
    <row r="315" spans="1:5" ht="30" customHeight="1">
      <c r="A315" s="6">
        <v>313</v>
      </c>
      <c r="B315" s="7" t="str">
        <f>"29802021051422350098107"</f>
        <v>29802021051422350098107</v>
      </c>
      <c r="C315" s="7" t="s">
        <v>10</v>
      </c>
      <c r="D315" s="7" t="str">
        <f>"周小兰"</f>
        <v>周小兰</v>
      </c>
      <c r="E315" s="7" t="str">
        <f t="shared" si="13"/>
        <v>女</v>
      </c>
    </row>
    <row r="316" spans="1:5" ht="30" customHeight="1">
      <c r="A316" s="6">
        <v>314</v>
      </c>
      <c r="B316" s="7" t="str">
        <f>"29802021051422492998126"</f>
        <v>29802021051422492998126</v>
      </c>
      <c r="C316" s="7" t="s">
        <v>10</v>
      </c>
      <c r="D316" s="7" t="str">
        <f>"王少环"</f>
        <v>王少环</v>
      </c>
      <c r="E316" s="7" t="str">
        <f t="shared" si="13"/>
        <v>女</v>
      </c>
    </row>
    <row r="317" spans="1:5" ht="30" customHeight="1">
      <c r="A317" s="6">
        <v>315</v>
      </c>
      <c r="B317" s="7" t="str">
        <f>"29802021051422582798141"</f>
        <v>29802021051422582798141</v>
      </c>
      <c r="C317" s="7" t="s">
        <v>10</v>
      </c>
      <c r="D317" s="7" t="str">
        <f>"林婧娇"</f>
        <v>林婧娇</v>
      </c>
      <c r="E317" s="7" t="str">
        <f t="shared" si="13"/>
        <v>女</v>
      </c>
    </row>
    <row r="318" spans="1:5" ht="30" customHeight="1">
      <c r="A318" s="6">
        <v>316</v>
      </c>
      <c r="B318" s="7" t="str">
        <f>"29802021051500284198257"</f>
        <v>29802021051500284198257</v>
      </c>
      <c r="C318" s="7" t="s">
        <v>10</v>
      </c>
      <c r="D318" s="7" t="str">
        <f>"林川草"</f>
        <v>林川草</v>
      </c>
      <c r="E318" s="7" t="str">
        <f t="shared" si="13"/>
        <v>女</v>
      </c>
    </row>
    <row r="319" spans="1:5" ht="30" customHeight="1">
      <c r="A319" s="6">
        <v>317</v>
      </c>
      <c r="B319" s="7" t="str">
        <f>"29802021051507395698304"</f>
        <v>29802021051507395698304</v>
      </c>
      <c r="C319" s="7" t="s">
        <v>10</v>
      </c>
      <c r="D319" s="7" t="str">
        <f>"张华"</f>
        <v>张华</v>
      </c>
      <c r="E319" s="7" t="str">
        <f t="shared" si="13"/>
        <v>女</v>
      </c>
    </row>
    <row r="320" spans="1:5" ht="30" customHeight="1">
      <c r="A320" s="6">
        <v>318</v>
      </c>
      <c r="B320" s="7" t="str">
        <f>"29802021051510441798500"</f>
        <v>29802021051510441798500</v>
      </c>
      <c r="C320" s="7" t="s">
        <v>10</v>
      </c>
      <c r="D320" s="7" t="str">
        <f>"陈丹凤"</f>
        <v>陈丹凤</v>
      </c>
      <c r="E320" s="7" t="str">
        <f t="shared" si="13"/>
        <v>女</v>
      </c>
    </row>
    <row r="321" spans="1:5" ht="30" customHeight="1">
      <c r="A321" s="6">
        <v>319</v>
      </c>
      <c r="B321" s="7" t="str">
        <f>"29802021051510454798507"</f>
        <v>29802021051510454798507</v>
      </c>
      <c r="C321" s="7" t="s">
        <v>10</v>
      </c>
      <c r="D321" s="7" t="str">
        <f>"胡丽金"</f>
        <v>胡丽金</v>
      </c>
      <c r="E321" s="7" t="str">
        <f t="shared" si="13"/>
        <v>女</v>
      </c>
    </row>
    <row r="322" spans="1:5" ht="30" customHeight="1">
      <c r="A322" s="6">
        <v>320</v>
      </c>
      <c r="B322" s="7" t="str">
        <f>"29802021051512214198672"</f>
        <v>29802021051512214198672</v>
      </c>
      <c r="C322" s="7" t="s">
        <v>10</v>
      </c>
      <c r="D322" s="7" t="str">
        <f>"麦桑桑"</f>
        <v>麦桑桑</v>
      </c>
      <c r="E322" s="7" t="str">
        <f t="shared" si="13"/>
        <v>女</v>
      </c>
    </row>
    <row r="323" spans="1:5" ht="30" customHeight="1">
      <c r="A323" s="6">
        <v>321</v>
      </c>
      <c r="B323" s="7" t="str">
        <f>"29802021051513425798804"</f>
        <v>29802021051513425798804</v>
      </c>
      <c r="C323" s="7" t="s">
        <v>10</v>
      </c>
      <c r="D323" s="7" t="str">
        <f>"黎俊贞"</f>
        <v>黎俊贞</v>
      </c>
      <c r="E323" s="7" t="str">
        <f t="shared" si="13"/>
        <v>女</v>
      </c>
    </row>
    <row r="324" spans="1:5" ht="30" customHeight="1">
      <c r="A324" s="6">
        <v>322</v>
      </c>
      <c r="B324" s="7" t="str">
        <f>"29802021051514194298858"</f>
        <v>29802021051514194298858</v>
      </c>
      <c r="C324" s="7" t="s">
        <v>10</v>
      </c>
      <c r="D324" s="7" t="str">
        <f>"林道萍"</f>
        <v>林道萍</v>
      </c>
      <c r="E324" s="7" t="str">
        <f t="shared" si="13"/>
        <v>女</v>
      </c>
    </row>
    <row r="325" spans="1:5" ht="30" customHeight="1">
      <c r="A325" s="6">
        <v>323</v>
      </c>
      <c r="B325" s="7" t="str">
        <f>"29802021051515300298980"</f>
        <v>29802021051515300298980</v>
      </c>
      <c r="C325" s="7" t="s">
        <v>10</v>
      </c>
      <c r="D325" s="7" t="str">
        <f>"于晓梅"</f>
        <v>于晓梅</v>
      </c>
      <c r="E325" s="7" t="str">
        <f t="shared" si="13"/>
        <v>女</v>
      </c>
    </row>
    <row r="326" spans="1:5" ht="30" customHeight="1">
      <c r="A326" s="6">
        <v>324</v>
      </c>
      <c r="B326" s="7" t="str">
        <f>"29802021050908430580531"</f>
        <v>29802021050908430580531</v>
      </c>
      <c r="C326" s="7" t="s">
        <v>11</v>
      </c>
      <c r="D326" s="7" t="str">
        <f>"倪胜永"</f>
        <v>倪胜永</v>
      </c>
      <c r="E326" s="7" t="str">
        <f>"男"</f>
        <v>男</v>
      </c>
    </row>
    <row r="327" spans="1:5" ht="30" customHeight="1">
      <c r="A327" s="6">
        <v>325</v>
      </c>
      <c r="B327" s="7" t="str">
        <f>"29802021050908560080547"</f>
        <v>29802021050908560080547</v>
      </c>
      <c r="C327" s="7" t="s">
        <v>11</v>
      </c>
      <c r="D327" s="7" t="str">
        <f>"邢清瑶"</f>
        <v>邢清瑶</v>
      </c>
      <c r="E327" s="7" t="str">
        <f>"女"</f>
        <v>女</v>
      </c>
    </row>
    <row r="328" spans="1:5" ht="30" customHeight="1">
      <c r="A328" s="6">
        <v>326</v>
      </c>
      <c r="B328" s="7" t="str">
        <f>"29802021050909165280588"</f>
        <v>29802021050909165280588</v>
      </c>
      <c r="C328" s="7" t="s">
        <v>11</v>
      </c>
      <c r="D328" s="7" t="str">
        <f>"王敬"</f>
        <v>王敬</v>
      </c>
      <c r="E328" s="7" t="str">
        <f>"男"</f>
        <v>男</v>
      </c>
    </row>
    <row r="329" spans="1:5" ht="30" customHeight="1">
      <c r="A329" s="6">
        <v>327</v>
      </c>
      <c r="B329" s="7" t="str">
        <f>"29802021050909500780650"</f>
        <v>29802021050909500780650</v>
      </c>
      <c r="C329" s="7" t="s">
        <v>11</v>
      </c>
      <c r="D329" s="7" t="str">
        <f>"李寒"</f>
        <v>李寒</v>
      </c>
      <c r="E329" s="7" t="str">
        <f>"女"</f>
        <v>女</v>
      </c>
    </row>
    <row r="330" spans="1:5" ht="30" customHeight="1">
      <c r="A330" s="6">
        <v>328</v>
      </c>
      <c r="B330" s="7" t="str">
        <f>"29802021050912393380964"</f>
        <v>29802021050912393380964</v>
      </c>
      <c r="C330" s="7" t="s">
        <v>11</v>
      </c>
      <c r="D330" s="7" t="str">
        <f>"陈宝妹"</f>
        <v>陈宝妹</v>
      </c>
      <c r="E330" s="7" t="str">
        <f>"女"</f>
        <v>女</v>
      </c>
    </row>
    <row r="331" spans="1:5" ht="30" customHeight="1">
      <c r="A331" s="6">
        <v>329</v>
      </c>
      <c r="B331" s="7" t="str">
        <f>"29802021050913040481013"</f>
        <v>29802021050913040481013</v>
      </c>
      <c r="C331" s="7" t="s">
        <v>11</v>
      </c>
      <c r="D331" s="7" t="str">
        <f>"王冰月"</f>
        <v>王冰月</v>
      </c>
      <c r="E331" s="7" t="str">
        <f>"女"</f>
        <v>女</v>
      </c>
    </row>
    <row r="332" spans="1:5" ht="30" customHeight="1">
      <c r="A332" s="6">
        <v>330</v>
      </c>
      <c r="B332" s="7" t="str">
        <f>"29802021050914423881145"</f>
        <v>29802021050914423881145</v>
      </c>
      <c r="C332" s="7" t="s">
        <v>11</v>
      </c>
      <c r="D332" s="7" t="str">
        <f>"陈雅丹"</f>
        <v>陈雅丹</v>
      </c>
      <c r="E332" s="7" t="str">
        <f>"女"</f>
        <v>女</v>
      </c>
    </row>
    <row r="333" spans="1:5" ht="30" customHeight="1">
      <c r="A333" s="6">
        <v>331</v>
      </c>
      <c r="B333" s="7" t="str">
        <f>"29802021050914592181176"</f>
        <v>29802021050914592181176</v>
      </c>
      <c r="C333" s="7" t="s">
        <v>11</v>
      </c>
      <c r="D333" s="7" t="str">
        <f>"王家宇"</f>
        <v>王家宇</v>
      </c>
      <c r="E333" s="7" t="str">
        <f>"男"</f>
        <v>男</v>
      </c>
    </row>
    <row r="334" spans="1:5" ht="30" customHeight="1">
      <c r="A334" s="6">
        <v>332</v>
      </c>
      <c r="B334" s="7" t="str">
        <f>"29802021050917175181444"</f>
        <v>29802021050917175181444</v>
      </c>
      <c r="C334" s="7" t="s">
        <v>11</v>
      </c>
      <c r="D334" s="7" t="str">
        <f>"王雪倩"</f>
        <v>王雪倩</v>
      </c>
      <c r="E334" s="7" t="str">
        <f>"女"</f>
        <v>女</v>
      </c>
    </row>
    <row r="335" spans="1:5" ht="30" customHeight="1">
      <c r="A335" s="6">
        <v>333</v>
      </c>
      <c r="B335" s="7" t="str">
        <f>"29802021050917233581460"</f>
        <v>29802021050917233581460</v>
      </c>
      <c r="C335" s="7" t="s">
        <v>11</v>
      </c>
      <c r="D335" s="7" t="str">
        <f>"吴正昊"</f>
        <v>吴正昊</v>
      </c>
      <c r="E335" s="7" t="str">
        <f>"男"</f>
        <v>男</v>
      </c>
    </row>
    <row r="336" spans="1:5" ht="30" customHeight="1">
      <c r="A336" s="6">
        <v>334</v>
      </c>
      <c r="B336" s="7" t="str">
        <f>"29802021050918070181553"</f>
        <v>29802021050918070181553</v>
      </c>
      <c r="C336" s="7" t="s">
        <v>11</v>
      </c>
      <c r="D336" s="7" t="str">
        <f>"林发敏"</f>
        <v>林发敏</v>
      </c>
      <c r="E336" s="7" t="str">
        <f>"男"</f>
        <v>男</v>
      </c>
    </row>
    <row r="337" spans="1:5" ht="30" customHeight="1">
      <c r="A337" s="6">
        <v>335</v>
      </c>
      <c r="B337" s="7" t="str">
        <f>"29802021050918431381621"</f>
        <v>29802021050918431381621</v>
      </c>
      <c r="C337" s="7" t="s">
        <v>11</v>
      </c>
      <c r="D337" s="7" t="str">
        <f>"麦惠乾"</f>
        <v>麦惠乾</v>
      </c>
      <c r="E337" s="7" t="str">
        <f>"女"</f>
        <v>女</v>
      </c>
    </row>
    <row r="338" spans="1:5" ht="30" customHeight="1">
      <c r="A338" s="6">
        <v>336</v>
      </c>
      <c r="B338" s="7" t="str">
        <f>"29802021050918455681630"</f>
        <v>29802021050918455681630</v>
      </c>
      <c r="C338" s="7" t="s">
        <v>11</v>
      </c>
      <c r="D338" s="7" t="str">
        <f>"陈莹"</f>
        <v>陈莹</v>
      </c>
      <c r="E338" s="7" t="str">
        <f>"女"</f>
        <v>女</v>
      </c>
    </row>
    <row r="339" spans="1:5" ht="30" customHeight="1">
      <c r="A339" s="6">
        <v>337</v>
      </c>
      <c r="B339" s="7" t="str">
        <f>"29802021050920545081883"</f>
        <v>29802021050920545081883</v>
      </c>
      <c r="C339" s="7" t="s">
        <v>11</v>
      </c>
      <c r="D339" s="7" t="str">
        <f>"林兰燕"</f>
        <v>林兰燕</v>
      </c>
      <c r="E339" s="7" t="str">
        <f>"女"</f>
        <v>女</v>
      </c>
    </row>
    <row r="340" spans="1:5" ht="30" customHeight="1">
      <c r="A340" s="6">
        <v>338</v>
      </c>
      <c r="B340" s="7" t="str">
        <f>"29802021050921473882012"</f>
        <v>29802021050921473882012</v>
      </c>
      <c r="C340" s="7" t="s">
        <v>11</v>
      </c>
      <c r="D340" s="7" t="str">
        <f>"李静姣"</f>
        <v>李静姣</v>
      </c>
      <c r="E340" s="7" t="str">
        <f>"女"</f>
        <v>女</v>
      </c>
    </row>
    <row r="341" spans="1:5" ht="30" customHeight="1">
      <c r="A341" s="6">
        <v>339</v>
      </c>
      <c r="B341" s="7" t="str">
        <f>"29802021050923262882243"</f>
        <v>29802021050923262882243</v>
      </c>
      <c r="C341" s="7" t="s">
        <v>11</v>
      </c>
      <c r="D341" s="7" t="str">
        <f>"符颖"</f>
        <v>符颖</v>
      </c>
      <c r="E341" s="7" t="str">
        <f>"男"</f>
        <v>男</v>
      </c>
    </row>
    <row r="342" spans="1:5" ht="30" customHeight="1">
      <c r="A342" s="6">
        <v>340</v>
      </c>
      <c r="B342" s="7" t="str">
        <f>"29802021051008375882550"</f>
        <v>29802021051008375882550</v>
      </c>
      <c r="C342" s="7" t="s">
        <v>11</v>
      </c>
      <c r="D342" s="7" t="str">
        <f>"黄诗琦"</f>
        <v>黄诗琦</v>
      </c>
      <c r="E342" s="7" t="str">
        <f>"女"</f>
        <v>女</v>
      </c>
    </row>
    <row r="343" spans="1:5" ht="30" customHeight="1">
      <c r="A343" s="6">
        <v>341</v>
      </c>
      <c r="B343" s="7" t="str">
        <f>"29802021051008451282596"</f>
        <v>29802021051008451282596</v>
      </c>
      <c r="C343" s="7" t="s">
        <v>11</v>
      </c>
      <c r="D343" s="7" t="str">
        <f>"潘帆"</f>
        <v>潘帆</v>
      </c>
      <c r="E343" s="7" t="str">
        <f>"女"</f>
        <v>女</v>
      </c>
    </row>
    <row r="344" spans="1:5" ht="30" customHeight="1">
      <c r="A344" s="6">
        <v>342</v>
      </c>
      <c r="B344" s="7" t="str">
        <f>"29802021051008561582681"</f>
        <v>29802021051008561582681</v>
      </c>
      <c r="C344" s="7" t="s">
        <v>11</v>
      </c>
      <c r="D344" s="7" t="str">
        <f>"符雪花"</f>
        <v>符雪花</v>
      </c>
      <c r="E344" s="7" t="str">
        <f>"女"</f>
        <v>女</v>
      </c>
    </row>
    <row r="345" spans="1:5" ht="30" customHeight="1">
      <c r="A345" s="6">
        <v>343</v>
      </c>
      <c r="B345" s="7" t="str">
        <f>"29802021051009210482994"</f>
        <v>29802021051009210482994</v>
      </c>
      <c r="C345" s="7" t="s">
        <v>11</v>
      </c>
      <c r="D345" s="7" t="str">
        <f>"黎祥栋"</f>
        <v>黎祥栋</v>
      </c>
      <c r="E345" s="7" t="str">
        <f>"男"</f>
        <v>男</v>
      </c>
    </row>
    <row r="346" spans="1:5" ht="30" customHeight="1">
      <c r="A346" s="6">
        <v>344</v>
      </c>
      <c r="B346" s="7" t="str">
        <f>"29802021051009383583178"</f>
        <v>29802021051009383583178</v>
      </c>
      <c r="C346" s="7" t="s">
        <v>11</v>
      </c>
      <c r="D346" s="7" t="str">
        <f>"卢银叶"</f>
        <v>卢银叶</v>
      </c>
      <c r="E346" s="7" t="str">
        <f>"女"</f>
        <v>女</v>
      </c>
    </row>
    <row r="347" spans="1:5" ht="30" customHeight="1">
      <c r="A347" s="6">
        <v>345</v>
      </c>
      <c r="B347" s="7" t="str">
        <f>"29802021051009553683347"</f>
        <v>29802021051009553683347</v>
      </c>
      <c r="C347" s="7" t="s">
        <v>11</v>
      </c>
      <c r="D347" s="7" t="str">
        <f>"邢思曼"</f>
        <v>邢思曼</v>
      </c>
      <c r="E347" s="7" t="str">
        <f>"女"</f>
        <v>女</v>
      </c>
    </row>
    <row r="348" spans="1:5" ht="30" customHeight="1">
      <c r="A348" s="6">
        <v>346</v>
      </c>
      <c r="B348" s="7" t="str">
        <f>"29802021051010222083699"</f>
        <v>29802021051010222083699</v>
      </c>
      <c r="C348" s="7" t="s">
        <v>11</v>
      </c>
      <c r="D348" s="7" t="str">
        <f>"钟绮云"</f>
        <v>钟绮云</v>
      </c>
      <c r="E348" s="7" t="str">
        <f>"女"</f>
        <v>女</v>
      </c>
    </row>
    <row r="349" spans="1:5" ht="30" customHeight="1">
      <c r="A349" s="6">
        <v>347</v>
      </c>
      <c r="B349" s="7" t="str">
        <f>"29802021051010395683915"</f>
        <v>29802021051010395683915</v>
      </c>
      <c r="C349" s="7" t="s">
        <v>11</v>
      </c>
      <c r="D349" s="7" t="str">
        <f>"符雪咪"</f>
        <v>符雪咪</v>
      </c>
      <c r="E349" s="7" t="str">
        <f>"女"</f>
        <v>女</v>
      </c>
    </row>
    <row r="350" spans="1:5" ht="30" customHeight="1">
      <c r="A350" s="6">
        <v>348</v>
      </c>
      <c r="B350" s="7" t="str">
        <f>"29802021051011274684366"</f>
        <v>29802021051011274684366</v>
      </c>
      <c r="C350" s="7" t="s">
        <v>11</v>
      </c>
      <c r="D350" s="7" t="str">
        <f>"刘水英"</f>
        <v>刘水英</v>
      </c>
      <c r="E350" s="7" t="str">
        <f>"女"</f>
        <v>女</v>
      </c>
    </row>
    <row r="351" spans="1:5" ht="30" customHeight="1">
      <c r="A351" s="6">
        <v>349</v>
      </c>
      <c r="B351" s="7" t="str">
        <f>"29802021051014425185380"</f>
        <v>29802021051014425185380</v>
      </c>
      <c r="C351" s="7" t="s">
        <v>11</v>
      </c>
      <c r="D351" s="7" t="str">
        <f>"赵开朝"</f>
        <v>赵开朝</v>
      </c>
      <c r="E351" s="7" t="str">
        <f>"男"</f>
        <v>男</v>
      </c>
    </row>
    <row r="352" spans="1:5" ht="30" customHeight="1">
      <c r="A352" s="6">
        <v>350</v>
      </c>
      <c r="B352" s="7" t="str">
        <f>"29802021051016074285977"</f>
        <v>29802021051016074285977</v>
      </c>
      <c r="C352" s="7" t="s">
        <v>11</v>
      </c>
      <c r="D352" s="7" t="str">
        <f>"龙靖"</f>
        <v>龙靖</v>
      </c>
      <c r="E352" s="7" t="str">
        <f aca="true" t="shared" si="14" ref="E352:E357">"女"</f>
        <v>女</v>
      </c>
    </row>
    <row r="353" spans="1:5" ht="30" customHeight="1">
      <c r="A353" s="6">
        <v>351</v>
      </c>
      <c r="B353" s="7" t="str">
        <f>"29802021051016571486340"</f>
        <v>29802021051016571486340</v>
      </c>
      <c r="C353" s="7" t="s">
        <v>11</v>
      </c>
      <c r="D353" s="7" t="str">
        <f>"万钦虹"</f>
        <v>万钦虹</v>
      </c>
      <c r="E353" s="7" t="str">
        <f t="shared" si="14"/>
        <v>女</v>
      </c>
    </row>
    <row r="354" spans="1:5" ht="30" customHeight="1">
      <c r="A354" s="6">
        <v>352</v>
      </c>
      <c r="B354" s="7" t="str">
        <f>"29802021051017115286419"</f>
        <v>29802021051017115286419</v>
      </c>
      <c r="C354" s="7" t="s">
        <v>11</v>
      </c>
      <c r="D354" s="7" t="str">
        <f>"邓美玲"</f>
        <v>邓美玲</v>
      </c>
      <c r="E354" s="7" t="str">
        <f t="shared" si="14"/>
        <v>女</v>
      </c>
    </row>
    <row r="355" spans="1:5" ht="30" customHeight="1">
      <c r="A355" s="6">
        <v>353</v>
      </c>
      <c r="B355" s="7" t="str">
        <f>"29802021051018021586669"</f>
        <v>29802021051018021586669</v>
      </c>
      <c r="C355" s="7" t="s">
        <v>11</v>
      </c>
      <c r="D355" s="7" t="str">
        <f>"林海霞"</f>
        <v>林海霞</v>
      </c>
      <c r="E355" s="7" t="str">
        <f t="shared" si="14"/>
        <v>女</v>
      </c>
    </row>
    <row r="356" spans="1:5" ht="30" customHeight="1">
      <c r="A356" s="6">
        <v>354</v>
      </c>
      <c r="B356" s="7" t="str">
        <f>"29802021051020293087314"</f>
        <v>29802021051020293087314</v>
      </c>
      <c r="C356" s="7" t="s">
        <v>11</v>
      </c>
      <c r="D356" s="7" t="str">
        <f>"金风坤"</f>
        <v>金风坤</v>
      </c>
      <c r="E356" s="7" t="str">
        <f t="shared" si="14"/>
        <v>女</v>
      </c>
    </row>
    <row r="357" spans="1:5" ht="30" customHeight="1">
      <c r="A357" s="6">
        <v>355</v>
      </c>
      <c r="B357" s="7" t="str">
        <f>"29802021051021402187626"</f>
        <v>29802021051021402187626</v>
      </c>
      <c r="C357" s="7" t="s">
        <v>11</v>
      </c>
      <c r="D357" s="7" t="str">
        <f>"李珊"</f>
        <v>李珊</v>
      </c>
      <c r="E357" s="7" t="str">
        <f t="shared" si="14"/>
        <v>女</v>
      </c>
    </row>
    <row r="358" spans="1:5" ht="30" customHeight="1">
      <c r="A358" s="6">
        <v>356</v>
      </c>
      <c r="B358" s="7" t="str">
        <f>"29802021051021515387682"</f>
        <v>29802021051021515387682</v>
      </c>
      <c r="C358" s="7" t="s">
        <v>11</v>
      </c>
      <c r="D358" s="7" t="str">
        <f>"齐见贤"</f>
        <v>齐见贤</v>
      </c>
      <c r="E358" s="7" t="str">
        <f>"男"</f>
        <v>男</v>
      </c>
    </row>
    <row r="359" spans="1:5" ht="30" customHeight="1">
      <c r="A359" s="6">
        <v>357</v>
      </c>
      <c r="B359" s="7" t="str">
        <f>"29802021051108104988244"</f>
        <v>29802021051108104988244</v>
      </c>
      <c r="C359" s="7" t="s">
        <v>11</v>
      </c>
      <c r="D359" s="7" t="str">
        <f>"邢丹云"</f>
        <v>邢丹云</v>
      </c>
      <c r="E359" s="7" t="str">
        <f aca="true" t="shared" si="15" ref="E359:E378">"女"</f>
        <v>女</v>
      </c>
    </row>
    <row r="360" spans="1:5" ht="30" customHeight="1">
      <c r="A360" s="6">
        <v>358</v>
      </c>
      <c r="B360" s="7" t="str">
        <f>"29802021051108122688246"</f>
        <v>29802021051108122688246</v>
      </c>
      <c r="C360" s="7" t="s">
        <v>11</v>
      </c>
      <c r="D360" s="7" t="str">
        <f>"麦琪琪"</f>
        <v>麦琪琪</v>
      </c>
      <c r="E360" s="7" t="str">
        <f t="shared" si="15"/>
        <v>女</v>
      </c>
    </row>
    <row r="361" spans="1:5" ht="30" customHeight="1">
      <c r="A361" s="6">
        <v>359</v>
      </c>
      <c r="B361" s="7" t="str">
        <f>"29802021051108425088332"</f>
        <v>29802021051108425088332</v>
      </c>
      <c r="C361" s="7" t="s">
        <v>11</v>
      </c>
      <c r="D361" s="7" t="str">
        <f>"邢莉莉"</f>
        <v>邢莉莉</v>
      </c>
      <c r="E361" s="7" t="str">
        <f t="shared" si="15"/>
        <v>女</v>
      </c>
    </row>
    <row r="362" spans="1:5" ht="30" customHeight="1">
      <c r="A362" s="6">
        <v>360</v>
      </c>
      <c r="B362" s="7" t="str">
        <f>"29802021051109374788587"</f>
        <v>29802021051109374788587</v>
      </c>
      <c r="C362" s="7" t="s">
        <v>11</v>
      </c>
      <c r="D362" s="7" t="str">
        <f>"卢文丽"</f>
        <v>卢文丽</v>
      </c>
      <c r="E362" s="7" t="str">
        <f t="shared" si="15"/>
        <v>女</v>
      </c>
    </row>
    <row r="363" spans="1:5" ht="30" customHeight="1">
      <c r="A363" s="6">
        <v>361</v>
      </c>
      <c r="B363" s="7" t="str">
        <f>"29802021051110002588695"</f>
        <v>29802021051110002588695</v>
      </c>
      <c r="C363" s="7" t="s">
        <v>11</v>
      </c>
      <c r="D363" s="7" t="str">
        <f>"董安莉"</f>
        <v>董安莉</v>
      </c>
      <c r="E363" s="7" t="str">
        <f t="shared" si="15"/>
        <v>女</v>
      </c>
    </row>
    <row r="364" spans="1:5" ht="30" customHeight="1">
      <c r="A364" s="6">
        <v>362</v>
      </c>
      <c r="B364" s="7" t="str">
        <f>"29802021051111450289185"</f>
        <v>29802021051111450289185</v>
      </c>
      <c r="C364" s="7" t="s">
        <v>11</v>
      </c>
      <c r="D364" s="7" t="str">
        <f>"李逸"</f>
        <v>李逸</v>
      </c>
      <c r="E364" s="7" t="str">
        <f t="shared" si="15"/>
        <v>女</v>
      </c>
    </row>
    <row r="365" spans="1:5" ht="30" customHeight="1">
      <c r="A365" s="6">
        <v>363</v>
      </c>
      <c r="B365" s="7" t="str">
        <f>"29802021051116455890144"</f>
        <v>29802021051116455890144</v>
      </c>
      <c r="C365" s="7" t="s">
        <v>11</v>
      </c>
      <c r="D365" s="7" t="str">
        <f>"吴宏华"</f>
        <v>吴宏华</v>
      </c>
      <c r="E365" s="7" t="str">
        <f t="shared" si="15"/>
        <v>女</v>
      </c>
    </row>
    <row r="366" spans="1:5" ht="30" customHeight="1">
      <c r="A366" s="6">
        <v>364</v>
      </c>
      <c r="B366" s="7" t="str">
        <f>"29802021051118261090462"</f>
        <v>29802021051118261090462</v>
      </c>
      <c r="C366" s="7" t="s">
        <v>11</v>
      </c>
      <c r="D366" s="7" t="str">
        <f>"黄彩荧"</f>
        <v>黄彩荧</v>
      </c>
      <c r="E366" s="7" t="str">
        <f t="shared" si="15"/>
        <v>女</v>
      </c>
    </row>
    <row r="367" spans="1:5" ht="30" customHeight="1">
      <c r="A367" s="6">
        <v>365</v>
      </c>
      <c r="B367" s="7" t="str">
        <f>"29802021051119293790626"</f>
        <v>29802021051119293790626</v>
      </c>
      <c r="C367" s="7" t="s">
        <v>11</v>
      </c>
      <c r="D367" s="7" t="str">
        <f>"谢娇蓉"</f>
        <v>谢娇蓉</v>
      </c>
      <c r="E367" s="7" t="str">
        <f t="shared" si="15"/>
        <v>女</v>
      </c>
    </row>
    <row r="368" spans="1:5" ht="30" customHeight="1">
      <c r="A368" s="6">
        <v>366</v>
      </c>
      <c r="B368" s="7" t="str">
        <f>"29802021051120332490819"</f>
        <v>29802021051120332490819</v>
      </c>
      <c r="C368" s="7" t="s">
        <v>11</v>
      </c>
      <c r="D368" s="7" t="str">
        <f>"郑维涛"</f>
        <v>郑维涛</v>
      </c>
      <c r="E368" s="7" t="str">
        <f t="shared" si="15"/>
        <v>女</v>
      </c>
    </row>
    <row r="369" spans="1:5" ht="30" customHeight="1">
      <c r="A369" s="6">
        <v>367</v>
      </c>
      <c r="B369" s="7" t="str">
        <f>"29802021051120411290842"</f>
        <v>29802021051120411290842</v>
      </c>
      <c r="C369" s="7" t="s">
        <v>11</v>
      </c>
      <c r="D369" s="7" t="str">
        <f>"林丽婷"</f>
        <v>林丽婷</v>
      </c>
      <c r="E369" s="7" t="str">
        <f t="shared" si="15"/>
        <v>女</v>
      </c>
    </row>
    <row r="370" spans="1:5" ht="30" customHeight="1">
      <c r="A370" s="6">
        <v>368</v>
      </c>
      <c r="B370" s="7" t="str">
        <f>"29802021051120554090885"</f>
        <v>29802021051120554090885</v>
      </c>
      <c r="C370" s="7" t="s">
        <v>11</v>
      </c>
      <c r="D370" s="7" t="str">
        <f>"李志灵"</f>
        <v>李志灵</v>
      </c>
      <c r="E370" s="7" t="str">
        <f t="shared" si="15"/>
        <v>女</v>
      </c>
    </row>
    <row r="371" spans="1:5" ht="30" customHeight="1">
      <c r="A371" s="6">
        <v>369</v>
      </c>
      <c r="B371" s="7" t="str">
        <f>"29802021051121045890915"</f>
        <v>29802021051121045890915</v>
      </c>
      <c r="C371" s="7" t="s">
        <v>11</v>
      </c>
      <c r="D371" s="7" t="str">
        <f>"羊代香"</f>
        <v>羊代香</v>
      </c>
      <c r="E371" s="7" t="str">
        <f t="shared" si="15"/>
        <v>女</v>
      </c>
    </row>
    <row r="372" spans="1:5" ht="30" customHeight="1">
      <c r="A372" s="6">
        <v>370</v>
      </c>
      <c r="B372" s="7" t="str">
        <f>"29802021051121382891014"</f>
        <v>29802021051121382891014</v>
      </c>
      <c r="C372" s="7" t="s">
        <v>11</v>
      </c>
      <c r="D372" s="7" t="str">
        <f>"周莉"</f>
        <v>周莉</v>
      </c>
      <c r="E372" s="7" t="str">
        <f t="shared" si="15"/>
        <v>女</v>
      </c>
    </row>
    <row r="373" spans="1:5" ht="30" customHeight="1">
      <c r="A373" s="6">
        <v>371</v>
      </c>
      <c r="B373" s="7" t="str">
        <f>"29802021051121480791054"</f>
        <v>29802021051121480791054</v>
      </c>
      <c r="C373" s="7" t="s">
        <v>11</v>
      </c>
      <c r="D373" s="7" t="str">
        <f>"洪小娇"</f>
        <v>洪小娇</v>
      </c>
      <c r="E373" s="7" t="str">
        <f t="shared" si="15"/>
        <v>女</v>
      </c>
    </row>
    <row r="374" spans="1:5" ht="30" customHeight="1">
      <c r="A374" s="6">
        <v>372</v>
      </c>
      <c r="B374" s="7" t="str">
        <f>"29802021051123380791326"</f>
        <v>29802021051123380791326</v>
      </c>
      <c r="C374" s="7" t="s">
        <v>11</v>
      </c>
      <c r="D374" s="7" t="str">
        <f>"马晓筠"</f>
        <v>马晓筠</v>
      </c>
      <c r="E374" s="7" t="str">
        <f t="shared" si="15"/>
        <v>女</v>
      </c>
    </row>
    <row r="375" spans="1:5" ht="30" customHeight="1">
      <c r="A375" s="6">
        <v>373</v>
      </c>
      <c r="B375" s="7" t="str">
        <f>"29802021051200360891369"</f>
        <v>29802021051200360891369</v>
      </c>
      <c r="C375" s="7" t="s">
        <v>11</v>
      </c>
      <c r="D375" s="7" t="str">
        <f>"朱联震"</f>
        <v>朱联震</v>
      </c>
      <c r="E375" s="7" t="str">
        <f t="shared" si="15"/>
        <v>女</v>
      </c>
    </row>
    <row r="376" spans="1:5" ht="30" customHeight="1">
      <c r="A376" s="6">
        <v>374</v>
      </c>
      <c r="B376" s="7" t="str">
        <f>"29802021051201080091389"</f>
        <v>29802021051201080091389</v>
      </c>
      <c r="C376" s="7" t="s">
        <v>11</v>
      </c>
      <c r="D376" s="7" t="str">
        <f>"陈学僖"</f>
        <v>陈学僖</v>
      </c>
      <c r="E376" s="7" t="str">
        <f t="shared" si="15"/>
        <v>女</v>
      </c>
    </row>
    <row r="377" spans="1:5" ht="30" customHeight="1">
      <c r="A377" s="6">
        <v>375</v>
      </c>
      <c r="B377" s="7" t="str">
        <f>"29802021051209531591771"</f>
        <v>29802021051209531591771</v>
      </c>
      <c r="C377" s="7" t="s">
        <v>11</v>
      </c>
      <c r="D377" s="7" t="str">
        <f>"符亚娜"</f>
        <v>符亚娜</v>
      </c>
      <c r="E377" s="7" t="str">
        <f t="shared" si="15"/>
        <v>女</v>
      </c>
    </row>
    <row r="378" spans="1:5" ht="30" customHeight="1">
      <c r="A378" s="6">
        <v>376</v>
      </c>
      <c r="B378" s="7" t="str">
        <f>"29802021051210300791951"</f>
        <v>29802021051210300791951</v>
      </c>
      <c r="C378" s="7" t="s">
        <v>11</v>
      </c>
      <c r="D378" s="7" t="str">
        <f>"杜丹丹"</f>
        <v>杜丹丹</v>
      </c>
      <c r="E378" s="7" t="str">
        <f t="shared" si="15"/>
        <v>女</v>
      </c>
    </row>
    <row r="379" spans="1:5" ht="30" customHeight="1">
      <c r="A379" s="6">
        <v>377</v>
      </c>
      <c r="B379" s="7" t="str">
        <f>"29802021051213095092561"</f>
        <v>29802021051213095092561</v>
      </c>
      <c r="C379" s="7" t="s">
        <v>11</v>
      </c>
      <c r="D379" s="7" t="str">
        <f>"符传雄"</f>
        <v>符传雄</v>
      </c>
      <c r="E379" s="7" t="str">
        <f>"男"</f>
        <v>男</v>
      </c>
    </row>
    <row r="380" spans="1:5" ht="30" customHeight="1">
      <c r="A380" s="6">
        <v>378</v>
      </c>
      <c r="B380" s="7" t="str">
        <f>"29802021051213390592619"</f>
        <v>29802021051213390592619</v>
      </c>
      <c r="C380" s="7" t="s">
        <v>11</v>
      </c>
      <c r="D380" s="7" t="str">
        <f>"吴养乾"</f>
        <v>吴养乾</v>
      </c>
      <c r="E380" s="7" t="str">
        <f>"男"</f>
        <v>男</v>
      </c>
    </row>
    <row r="381" spans="1:5" ht="30" customHeight="1">
      <c r="A381" s="6">
        <v>379</v>
      </c>
      <c r="B381" s="7" t="str">
        <f>"29802021051215250692912"</f>
        <v>29802021051215250692912</v>
      </c>
      <c r="C381" s="7" t="s">
        <v>11</v>
      </c>
      <c r="D381" s="7" t="str">
        <f>"裴威侃"</f>
        <v>裴威侃</v>
      </c>
      <c r="E381" s="7" t="str">
        <f>"男"</f>
        <v>男</v>
      </c>
    </row>
    <row r="382" spans="1:5" ht="30" customHeight="1">
      <c r="A382" s="6">
        <v>380</v>
      </c>
      <c r="B382" s="7" t="str">
        <f>"29802021051216432293232"</f>
        <v>29802021051216432293232</v>
      </c>
      <c r="C382" s="7" t="s">
        <v>11</v>
      </c>
      <c r="D382" s="7" t="str">
        <f>"羊惠俊"</f>
        <v>羊惠俊</v>
      </c>
      <c r="E382" s="7" t="str">
        <f>"女"</f>
        <v>女</v>
      </c>
    </row>
    <row r="383" spans="1:5" ht="30" customHeight="1">
      <c r="A383" s="6">
        <v>381</v>
      </c>
      <c r="B383" s="7" t="str">
        <f>"29802021051217364893429"</f>
        <v>29802021051217364893429</v>
      </c>
      <c r="C383" s="7" t="s">
        <v>11</v>
      </c>
      <c r="D383" s="7" t="str">
        <f>"陈艳婷 "</f>
        <v>陈艳婷 </v>
      </c>
      <c r="E383" s="7" t="str">
        <f>"女"</f>
        <v>女</v>
      </c>
    </row>
    <row r="384" spans="1:5" ht="30" customHeight="1">
      <c r="A384" s="6">
        <v>382</v>
      </c>
      <c r="B384" s="7" t="str">
        <f>"29802021051218291093532"</f>
        <v>29802021051218291093532</v>
      </c>
      <c r="C384" s="7" t="s">
        <v>11</v>
      </c>
      <c r="D384" s="7" t="str">
        <f>"李欣欣"</f>
        <v>李欣欣</v>
      </c>
      <c r="E384" s="7" t="str">
        <f>"女"</f>
        <v>女</v>
      </c>
    </row>
    <row r="385" spans="1:5" ht="30" customHeight="1">
      <c r="A385" s="6">
        <v>383</v>
      </c>
      <c r="B385" s="7" t="str">
        <f>"29802021051219354593646"</f>
        <v>29802021051219354593646</v>
      </c>
      <c r="C385" s="7" t="s">
        <v>11</v>
      </c>
      <c r="D385" s="7" t="str">
        <f>"连蕾"</f>
        <v>连蕾</v>
      </c>
      <c r="E385" s="7" t="str">
        <f>"女"</f>
        <v>女</v>
      </c>
    </row>
    <row r="386" spans="1:5" ht="30" customHeight="1">
      <c r="A386" s="6">
        <v>384</v>
      </c>
      <c r="B386" s="7" t="str">
        <f>"29802021051220161493729"</f>
        <v>29802021051220161493729</v>
      </c>
      <c r="C386" s="7" t="s">
        <v>11</v>
      </c>
      <c r="D386" s="7" t="str">
        <f>"王才莲"</f>
        <v>王才莲</v>
      </c>
      <c r="E386" s="7" t="str">
        <f>"男"</f>
        <v>男</v>
      </c>
    </row>
    <row r="387" spans="1:5" ht="30" customHeight="1">
      <c r="A387" s="6">
        <v>385</v>
      </c>
      <c r="B387" s="7" t="str">
        <f>"29802021051221193593888"</f>
        <v>29802021051221193593888</v>
      </c>
      <c r="C387" s="7" t="s">
        <v>11</v>
      </c>
      <c r="D387" s="7" t="str">
        <f>"王秋儿"</f>
        <v>王秋儿</v>
      </c>
      <c r="E387" s="7" t="str">
        <f aca="true" t="shared" si="16" ref="E387:E393">"女"</f>
        <v>女</v>
      </c>
    </row>
    <row r="388" spans="1:5" ht="30" customHeight="1">
      <c r="A388" s="6">
        <v>386</v>
      </c>
      <c r="B388" s="7" t="str">
        <f>"29802021051308210294304"</f>
        <v>29802021051308210294304</v>
      </c>
      <c r="C388" s="7" t="s">
        <v>11</v>
      </c>
      <c r="D388" s="7" t="str">
        <f>"叶映枚"</f>
        <v>叶映枚</v>
      </c>
      <c r="E388" s="7" t="str">
        <f t="shared" si="16"/>
        <v>女</v>
      </c>
    </row>
    <row r="389" spans="1:5" ht="30" customHeight="1">
      <c r="A389" s="6">
        <v>387</v>
      </c>
      <c r="B389" s="7" t="str">
        <f>"29802021051309200594445"</f>
        <v>29802021051309200594445</v>
      </c>
      <c r="C389" s="7" t="s">
        <v>11</v>
      </c>
      <c r="D389" s="7" t="str">
        <f>"陈惠娟"</f>
        <v>陈惠娟</v>
      </c>
      <c r="E389" s="7" t="str">
        <f t="shared" si="16"/>
        <v>女</v>
      </c>
    </row>
    <row r="390" spans="1:5" ht="30" customHeight="1">
      <c r="A390" s="6">
        <v>388</v>
      </c>
      <c r="B390" s="7" t="str">
        <f>"29802021051311074494789"</f>
        <v>29802021051311074494789</v>
      </c>
      <c r="C390" s="7" t="s">
        <v>11</v>
      </c>
      <c r="D390" s="7" t="str">
        <f>"马青青"</f>
        <v>马青青</v>
      </c>
      <c r="E390" s="7" t="str">
        <f t="shared" si="16"/>
        <v>女</v>
      </c>
    </row>
    <row r="391" spans="1:5" ht="30" customHeight="1">
      <c r="A391" s="6">
        <v>389</v>
      </c>
      <c r="B391" s="7" t="str">
        <f>"29802021051313274495079"</f>
        <v>29802021051313274495079</v>
      </c>
      <c r="C391" s="7" t="s">
        <v>11</v>
      </c>
      <c r="D391" s="7" t="str">
        <f>"符颖"</f>
        <v>符颖</v>
      </c>
      <c r="E391" s="7" t="str">
        <f t="shared" si="16"/>
        <v>女</v>
      </c>
    </row>
    <row r="392" spans="1:5" ht="30" customHeight="1">
      <c r="A392" s="6">
        <v>390</v>
      </c>
      <c r="B392" s="7" t="str">
        <f>"29802021051315183195292"</f>
        <v>29802021051315183195292</v>
      </c>
      <c r="C392" s="7" t="s">
        <v>11</v>
      </c>
      <c r="D392" s="7" t="str">
        <f>"陈雯"</f>
        <v>陈雯</v>
      </c>
      <c r="E392" s="7" t="str">
        <f t="shared" si="16"/>
        <v>女</v>
      </c>
    </row>
    <row r="393" spans="1:5" ht="30" customHeight="1">
      <c r="A393" s="6">
        <v>391</v>
      </c>
      <c r="B393" s="7" t="str">
        <f>"29802021051315223795305"</f>
        <v>29802021051315223795305</v>
      </c>
      <c r="C393" s="7" t="s">
        <v>11</v>
      </c>
      <c r="D393" s="7" t="str">
        <f>"刘海嫚"</f>
        <v>刘海嫚</v>
      </c>
      <c r="E393" s="7" t="str">
        <f t="shared" si="16"/>
        <v>女</v>
      </c>
    </row>
    <row r="394" spans="1:5" ht="30" customHeight="1">
      <c r="A394" s="6">
        <v>392</v>
      </c>
      <c r="B394" s="7" t="str">
        <f>"29802021051315364095334"</f>
        <v>29802021051315364095334</v>
      </c>
      <c r="C394" s="7" t="s">
        <v>11</v>
      </c>
      <c r="D394" s="7" t="str">
        <f>"邱优"</f>
        <v>邱优</v>
      </c>
      <c r="E394" s="7" t="str">
        <f>"男"</f>
        <v>男</v>
      </c>
    </row>
    <row r="395" spans="1:5" ht="30" customHeight="1">
      <c r="A395" s="6">
        <v>393</v>
      </c>
      <c r="B395" s="7" t="str">
        <f>"29802021051315464995364"</f>
        <v>29802021051315464995364</v>
      </c>
      <c r="C395" s="7" t="s">
        <v>11</v>
      </c>
      <c r="D395" s="7" t="str">
        <f>"姚秀雯"</f>
        <v>姚秀雯</v>
      </c>
      <c r="E395" s="7" t="str">
        <f>"女"</f>
        <v>女</v>
      </c>
    </row>
    <row r="396" spans="1:5" ht="30" customHeight="1">
      <c r="A396" s="6">
        <v>394</v>
      </c>
      <c r="B396" s="7" t="str">
        <f>"29802021051316324995484"</f>
        <v>29802021051316324995484</v>
      </c>
      <c r="C396" s="7" t="s">
        <v>11</v>
      </c>
      <c r="D396" s="7" t="str">
        <f>"李岩带"</f>
        <v>李岩带</v>
      </c>
      <c r="E396" s="7" t="str">
        <f>"女"</f>
        <v>女</v>
      </c>
    </row>
    <row r="397" spans="1:5" ht="30" customHeight="1">
      <c r="A397" s="6">
        <v>395</v>
      </c>
      <c r="B397" s="7" t="str">
        <f>"29802021051317373995638"</f>
        <v>29802021051317373995638</v>
      </c>
      <c r="C397" s="7" t="s">
        <v>11</v>
      </c>
      <c r="D397" s="7" t="str">
        <f>"李有茂"</f>
        <v>李有茂</v>
      </c>
      <c r="E397" s="7" t="str">
        <f>"男"</f>
        <v>男</v>
      </c>
    </row>
    <row r="398" spans="1:5" ht="30" customHeight="1">
      <c r="A398" s="6">
        <v>396</v>
      </c>
      <c r="B398" s="7" t="str">
        <f>"29802021051318573495796"</f>
        <v>29802021051318573495796</v>
      </c>
      <c r="C398" s="7" t="s">
        <v>11</v>
      </c>
      <c r="D398" s="7" t="str">
        <f>"田滢楠"</f>
        <v>田滢楠</v>
      </c>
      <c r="E398" s="7" t="str">
        <f aca="true" t="shared" si="17" ref="E398:E403">"女"</f>
        <v>女</v>
      </c>
    </row>
    <row r="399" spans="1:5" ht="30" customHeight="1">
      <c r="A399" s="6">
        <v>397</v>
      </c>
      <c r="B399" s="7" t="str">
        <f>"29802021051320253895954"</f>
        <v>29802021051320253895954</v>
      </c>
      <c r="C399" s="7" t="s">
        <v>11</v>
      </c>
      <c r="D399" s="7" t="str">
        <f>"黄婷婷"</f>
        <v>黄婷婷</v>
      </c>
      <c r="E399" s="7" t="str">
        <f t="shared" si="17"/>
        <v>女</v>
      </c>
    </row>
    <row r="400" spans="1:5" ht="30" customHeight="1">
      <c r="A400" s="6">
        <v>398</v>
      </c>
      <c r="B400" s="7" t="str">
        <f>"29802021051320343095971"</f>
        <v>29802021051320343095971</v>
      </c>
      <c r="C400" s="7" t="s">
        <v>11</v>
      </c>
      <c r="D400" s="7" t="str">
        <f>"朱万英"</f>
        <v>朱万英</v>
      </c>
      <c r="E400" s="7" t="str">
        <f t="shared" si="17"/>
        <v>女</v>
      </c>
    </row>
    <row r="401" spans="1:5" ht="30" customHeight="1">
      <c r="A401" s="6">
        <v>399</v>
      </c>
      <c r="B401" s="7" t="str">
        <f>"29802021051320564896020"</f>
        <v>29802021051320564896020</v>
      </c>
      <c r="C401" s="7" t="s">
        <v>11</v>
      </c>
      <c r="D401" s="7" t="str">
        <f>"庄晓婷"</f>
        <v>庄晓婷</v>
      </c>
      <c r="E401" s="7" t="str">
        <f t="shared" si="17"/>
        <v>女</v>
      </c>
    </row>
    <row r="402" spans="1:5" ht="30" customHeight="1">
      <c r="A402" s="6">
        <v>400</v>
      </c>
      <c r="B402" s="7" t="str">
        <f>"29802021051321490496138"</f>
        <v>29802021051321490496138</v>
      </c>
      <c r="C402" s="7" t="s">
        <v>11</v>
      </c>
      <c r="D402" s="7" t="str">
        <f>"赖秋婷"</f>
        <v>赖秋婷</v>
      </c>
      <c r="E402" s="7" t="str">
        <f t="shared" si="17"/>
        <v>女</v>
      </c>
    </row>
    <row r="403" spans="1:5" ht="30" customHeight="1">
      <c r="A403" s="6">
        <v>401</v>
      </c>
      <c r="B403" s="7" t="str">
        <f>"29802021051322213096211"</f>
        <v>29802021051322213096211</v>
      </c>
      <c r="C403" s="7" t="s">
        <v>11</v>
      </c>
      <c r="D403" s="7" t="str">
        <f>"林艳"</f>
        <v>林艳</v>
      </c>
      <c r="E403" s="7" t="str">
        <f t="shared" si="17"/>
        <v>女</v>
      </c>
    </row>
    <row r="404" spans="1:5" ht="30" customHeight="1">
      <c r="A404" s="6">
        <v>402</v>
      </c>
      <c r="B404" s="7" t="str">
        <f>"29802021051408460996499"</f>
        <v>29802021051408460996499</v>
      </c>
      <c r="C404" s="7" t="s">
        <v>11</v>
      </c>
      <c r="D404" s="7" t="str">
        <f>"卓书泉"</f>
        <v>卓书泉</v>
      </c>
      <c r="E404" s="7" t="str">
        <f>"男"</f>
        <v>男</v>
      </c>
    </row>
    <row r="405" spans="1:5" ht="30" customHeight="1">
      <c r="A405" s="6">
        <v>403</v>
      </c>
      <c r="B405" s="7" t="str">
        <f>"29802021051409132696545"</f>
        <v>29802021051409132696545</v>
      </c>
      <c r="C405" s="7" t="s">
        <v>11</v>
      </c>
      <c r="D405" s="7" t="str">
        <f>"蒲贝丽"</f>
        <v>蒲贝丽</v>
      </c>
      <c r="E405" s="7" t="str">
        <f>"女"</f>
        <v>女</v>
      </c>
    </row>
    <row r="406" spans="1:5" ht="30" customHeight="1">
      <c r="A406" s="6">
        <v>404</v>
      </c>
      <c r="B406" s="7" t="str">
        <f>"29802021051410233696717"</f>
        <v>29802021051410233696717</v>
      </c>
      <c r="C406" s="7" t="s">
        <v>11</v>
      </c>
      <c r="D406" s="7" t="str">
        <f>"陈海珍"</f>
        <v>陈海珍</v>
      </c>
      <c r="E406" s="7" t="str">
        <f>"女"</f>
        <v>女</v>
      </c>
    </row>
    <row r="407" spans="1:5" ht="30" customHeight="1">
      <c r="A407" s="6">
        <v>405</v>
      </c>
      <c r="B407" s="7" t="str">
        <f>"29802021051413281297107"</f>
        <v>29802021051413281297107</v>
      </c>
      <c r="C407" s="7" t="s">
        <v>11</v>
      </c>
      <c r="D407" s="7" t="str">
        <f>"覃逍志"</f>
        <v>覃逍志</v>
      </c>
      <c r="E407" s="7" t="str">
        <f>"男"</f>
        <v>男</v>
      </c>
    </row>
    <row r="408" spans="1:5" ht="30" customHeight="1">
      <c r="A408" s="6">
        <v>406</v>
      </c>
      <c r="B408" s="7" t="str">
        <f>"29802021051414591397253"</f>
        <v>29802021051414591397253</v>
      </c>
      <c r="C408" s="7" t="s">
        <v>11</v>
      </c>
      <c r="D408" s="7" t="str">
        <f>"林容"</f>
        <v>林容</v>
      </c>
      <c r="E408" s="7" t="str">
        <f aca="true" t="shared" si="18" ref="E408:E420">"女"</f>
        <v>女</v>
      </c>
    </row>
    <row r="409" spans="1:5" ht="30" customHeight="1">
      <c r="A409" s="6">
        <v>407</v>
      </c>
      <c r="B409" s="7" t="str">
        <f>"29802021051418071297670"</f>
        <v>29802021051418071297670</v>
      </c>
      <c r="C409" s="7" t="s">
        <v>11</v>
      </c>
      <c r="D409" s="7" t="str">
        <f>"吴春梅"</f>
        <v>吴春梅</v>
      </c>
      <c r="E409" s="7" t="str">
        <f t="shared" si="18"/>
        <v>女</v>
      </c>
    </row>
    <row r="410" spans="1:5" ht="30" customHeight="1">
      <c r="A410" s="6">
        <v>408</v>
      </c>
      <c r="B410" s="7" t="str">
        <f>"29802021051420381097896"</f>
        <v>29802021051420381097896</v>
      </c>
      <c r="C410" s="7" t="s">
        <v>11</v>
      </c>
      <c r="D410" s="7" t="str">
        <f>"陈玉曼"</f>
        <v>陈玉曼</v>
      </c>
      <c r="E410" s="7" t="str">
        <f t="shared" si="18"/>
        <v>女</v>
      </c>
    </row>
    <row r="411" spans="1:5" ht="30" customHeight="1">
      <c r="A411" s="6">
        <v>409</v>
      </c>
      <c r="B411" s="7" t="str">
        <f>"29802021051420460597915"</f>
        <v>29802021051420460597915</v>
      </c>
      <c r="C411" s="7" t="s">
        <v>11</v>
      </c>
      <c r="D411" s="7" t="str">
        <f>"罗欢"</f>
        <v>罗欢</v>
      </c>
      <c r="E411" s="7" t="str">
        <f t="shared" si="18"/>
        <v>女</v>
      </c>
    </row>
    <row r="412" spans="1:5" ht="30" customHeight="1">
      <c r="A412" s="6">
        <v>410</v>
      </c>
      <c r="B412" s="7" t="str">
        <f>"29802021051423112798161"</f>
        <v>29802021051423112798161</v>
      </c>
      <c r="C412" s="7" t="s">
        <v>11</v>
      </c>
      <c r="D412" s="7" t="str">
        <f>"陈丽君"</f>
        <v>陈丽君</v>
      </c>
      <c r="E412" s="7" t="str">
        <f t="shared" si="18"/>
        <v>女</v>
      </c>
    </row>
    <row r="413" spans="1:5" ht="30" customHeight="1">
      <c r="A413" s="6">
        <v>411</v>
      </c>
      <c r="B413" s="7" t="str">
        <f>"29802021051508503298344"</f>
        <v>29802021051508503298344</v>
      </c>
      <c r="C413" s="7" t="s">
        <v>11</v>
      </c>
      <c r="D413" s="7" t="str">
        <f>"王小萍"</f>
        <v>王小萍</v>
      </c>
      <c r="E413" s="7" t="str">
        <f t="shared" si="18"/>
        <v>女</v>
      </c>
    </row>
    <row r="414" spans="1:5" ht="30" customHeight="1">
      <c r="A414" s="6">
        <v>412</v>
      </c>
      <c r="B414" s="7" t="str">
        <f>"29802021051509401298393"</f>
        <v>29802021051509401298393</v>
      </c>
      <c r="C414" s="7" t="s">
        <v>11</v>
      </c>
      <c r="D414" s="7" t="str">
        <f>"余月香"</f>
        <v>余月香</v>
      </c>
      <c r="E414" s="7" t="str">
        <f t="shared" si="18"/>
        <v>女</v>
      </c>
    </row>
    <row r="415" spans="1:5" ht="30" customHeight="1">
      <c r="A415" s="6">
        <v>413</v>
      </c>
      <c r="B415" s="7" t="str">
        <f>"29802021051510033698429"</f>
        <v>29802021051510033698429</v>
      </c>
      <c r="C415" s="7" t="s">
        <v>11</v>
      </c>
      <c r="D415" s="7" t="str">
        <f>"莫亚燕"</f>
        <v>莫亚燕</v>
      </c>
      <c r="E415" s="7" t="str">
        <f t="shared" si="18"/>
        <v>女</v>
      </c>
    </row>
    <row r="416" spans="1:5" ht="30" customHeight="1">
      <c r="A416" s="6">
        <v>414</v>
      </c>
      <c r="B416" s="7" t="str">
        <f>"29802021051510044098431"</f>
        <v>29802021051510044098431</v>
      </c>
      <c r="C416" s="7" t="s">
        <v>11</v>
      </c>
      <c r="D416" s="7" t="str">
        <f>"陈学慧"</f>
        <v>陈学慧</v>
      </c>
      <c r="E416" s="7" t="str">
        <f t="shared" si="18"/>
        <v>女</v>
      </c>
    </row>
    <row r="417" spans="1:5" ht="30" customHeight="1">
      <c r="A417" s="6">
        <v>415</v>
      </c>
      <c r="B417" s="7" t="str">
        <f>"29802021051511035398541"</f>
        <v>29802021051511035398541</v>
      </c>
      <c r="C417" s="7" t="s">
        <v>11</v>
      </c>
      <c r="D417" s="7" t="str">
        <f>"冯玉婵"</f>
        <v>冯玉婵</v>
      </c>
      <c r="E417" s="7" t="str">
        <f t="shared" si="18"/>
        <v>女</v>
      </c>
    </row>
    <row r="418" spans="1:5" ht="30" customHeight="1">
      <c r="A418" s="6">
        <v>416</v>
      </c>
      <c r="B418" s="7" t="str">
        <f>"29802021051511333898586"</f>
        <v>29802021051511333898586</v>
      </c>
      <c r="C418" s="7" t="s">
        <v>11</v>
      </c>
      <c r="D418" s="7" t="str">
        <f>"方观音"</f>
        <v>方观音</v>
      </c>
      <c r="E418" s="7" t="str">
        <f t="shared" si="18"/>
        <v>女</v>
      </c>
    </row>
    <row r="419" spans="1:5" ht="30" customHeight="1">
      <c r="A419" s="6">
        <v>417</v>
      </c>
      <c r="B419" s="7" t="str">
        <f>"29802021051511525698624"</f>
        <v>29802021051511525698624</v>
      </c>
      <c r="C419" s="7" t="s">
        <v>11</v>
      </c>
      <c r="D419" s="7" t="str">
        <f>"王淋"</f>
        <v>王淋</v>
      </c>
      <c r="E419" s="7" t="str">
        <f t="shared" si="18"/>
        <v>女</v>
      </c>
    </row>
    <row r="420" spans="1:5" ht="30" customHeight="1">
      <c r="A420" s="6">
        <v>418</v>
      </c>
      <c r="B420" s="7" t="str">
        <f>"29802021051513141698750"</f>
        <v>29802021051513141698750</v>
      </c>
      <c r="C420" s="7" t="s">
        <v>11</v>
      </c>
      <c r="D420" s="7" t="str">
        <f>"谢丽许"</f>
        <v>谢丽许</v>
      </c>
      <c r="E420" s="7" t="str">
        <f t="shared" si="18"/>
        <v>女</v>
      </c>
    </row>
    <row r="421" spans="1:5" ht="30" customHeight="1">
      <c r="A421" s="6">
        <v>419</v>
      </c>
      <c r="B421" s="7" t="str">
        <f>"29802021051513251098766"</f>
        <v>29802021051513251098766</v>
      </c>
      <c r="C421" s="7" t="s">
        <v>11</v>
      </c>
      <c r="D421" s="7" t="str">
        <f>"陈首憎"</f>
        <v>陈首憎</v>
      </c>
      <c r="E421" s="7" t="str">
        <f>"男"</f>
        <v>男</v>
      </c>
    </row>
    <row r="422" spans="1:5" ht="30" customHeight="1">
      <c r="A422" s="6">
        <v>420</v>
      </c>
      <c r="B422" s="7" t="str">
        <f>"29802021051514471998899"</f>
        <v>29802021051514471998899</v>
      </c>
      <c r="C422" s="7" t="s">
        <v>11</v>
      </c>
      <c r="D422" s="7" t="str">
        <f>"黎吉焕"</f>
        <v>黎吉焕</v>
      </c>
      <c r="E422" s="7" t="str">
        <f>"女"</f>
        <v>女</v>
      </c>
    </row>
    <row r="423" spans="1:5" ht="30" customHeight="1">
      <c r="A423" s="6">
        <v>421</v>
      </c>
      <c r="B423" s="7" t="str">
        <f>"29802021051515022098929"</f>
        <v>29802021051515022098929</v>
      </c>
      <c r="C423" s="7" t="s">
        <v>11</v>
      </c>
      <c r="D423" s="7" t="str">
        <f>"何丽华"</f>
        <v>何丽华</v>
      </c>
      <c r="E423" s="7" t="str">
        <f>"女"</f>
        <v>女</v>
      </c>
    </row>
    <row r="424" spans="1:5" ht="30" customHeight="1">
      <c r="A424" s="6">
        <v>422</v>
      </c>
      <c r="B424" s="7" t="str">
        <f>"29802021051515252598969"</f>
        <v>29802021051515252598969</v>
      </c>
      <c r="C424" s="7" t="s">
        <v>11</v>
      </c>
      <c r="D424" s="7" t="str">
        <f>"杨钧乔"</f>
        <v>杨钧乔</v>
      </c>
      <c r="E424" s="7" t="str">
        <f>"女"</f>
        <v>女</v>
      </c>
    </row>
    <row r="425" spans="1:5" ht="30" customHeight="1">
      <c r="A425" s="6">
        <v>423</v>
      </c>
      <c r="B425" s="7" t="str">
        <f>"29802021051515373598991"</f>
        <v>29802021051515373598991</v>
      </c>
      <c r="C425" s="7" t="s">
        <v>11</v>
      </c>
      <c r="D425" s="7" t="str">
        <f>"王丽君"</f>
        <v>王丽君</v>
      </c>
      <c r="E425" s="7" t="str">
        <f>"女"</f>
        <v>女</v>
      </c>
    </row>
    <row r="426" spans="1:5" ht="30" customHeight="1">
      <c r="A426" s="6">
        <v>424</v>
      </c>
      <c r="B426" s="7" t="str">
        <f>"29802021050908063680480"</f>
        <v>29802021050908063680480</v>
      </c>
      <c r="C426" s="7" t="s">
        <v>12</v>
      </c>
      <c r="D426" s="7" t="str">
        <f>"何林学"</f>
        <v>何林学</v>
      </c>
      <c r="E426" s="7" t="str">
        <f>"男"</f>
        <v>男</v>
      </c>
    </row>
    <row r="427" spans="1:5" ht="30" customHeight="1">
      <c r="A427" s="6">
        <v>425</v>
      </c>
      <c r="B427" s="7" t="str">
        <f>"29802021050909524880655"</f>
        <v>29802021050909524880655</v>
      </c>
      <c r="C427" s="7" t="s">
        <v>12</v>
      </c>
      <c r="D427" s="7" t="str">
        <f>"陈季香"</f>
        <v>陈季香</v>
      </c>
      <c r="E427" s="7" t="str">
        <f aca="true" t="shared" si="19" ref="E427:E433">"女"</f>
        <v>女</v>
      </c>
    </row>
    <row r="428" spans="1:5" ht="30" customHeight="1">
      <c r="A428" s="6">
        <v>426</v>
      </c>
      <c r="B428" s="7" t="str">
        <f>"29802021050909564480661"</f>
        <v>29802021050909564480661</v>
      </c>
      <c r="C428" s="7" t="s">
        <v>12</v>
      </c>
      <c r="D428" s="7" t="str">
        <f>"符春蕾"</f>
        <v>符春蕾</v>
      </c>
      <c r="E428" s="7" t="str">
        <f t="shared" si="19"/>
        <v>女</v>
      </c>
    </row>
    <row r="429" spans="1:5" ht="30" customHeight="1">
      <c r="A429" s="6">
        <v>427</v>
      </c>
      <c r="B429" s="7" t="str">
        <f>"29802021050910480880775"</f>
        <v>29802021050910480880775</v>
      </c>
      <c r="C429" s="7" t="s">
        <v>12</v>
      </c>
      <c r="D429" s="7" t="str">
        <f>"王正颖"</f>
        <v>王正颖</v>
      </c>
      <c r="E429" s="7" t="str">
        <f t="shared" si="19"/>
        <v>女</v>
      </c>
    </row>
    <row r="430" spans="1:5" ht="30" customHeight="1">
      <c r="A430" s="6">
        <v>428</v>
      </c>
      <c r="B430" s="7" t="str">
        <f>"29802021050910555580796"</f>
        <v>29802021050910555580796</v>
      </c>
      <c r="C430" s="7" t="s">
        <v>12</v>
      </c>
      <c r="D430" s="7" t="str">
        <f>"文隋江"</f>
        <v>文隋江</v>
      </c>
      <c r="E430" s="7" t="str">
        <f t="shared" si="19"/>
        <v>女</v>
      </c>
    </row>
    <row r="431" spans="1:5" ht="30" customHeight="1">
      <c r="A431" s="6">
        <v>429</v>
      </c>
      <c r="B431" s="7" t="str">
        <f>"29802021050912053380916"</f>
        <v>29802021050912053380916</v>
      </c>
      <c r="C431" s="7" t="s">
        <v>12</v>
      </c>
      <c r="D431" s="7" t="str">
        <f>"符尤晶"</f>
        <v>符尤晶</v>
      </c>
      <c r="E431" s="7" t="str">
        <f t="shared" si="19"/>
        <v>女</v>
      </c>
    </row>
    <row r="432" spans="1:5" ht="30" customHeight="1">
      <c r="A432" s="6">
        <v>430</v>
      </c>
      <c r="B432" s="7" t="str">
        <f>"29802021050915211781205"</f>
        <v>29802021050915211781205</v>
      </c>
      <c r="C432" s="7" t="s">
        <v>12</v>
      </c>
      <c r="D432" s="7" t="str">
        <f>"吴园园"</f>
        <v>吴园园</v>
      </c>
      <c r="E432" s="7" t="str">
        <f t="shared" si="19"/>
        <v>女</v>
      </c>
    </row>
    <row r="433" spans="1:5" ht="30" customHeight="1">
      <c r="A433" s="6">
        <v>431</v>
      </c>
      <c r="B433" s="7" t="str">
        <f>"29802021050915541481267"</f>
        <v>29802021050915541481267</v>
      </c>
      <c r="C433" s="7" t="s">
        <v>12</v>
      </c>
      <c r="D433" s="7" t="str">
        <f>"卢珊珊"</f>
        <v>卢珊珊</v>
      </c>
      <c r="E433" s="7" t="str">
        <f t="shared" si="19"/>
        <v>女</v>
      </c>
    </row>
    <row r="434" spans="1:5" ht="30" customHeight="1">
      <c r="A434" s="6">
        <v>432</v>
      </c>
      <c r="B434" s="7" t="str">
        <f>"29802021050917251981464"</f>
        <v>29802021050917251981464</v>
      </c>
      <c r="C434" s="7" t="s">
        <v>12</v>
      </c>
      <c r="D434" s="7" t="str">
        <f>"周麒"</f>
        <v>周麒</v>
      </c>
      <c r="E434" s="7" t="str">
        <f>"男"</f>
        <v>男</v>
      </c>
    </row>
    <row r="435" spans="1:5" ht="30" customHeight="1">
      <c r="A435" s="6">
        <v>433</v>
      </c>
      <c r="B435" s="7" t="str">
        <f>"29802021050919283281703"</f>
        <v>29802021050919283281703</v>
      </c>
      <c r="C435" s="7" t="s">
        <v>12</v>
      </c>
      <c r="D435" s="7" t="str">
        <f>"林敏敏"</f>
        <v>林敏敏</v>
      </c>
      <c r="E435" s="7" t="str">
        <f>"女"</f>
        <v>女</v>
      </c>
    </row>
    <row r="436" spans="1:5" ht="30" customHeight="1">
      <c r="A436" s="6">
        <v>434</v>
      </c>
      <c r="B436" s="7" t="str">
        <f>"29802021050921130781924"</f>
        <v>29802021050921130781924</v>
      </c>
      <c r="C436" s="7" t="s">
        <v>12</v>
      </c>
      <c r="D436" s="7" t="str">
        <f>"候国羽"</f>
        <v>候国羽</v>
      </c>
      <c r="E436" s="7" t="str">
        <f>"女"</f>
        <v>女</v>
      </c>
    </row>
    <row r="437" spans="1:5" ht="30" customHeight="1">
      <c r="A437" s="6">
        <v>435</v>
      </c>
      <c r="B437" s="7" t="str">
        <f>"29802021050921310981972"</f>
        <v>29802021050921310981972</v>
      </c>
      <c r="C437" s="7" t="s">
        <v>12</v>
      </c>
      <c r="D437" s="7" t="str">
        <f>"李燕芳"</f>
        <v>李燕芳</v>
      </c>
      <c r="E437" s="7" t="str">
        <f>"女"</f>
        <v>女</v>
      </c>
    </row>
    <row r="438" spans="1:5" ht="30" customHeight="1">
      <c r="A438" s="6">
        <v>436</v>
      </c>
      <c r="B438" s="7" t="str">
        <f>"29802021050921445382008"</f>
        <v>29802021050921445382008</v>
      </c>
      <c r="C438" s="7" t="s">
        <v>12</v>
      </c>
      <c r="D438" s="7" t="str">
        <f>"蔡开止"</f>
        <v>蔡开止</v>
      </c>
      <c r="E438" s="7" t="str">
        <f>"女"</f>
        <v>女</v>
      </c>
    </row>
    <row r="439" spans="1:5" ht="30" customHeight="1">
      <c r="A439" s="6">
        <v>437</v>
      </c>
      <c r="B439" s="7" t="str">
        <f>"29802021050922135382084"</f>
        <v>29802021050922135382084</v>
      </c>
      <c r="C439" s="7" t="s">
        <v>12</v>
      </c>
      <c r="D439" s="7" t="str">
        <f>"邢文婷"</f>
        <v>邢文婷</v>
      </c>
      <c r="E439" s="7" t="str">
        <f>"女"</f>
        <v>女</v>
      </c>
    </row>
    <row r="440" spans="1:5" ht="30" customHeight="1">
      <c r="A440" s="6">
        <v>438</v>
      </c>
      <c r="B440" s="7" t="str">
        <f>"29802021050923483082275"</f>
        <v>29802021050923483082275</v>
      </c>
      <c r="C440" s="7" t="s">
        <v>12</v>
      </c>
      <c r="D440" s="7" t="str">
        <f>"许明文"</f>
        <v>许明文</v>
      </c>
      <c r="E440" s="7" t="str">
        <f>"男"</f>
        <v>男</v>
      </c>
    </row>
    <row r="441" spans="1:5" ht="30" customHeight="1">
      <c r="A441" s="6">
        <v>439</v>
      </c>
      <c r="B441" s="7" t="str">
        <f>"29802021051008545582669"</f>
        <v>29802021051008545582669</v>
      </c>
      <c r="C441" s="7" t="s">
        <v>12</v>
      </c>
      <c r="D441" s="7" t="str">
        <f>"吴万桃"</f>
        <v>吴万桃</v>
      </c>
      <c r="E441" s="7" t="str">
        <f aca="true" t="shared" si="20" ref="E441:E452">"女"</f>
        <v>女</v>
      </c>
    </row>
    <row r="442" spans="1:5" ht="30" customHeight="1">
      <c r="A442" s="6">
        <v>440</v>
      </c>
      <c r="B442" s="7" t="str">
        <f>"29802021051008561482680"</f>
        <v>29802021051008561482680</v>
      </c>
      <c r="C442" s="7" t="s">
        <v>12</v>
      </c>
      <c r="D442" s="7" t="str">
        <f>"文金婵"</f>
        <v>文金婵</v>
      </c>
      <c r="E442" s="7" t="str">
        <f t="shared" si="20"/>
        <v>女</v>
      </c>
    </row>
    <row r="443" spans="1:5" ht="30" customHeight="1">
      <c r="A443" s="6">
        <v>441</v>
      </c>
      <c r="B443" s="7" t="str">
        <f>"29802021051009525683327"</f>
        <v>29802021051009525683327</v>
      </c>
      <c r="C443" s="7" t="s">
        <v>12</v>
      </c>
      <c r="D443" s="7" t="str">
        <f>"曾曼群"</f>
        <v>曾曼群</v>
      </c>
      <c r="E443" s="7" t="str">
        <f t="shared" si="20"/>
        <v>女</v>
      </c>
    </row>
    <row r="444" spans="1:5" ht="30" customHeight="1">
      <c r="A444" s="6">
        <v>442</v>
      </c>
      <c r="B444" s="7" t="str">
        <f>"29802021051010284383778"</f>
        <v>29802021051010284383778</v>
      </c>
      <c r="C444" s="7" t="s">
        <v>12</v>
      </c>
      <c r="D444" s="7" t="str">
        <f>"周美君"</f>
        <v>周美君</v>
      </c>
      <c r="E444" s="7" t="str">
        <f t="shared" si="20"/>
        <v>女</v>
      </c>
    </row>
    <row r="445" spans="1:5" ht="30" customHeight="1">
      <c r="A445" s="6">
        <v>443</v>
      </c>
      <c r="B445" s="7" t="str">
        <f>"29802021051010421583939"</f>
        <v>29802021051010421583939</v>
      </c>
      <c r="C445" s="7" t="s">
        <v>12</v>
      </c>
      <c r="D445" s="7" t="str">
        <f>"王晶晶"</f>
        <v>王晶晶</v>
      </c>
      <c r="E445" s="7" t="str">
        <f t="shared" si="20"/>
        <v>女</v>
      </c>
    </row>
    <row r="446" spans="1:5" ht="30" customHeight="1">
      <c r="A446" s="6">
        <v>444</v>
      </c>
      <c r="B446" s="7" t="str">
        <f>"29802021051010454883981"</f>
        <v>29802021051010454883981</v>
      </c>
      <c r="C446" s="7" t="s">
        <v>12</v>
      </c>
      <c r="D446" s="7" t="str">
        <f>"陈迎醒"</f>
        <v>陈迎醒</v>
      </c>
      <c r="E446" s="7" t="str">
        <f t="shared" si="20"/>
        <v>女</v>
      </c>
    </row>
    <row r="447" spans="1:5" ht="30" customHeight="1">
      <c r="A447" s="6">
        <v>445</v>
      </c>
      <c r="B447" s="7" t="str">
        <f>"29802021051010522084057"</f>
        <v>29802021051010522084057</v>
      </c>
      <c r="C447" s="7" t="s">
        <v>12</v>
      </c>
      <c r="D447" s="7" t="str">
        <f>"王莹"</f>
        <v>王莹</v>
      </c>
      <c r="E447" s="7" t="str">
        <f t="shared" si="20"/>
        <v>女</v>
      </c>
    </row>
    <row r="448" spans="1:5" ht="30" customHeight="1">
      <c r="A448" s="6">
        <v>446</v>
      </c>
      <c r="B448" s="7" t="str">
        <f>"29802021051012150584652"</f>
        <v>29802021051012150584652</v>
      </c>
      <c r="C448" s="7" t="s">
        <v>12</v>
      </c>
      <c r="D448" s="7" t="str">
        <f>"孙翠妹"</f>
        <v>孙翠妹</v>
      </c>
      <c r="E448" s="7" t="str">
        <f t="shared" si="20"/>
        <v>女</v>
      </c>
    </row>
    <row r="449" spans="1:5" ht="30" customHeight="1">
      <c r="A449" s="6">
        <v>447</v>
      </c>
      <c r="B449" s="7" t="str">
        <f>"29802021051012402884806"</f>
        <v>29802021051012402884806</v>
      </c>
      <c r="C449" s="7" t="s">
        <v>12</v>
      </c>
      <c r="D449" s="7" t="str">
        <f>"李彩花"</f>
        <v>李彩花</v>
      </c>
      <c r="E449" s="7" t="str">
        <f t="shared" si="20"/>
        <v>女</v>
      </c>
    </row>
    <row r="450" spans="1:5" ht="30" customHeight="1">
      <c r="A450" s="6">
        <v>448</v>
      </c>
      <c r="B450" s="7" t="str">
        <f>"29802021051015113885571"</f>
        <v>29802021051015113885571</v>
      </c>
      <c r="C450" s="7" t="s">
        <v>12</v>
      </c>
      <c r="D450" s="7" t="str">
        <f>"曾小妮"</f>
        <v>曾小妮</v>
      </c>
      <c r="E450" s="7" t="str">
        <f t="shared" si="20"/>
        <v>女</v>
      </c>
    </row>
    <row r="451" spans="1:5" ht="30" customHeight="1">
      <c r="A451" s="6">
        <v>449</v>
      </c>
      <c r="B451" s="7" t="str">
        <f>"29802021051016061185968"</f>
        <v>29802021051016061185968</v>
      </c>
      <c r="C451" s="7" t="s">
        <v>12</v>
      </c>
      <c r="D451" s="7" t="str">
        <f>"邢丽霞"</f>
        <v>邢丽霞</v>
      </c>
      <c r="E451" s="7" t="str">
        <f t="shared" si="20"/>
        <v>女</v>
      </c>
    </row>
    <row r="452" spans="1:5" ht="30" customHeight="1">
      <c r="A452" s="6">
        <v>450</v>
      </c>
      <c r="B452" s="7" t="str">
        <f>"29802021051016414886229"</f>
        <v>29802021051016414886229</v>
      </c>
      <c r="C452" s="7" t="s">
        <v>12</v>
      </c>
      <c r="D452" s="7" t="str">
        <f>"周颖花"</f>
        <v>周颖花</v>
      </c>
      <c r="E452" s="7" t="str">
        <f t="shared" si="20"/>
        <v>女</v>
      </c>
    </row>
    <row r="453" spans="1:5" ht="30" customHeight="1">
      <c r="A453" s="6">
        <v>451</v>
      </c>
      <c r="B453" s="7" t="str">
        <f>"29802021051017135486436"</f>
        <v>29802021051017135486436</v>
      </c>
      <c r="C453" s="7" t="s">
        <v>12</v>
      </c>
      <c r="D453" s="7" t="str">
        <f>"郑智虎"</f>
        <v>郑智虎</v>
      </c>
      <c r="E453" s="7" t="str">
        <f>"男"</f>
        <v>男</v>
      </c>
    </row>
    <row r="454" spans="1:5" ht="30" customHeight="1">
      <c r="A454" s="6">
        <v>452</v>
      </c>
      <c r="B454" s="7" t="str">
        <f>"29802021051017195086461"</f>
        <v>29802021051017195086461</v>
      </c>
      <c r="C454" s="7" t="s">
        <v>12</v>
      </c>
      <c r="D454" s="7" t="str">
        <f>"陶莹"</f>
        <v>陶莹</v>
      </c>
      <c r="E454" s="7" t="str">
        <f>"女"</f>
        <v>女</v>
      </c>
    </row>
    <row r="455" spans="1:5" ht="30" customHeight="1">
      <c r="A455" s="6">
        <v>453</v>
      </c>
      <c r="B455" s="7" t="str">
        <f>"29802021051018233086761"</f>
        <v>29802021051018233086761</v>
      </c>
      <c r="C455" s="7" t="s">
        <v>12</v>
      </c>
      <c r="D455" s="7" t="str">
        <f>"陈朝龙"</f>
        <v>陈朝龙</v>
      </c>
      <c r="E455" s="7" t="str">
        <f>"男"</f>
        <v>男</v>
      </c>
    </row>
    <row r="456" spans="1:5" ht="30" customHeight="1">
      <c r="A456" s="6">
        <v>454</v>
      </c>
      <c r="B456" s="7" t="str">
        <f>"29802021051018582486924"</f>
        <v>29802021051018582486924</v>
      </c>
      <c r="C456" s="7" t="s">
        <v>12</v>
      </c>
      <c r="D456" s="7" t="str">
        <f>"陈丽平"</f>
        <v>陈丽平</v>
      </c>
      <c r="E456" s="7" t="str">
        <f>"女"</f>
        <v>女</v>
      </c>
    </row>
    <row r="457" spans="1:5" ht="30" customHeight="1">
      <c r="A457" s="6">
        <v>455</v>
      </c>
      <c r="B457" s="7" t="str">
        <f>"29802021051019023386935"</f>
        <v>29802021051019023386935</v>
      </c>
      <c r="C457" s="7" t="s">
        <v>12</v>
      </c>
      <c r="D457" s="7" t="str">
        <f>"羊壮荣"</f>
        <v>羊壮荣</v>
      </c>
      <c r="E457" s="7" t="str">
        <f>"男"</f>
        <v>男</v>
      </c>
    </row>
    <row r="458" spans="1:5" ht="30" customHeight="1">
      <c r="A458" s="6">
        <v>456</v>
      </c>
      <c r="B458" s="7" t="str">
        <f>"29802021051019050286942"</f>
        <v>29802021051019050286942</v>
      </c>
      <c r="C458" s="7" t="s">
        <v>12</v>
      </c>
      <c r="D458" s="7" t="str">
        <f>"林烨"</f>
        <v>林烨</v>
      </c>
      <c r="E458" s="7" t="str">
        <f>"女"</f>
        <v>女</v>
      </c>
    </row>
    <row r="459" spans="1:5" ht="30" customHeight="1">
      <c r="A459" s="6">
        <v>457</v>
      </c>
      <c r="B459" s="7" t="str">
        <f>"29802021051020095287230"</f>
        <v>29802021051020095287230</v>
      </c>
      <c r="C459" s="7" t="s">
        <v>12</v>
      </c>
      <c r="D459" s="7" t="str">
        <f>"符子帅"</f>
        <v>符子帅</v>
      </c>
      <c r="E459" s="7" t="str">
        <f>"男"</f>
        <v>男</v>
      </c>
    </row>
    <row r="460" spans="1:5" ht="30" customHeight="1">
      <c r="A460" s="6">
        <v>458</v>
      </c>
      <c r="B460" s="7" t="str">
        <f>"29802021051021052787455"</f>
        <v>29802021051021052787455</v>
      </c>
      <c r="C460" s="7" t="s">
        <v>12</v>
      </c>
      <c r="D460" s="7" t="str">
        <f>"黄水玲"</f>
        <v>黄水玲</v>
      </c>
      <c r="E460" s="7" t="str">
        <f>"女"</f>
        <v>女</v>
      </c>
    </row>
    <row r="461" spans="1:5" ht="30" customHeight="1">
      <c r="A461" s="6">
        <v>459</v>
      </c>
      <c r="B461" s="7" t="str">
        <f>"29802021051023382088076"</f>
        <v>29802021051023382088076</v>
      </c>
      <c r="C461" s="7" t="s">
        <v>12</v>
      </c>
      <c r="D461" s="7" t="str">
        <f>"陈梅菊"</f>
        <v>陈梅菊</v>
      </c>
      <c r="E461" s="7" t="str">
        <f>"女"</f>
        <v>女</v>
      </c>
    </row>
    <row r="462" spans="1:5" ht="30" customHeight="1">
      <c r="A462" s="6">
        <v>460</v>
      </c>
      <c r="B462" s="7" t="str">
        <f>"29802021051100000688107"</f>
        <v>29802021051100000688107</v>
      </c>
      <c r="C462" s="7" t="s">
        <v>12</v>
      </c>
      <c r="D462" s="7" t="str">
        <f>"潘孝德"</f>
        <v>潘孝德</v>
      </c>
      <c r="E462" s="7" t="str">
        <f>"男"</f>
        <v>男</v>
      </c>
    </row>
    <row r="463" spans="1:5" ht="30" customHeight="1">
      <c r="A463" s="6">
        <v>461</v>
      </c>
      <c r="B463" s="7" t="str">
        <f>"29802021051100240688135"</f>
        <v>29802021051100240688135</v>
      </c>
      <c r="C463" s="7" t="s">
        <v>12</v>
      </c>
      <c r="D463" s="7" t="str">
        <f>"杨玉秀"</f>
        <v>杨玉秀</v>
      </c>
      <c r="E463" s="7" t="str">
        <f aca="true" t="shared" si="21" ref="E463:E485">"女"</f>
        <v>女</v>
      </c>
    </row>
    <row r="464" spans="1:5" ht="30" customHeight="1">
      <c r="A464" s="6">
        <v>462</v>
      </c>
      <c r="B464" s="7" t="str">
        <f>"29802021051105564088182"</f>
        <v>29802021051105564088182</v>
      </c>
      <c r="C464" s="7" t="s">
        <v>12</v>
      </c>
      <c r="D464" s="7" t="str">
        <f>"吴金香"</f>
        <v>吴金香</v>
      </c>
      <c r="E464" s="7" t="str">
        <f t="shared" si="21"/>
        <v>女</v>
      </c>
    </row>
    <row r="465" spans="1:5" ht="30" customHeight="1">
      <c r="A465" s="6">
        <v>463</v>
      </c>
      <c r="B465" s="7" t="str">
        <f>"29802021051107243188205"</f>
        <v>29802021051107243188205</v>
      </c>
      <c r="C465" s="7" t="s">
        <v>12</v>
      </c>
      <c r="D465" s="7" t="str">
        <f>"杨静"</f>
        <v>杨静</v>
      </c>
      <c r="E465" s="7" t="str">
        <f t="shared" si="21"/>
        <v>女</v>
      </c>
    </row>
    <row r="466" spans="1:5" ht="30" customHeight="1">
      <c r="A466" s="6">
        <v>464</v>
      </c>
      <c r="B466" s="7" t="str">
        <f>"29802021051108383488316"</f>
        <v>29802021051108383488316</v>
      </c>
      <c r="C466" s="7" t="s">
        <v>12</v>
      </c>
      <c r="D466" s="7" t="str">
        <f>"庄丽株"</f>
        <v>庄丽株</v>
      </c>
      <c r="E466" s="7" t="str">
        <f t="shared" si="21"/>
        <v>女</v>
      </c>
    </row>
    <row r="467" spans="1:5" ht="30" customHeight="1">
      <c r="A467" s="6">
        <v>465</v>
      </c>
      <c r="B467" s="7" t="str">
        <f>"29802021051109493688641"</f>
        <v>29802021051109493688641</v>
      </c>
      <c r="C467" s="7" t="s">
        <v>12</v>
      </c>
      <c r="D467" s="7" t="str">
        <f>"蔡江林"</f>
        <v>蔡江林</v>
      </c>
      <c r="E467" s="7" t="str">
        <f t="shared" si="21"/>
        <v>女</v>
      </c>
    </row>
    <row r="468" spans="1:5" ht="30" customHeight="1">
      <c r="A468" s="6">
        <v>466</v>
      </c>
      <c r="B468" s="7" t="str">
        <f>"29802021051110003288696"</f>
        <v>29802021051110003288696</v>
      </c>
      <c r="C468" s="7" t="s">
        <v>12</v>
      </c>
      <c r="D468" s="7" t="str">
        <f>"叶芷芹"</f>
        <v>叶芷芹</v>
      </c>
      <c r="E468" s="7" t="str">
        <f t="shared" si="21"/>
        <v>女</v>
      </c>
    </row>
    <row r="469" spans="1:5" ht="30" customHeight="1">
      <c r="A469" s="6">
        <v>467</v>
      </c>
      <c r="B469" s="7" t="str">
        <f>"29802021051110083788734"</f>
        <v>29802021051110083788734</v>
      </c>
      <c r="C469" s="7" t="s">
        <v>12</v>
      </c>
      <c r="D469" s="7" t="str">
        <f>"张丽霜"</f>
        <v>张丽霜</v>
      </c>
      <c r="E469" s="7" t="str">
        <f t="shared" si="21"/>
        <v>女</v>
      </c>
    </row>
    <row r="470" spans="1:5" ht="30" customHeight="1">
      <c r="A470" s="6">
        <v>468</v>
      </c>
      <c r="B470" s="7" t="str">
        <f>"29802021051110522788969"</f>
        <v>29802021051110522788969</v>
      </c>
      <c r="C470" s="7" t="s">
        <v>12</v>
      </c>
      <c r="D470" s="7" t="str">
        <f>"郭红杏"</f>
        <v>郭红杏</v>
      </c>
      <c r="E470" s="7" t="str">
        <f t="shared" si="21"/>
        <v>女</v>
      </c>
    </row>
    <row r="471" spans="1:5" ht="30" customHeight="1">
      <c r="A471" s="6">
        <v>469</v>
      </c>
      <c r="B471" s="7" t="str">
        <f>"29802021051111010189022"</f>
        <v>29802021051111010189022</v>
      </c>
      <c r="C471" s="7" t="s">
        <v>12</v>
      </c>
      <c r="D471" s="7" t="str">
        <f>"魏伊祎"</f>
        <v>魏伊祎</v>
      </c>
      <c r="E471" s="7" t="str">
        <f t="shared" si="21"/>
        <v>女</v>
      </c>
    </row>
    <row r="472" spans="1:5" ht="30" customHeight="1">
      <c r="A472" s="6">
        <v>470</v>
      </c>
      <c r="B472" s="7" t="str">
        <f>"29802021051115330989853"</f>
        <v>29802021051115330989853</v>
      </c>
      <c r="C472" s="7" t="s">
        <v>12</v>
      </c>
      <c r="D472" s="7" t="str">
        <f>"邱华南"</f>
        <v>邱华南</v>
      </c>
      <c r="E472" s="7" t="str">
        <f t="shared" si="21"/>
        <v>女</v>
      </c>
    </row>
    <row r="473" spans="1:5" ht="30" customHeight="1">
      <c r="A473" s="6">
        <v>471</v>
      </c>
      <c r="B473" s="7" t="str">
        <f>"29802021051115413689891"</f>
        <v>29802021051115413689891</v>
      </c>
      <c r="C473" s="7" t="s">
        <v>12</v>
      </c>
      <c r="D473" s="7" t="str">
        <f>"     王来银"</f>
        <v>     王来银</v>
      </c>
      <c r="E473" s="7" t="str">
        <f t="shared" si="21"/>
        <v>女</v>
      </c>
    </row>
    <row r="474" spans="1:5" ht="30" customHeight="1">
      <c r="A474" s="6">
        <v>472</v>
      </c>
      <c r="B474" s="7" t="str">
        <f>"29802021051116563690183"</f>
        <v>29802021051116563690183</v>
      </c>
      <c r="C474" s="7" t="s">
        <v>12</v>
      </c>
      <c r="D474" s="7" t="str">
        <f>"陈慕桦"</f>
        <v>陈慕桦</v>
      </c>
      <c r="E474" s="7" t="str">
        <f t="shared" si="21"/>
        <v>女</v>
      </c>
    </row>
    <row r="475" spans="1:5" ht="30" customHeight="1">
      <c r="A475" s="6">
        <v>473</v>
      </c>
      <c r="B475" s="7" t="str">
        <f>"29802021051117040490209"</f>
        <v>29802021051117040490209</v>
      </c>
      <c r="C475" s="7" t="s">
        <v>12</v>
      </c>
      <c r="D475" s="7" t="str">
        <f>"邢梦妤"</f>
        <v>邢梦妤</v>
      </c>
      <c r="E475" s="7" t="str">
        <f t="shared" si="21"/>
        <v>女</v>
      </c>
    </row>
    <row r="476" spans="1:5" ht="30" customHeight="1">
      <c r="A476" s="6">
        <v>474</v>
      </c>
      <c r="B476" s="7" t="str">
        <f>"29802021051117164090254"</f>
        <v>29802021051117164090254</v>
      </c>
      <c r="C476" s="7" t="s">
        <v>12</v>
      </c>
      <c r="D476" s="7" t="str">
        <f>"陈瑶瑶"</f>
        <v>陈瑶瑶</v>
      </c>
      <c r="E476" s="7" t="str">
        <f t="shared" si="21"/>
        <v>女</v>
      </c>
    </row>
    <row r="477" spans="1:5" ht="30" customHeight="1">
      <c r="A477" s="6">
        <v>475</v>
      </c>
      <c r="B477" s="7" t="str">
        <f>"29802021051117285390301"</f>
        <v>29802021051117285390301</v>
      </c>
      <c r="C477" s="7" t="s">
        <v>12</v>
      </c>
      <c r="D477" s="7" t="str">
        <f>"邢维婷"</f>
        <v>邢维婷</v>
      </c>
      <c r="E477" s="7" t="str">
        <f t="shared" si="21"/>
        <v>女</v>
      </c>
    </row>
    <row r="478" spans="1:5" ht="30" customHeight="1">
      <c r="A478" s="6">
        <v>476</v>
      </c>
      <c r="B478" s="7" t="str">
        <f>"29802021051117521890361"</f>
        <v>29802021051117521890361</v>
      </c>
      <c r="C478" s="7" t="s">
        <v>12</v>
      </c>
      <c r="D478" s="7" t="str">
        <f>"郑珊珊"</f>
        <v>郑珊珊</v>
      </c>
      <c r="E478" s="7" t="str">
        <f t="shared" si="21"/>
        <v>女</v>
      </c>
    </row>
    <row r="479" spans="1:5" ht="30" customHeight="1">
      <c r="A479" s="6">
        <v>477</v>
      </c>
      <c r="B479" s="7" t="str">
        <f>"29802021051118113490416"</f>
        <v>29802021051118113490416</v>
      </c>
      <c r="C479" s="7" t="s">
        <v>12</v>
      </c>
      <c r="D479" s="7" t="str">
        <f>"李小连"</f>
        <v>李小连</v>
      </c>
      <c r="E479" s="7" t="str">
        <f t="shared" si="21"/>
        <v>女</v>
      </c>
    </row>
    <row r="480" spans="1:5" ht="30" customHeight="1">
      <c r="A480" s="6">
        <v>478</v>
      </c>
      <c r="B480" s="7" t="str">
        <f>"29802021051118345790484"</f>
        <v>29802021051118345790484</v>
      </c>
      <c r="C480" s="7" t="s">
        <v>12</v>
      </c>
      <c r="D480" s="7" t="str">
        <f>"文陈华"</f>
        <v>文陈华</v>
      </c>
      <c r="E480" s="7" t="str">
        <f t="shared" si="21"/>
        <v>女</v>
      </c>
    </row>
    <row r="481" spans="1:5" ht="30" customHeight="1">
      <c r="A481" s="6">
        <v>479</v>
      </c>
      <c r="B481" s="7" t="str">
        <f>"29802021051118355290488"</f>
        <v>29802021051118355290488</v>
      </c>
      <c r="C481" s="7" t="s">
        <v>12</v>
      </c>
      <c r="D481" s="7" t="str">
        <f>"张回回"</f>
        <v>张回回</v>
      </c>
      <c r="E481" s="7" t="str">
        <f t="shared" si="21"/>
        <v>女</v>
      </c>
    </row>
    <row r="482" spans="1:5" ht="30" customHeight="1">
      <c r="A482" s="6">
        <v>480</v>
      </c>
      <c r="B482" s="7" t="str">
        <f>"29802021051118363990489"</f>
        <v>29802021051118363990489</v>
      </c>
      <c r="C482" s="7" t="s">
        <v>12</v>
      </c>
      <c r="D482" s="7" t="str">
        <f>"吴小丹 "</f>
        <v>吴小丹 </v>
      </c>
      <c r="E482" s="7" t="str">
        <f t="shared" si="21"/>
        <v>女</v>
      </c>
    </row>
    <row r="483" spans="1:5" ht="30" customHeight="1">
      <c r="A483" s="6">
        <v>481</v>
      </c>
      <c r="B483" s="7" t="str">
        <f>"29802021051120235290787"</f>
        <v>29802021051120235290787</v>
      </c>
      <c r="C483" s="7" t="s">
        <v>12</v>
      </c>
      <c r="D483" s="7" t="str">
        <f>"任丽颖"</f>
        <v>任丽颖</v>
      </c>
      <c r="E483" s="7" t="str">
        <f t="shared" si="21"/>
        <v>女</v>
      </c>
    </row>
    <row r="484" spans="1:5" ht="30" customHeight="1">
      <c r="A484" s="6">
        <v>482</v>
      </c>
      <c r="B484" s="7" t="str">
        <f>"29802021051120503690869"</f>
        <v>29802021051120503690869</v>
      </c>
      <c r="C484" s="7" t="s">
        <v>12</v>
      </c>
      <c r="D484" s="7" t="str">
        <f>"王飞"</f>
        <v>王飞</v>
      </c>
      <c r="E484" s="7" t="str">
        <f t="shared" si="21"/>
        <v>女</v>
      </c>
    </row>
    <row r="485" spans="1:5" ht="30" customHeight="1">
      <c r="A485" s="6">
        <v>483</v>
      </c>
      <c r="B485" s="7" t="str">
        <f>"29802021051121062290920"</f>
        <v>29802021051121062290920</v>
      </c>
      <c r="C485" s="7" t="s">
        <v>12</v>
      </c>
      <c r="D485" s="7" t="str">
        <f>"王春香"</f>
        <v>王春香</v>
      </c>
      <c r="E485" s="7" t="str">
        <f t="shared" si="21"/>
        <v>女</v>
      </c>
    </row>
    <row r="486" spans="1:5" ht="30" customHeight="1">
      <c r="A486" s="6">
        <v>484</v>
      </c>
      <c r="B486" s="7" t="str">
        <f>"29802021051122123291119"</f>
        <v>29802021051122123291119</v>
      </c>
      <c r="C486" s="7" t="s">
        <v>12</v>
      </c>
      <c r="D486" s="7" t="str">
        <f>"钟大贻"</f>
        <v>钟大贻</v>
      </c>
      <c r="E486" s="7" t="str">
        <f>"男"</f>
        <v>男</v>
      </c>
    </row>
    <row r="487" spans="1:5" ht="30" customHeight="1">
      <c r="A487" s="6">
        <v>485</v>
      </c>
      <c r="B487" s="7" t="str">
        <f>"29802021051122272791168"</f>
        <v>29802021051122272791168</v>
      </c>
      <c r="C487" s="7" t="s">
        <v>12</v>
      </c>
      <c r="D487" s="7" t="str">
        <f>"秦莹"</f>
        <v>秦莹</v>
      </c>
      <c r="E487" s="7" t="str">
        <f aca="true" t="shared" si="22" ref="E487:E500">"女"</f>
        <v>女</v>
      </c>
    </row>
    <row r="488" spans="1:5" ht="30" customHeight="1">
      <c r="A488" s="6">
        <v>486</v>
      </c>
      <c r="B488" s="7" t="str">
        <f>"29802021051123123091287"</f>
        <v>29802021051123123091287</v>
      </c>
      <c r="C488" s="7" t="s">
        <v>12</v>
      </c>
      <c r="D488" s="7" t="str">
        <f>"陈惠儿"</f>
        <v>陈惠儿</v>
      </c>
      <c r="E488" s="7" t="str">
        <f t="shared" si="22"/>
        <v>女</v>
      </c>
    </row>
    <row r="489" spans="1:5" ht="30" customHeight="1">
      <c r="A489" s="6">
        <v>487</v>
      </c>
      <c r="B489" s="7" t="str">
        <f>"29802021051200261091364"</f>
        <v>29802021051200261091364</v>
      </c>
      <c r="C489" s="7" t="s">
        <v>12</v>
      </c>
      <c r="D489" s="7" t="str">
        <f>"王琼波"</f>
        <v>王琼波</v>
      </c>
      <c r="E489" s="7" t="str">
        <f t="shared" si="22"/>
        <v>女</v>
      </c>
    </row>
    <row r="490" spans="1:5" ht="30" customHeight="1">
      <c r="A490" s="6">
        <v>488</v>
      </c>
      <c r="B490" s="7" t="str">
        <f>"29802021051207161891425"</f>
        <v>29802021051207161891425</v>
      </c>
      <c r="C490" s="7" t="s">
        <v>12</v>
      </c>
      <c r="D490" s="7" t="str">
        <f>"文萍萍"</f>
        <v>文萍萍</v>
      </c>
      <c r="E490" s="7" t="str">
        <f t="shared" si="22"/>
        <v>女</v>
      </c>
    </row>
    <row r="491" spans="1:5" ht="30" customHeight="1">
      <c r="A491" s="6">
        <v>489</v>
      </c>
      <c r="B491" s="7" t="str">
        <f>"29802021051209145491610"</f>
        <v>29802021051209145491610</v>
      </c>
      <c r="C491" s="7" t="s">
        <v>12</v>
      </c>
      <c r="D491" s="7" t="str">
        <f>"黎爱霞"</f>
        <v>黎爱霞</v>
      </c>
      <c r="E491" s="7" t="str">
        <f t="shared" si="22"/>
        <v>女</v>
      </c>
    </row>
    <row r="492" spans="1:5" ht="30" customHeight="1">
      <c r="A492" s="6">
        <v>490</v>
      </c>
      <c r="B492" s="7" t="str">
        <f>"29802021051210041891824"</f>
        <v>29802021051210041891824</v>
      </c>
      <c r="C492" s="7" t="s">
        <v>12</v>
      </c>
      <c r="D492" s="7" t="str">
        <f>"吴华靖"</f>
        <v>吴华靖</v>
      </c>
      <c r="E492" s="7" t="str">
        <f t="shared" si="22"/>
        <v>女</v>
      </c>
    </row>
    <row r="493" spans="1:5" ht="30" customHeight="1">
      <c r="A493" s="6">
        <v>491</v>
      </c>
      <c r="B493" s="7" t="str">
        <f>"29802021051210181891893"</f>
        <v>29802021051210181891893</v>
      </c>
      <c r="C493" s="7" t="s">
        <v>12</v>
      </c>
      <c r="D493" s="7" t="str">
        <f>"曾玲"</f>
        <v>曾玲</v>
      </c>
      <c r="E493" s="7" t="str">
        <f t="shared" si="22"/>
        <v>女</v>
      </c>
    </row>
    <row r="494" spans="1:5" ht="30" customHeight="1">
      <c r="A494" s="6">
        <v>492</v>
      </c>
      <c r="B494" s="7" t="str">
        <f>"29802021051210495892071"</f>
        <v>29802021051210495892071</v>
      </c>
      <c r="C494" s="7" t="s">
        <v>12</v>
      </c>
      <c r="D494" s="7" t="str">
        <f>"罗玉华"</f>
        <v>罗玉华</v>
      </c>
      <c r="E494" s="7" t="str">
        <f t="shared" si="22"/>
        <v>女</v>
      </c>
    </row>
    <row r="495" spans="1:5" ht="30" customHeight="1">
      <c r="A495" s="6">
        <v>493</v>
      </c>
      <c r="B495" s="7" t="str">
        <f>"29802021051211251892222"</f>
        <v>29802021051211251892222</v>
      </c>
      <c r="C495" s="7" t="s">
        <v>12</v>
      </c>
      <c r="D495" s="7" t="str">
        <f>"苏玮燕"</f>
        <v>苏玮燕</v>
      </c>
      <c r="E495" s="7" t="str">
        <f t="shared" si="22"/>
        <v>女</v>
      </c>
    </row>
    <row r="496" spans="1:5" ht="30" customHeight="1">
      <c r="A496" s="6">
        <v>494</v>
      </c>
      <c r="B496" s="7" t="str">
        <f>"29802021051212291892425"</f>
        <v>29802021051212291892425</v>
      </c>
      <c r="C496" s="7" t="s">
        <v>12</v>
      </c>
      <c r="D496" s="7" t="str">
        <f>"苏家露"</f>
        <v>苏家露</v>
      </c>
      <c r="E496" s="7" t="str">
        <f t="shared" si="22"/>
        <v>女</v>
      </c>
    </row>
    <row r="497" spans="1:5" ht="30" customHeight="1">
      <c r="A497" s="6">
        <v>495</v>
      </c>
      <c r="B497" s="7" t="str">
        <f>"29802021051213082692556"</f>
        <v>29802021051213082692556</v>
      </c>
      <c r="C497" s="7" t="s">
        <v>12</v>
      </c>
      <c r="D497" s="7" t="str">
        <f>"黄慧环"</f>
        <v>黄慧环</v>
      </c>
      <c r="E497" s="7" t="str">
        <f t="shared" si="22"/>
        <v>女</v>
      </c>
    </row>
    <row r="498" spans="1:5" ht="30" customHeight="1">
      <c r="A498" s="6">
        <v>496</v>
      </c>
      <c r="B498" s="7" t="str">
        <f>"29802021051215082492836"</f>
        <v>29802021051215082492836</v>
      </c>
      <c r="C498" s="7" t="s">
        <v>12</v>
      </c>
      <c r="D498" s="7" t="str">
        <f>"梁蓓蓓"</f>
        <v>梁蓓蓓</v>
      </c>
      <c r="E498" s="7" t="str">
        <f t="shared" si="22"/>
        <v>女</v>
      </c>
    </row>
    <row r="499" spans="1:5" ht="30" customHeight="1">
      <c r="A499" s="6">
        <v>497</v>
      </c>
      <c r="B499" s="7" t="str">
        <f>"29802021051215400692971"</f>
        <v>29802021051215400692971</v>
      </c>
      <c r="C499" s="7" t="s">
        <v>12</v>
      </c>
      <c r="D499" s="7" t="str">
        <f>"贾晶"</f>
        <v>贾晶</v>
      </c>
      <c r="E499" s="7" t="str">
        <f t="shared" si="22"/>
        <v>女</v>
      </c>
    </row>
    <row r="500" spans="1:5" ht="30" customHeight="1">
      <c r="A500" s="6">
        <v>498</v>
      </c>
      <c r="B500" s="7" t="str">
        <f>"29802021051215500993011"</f>
        <v>29802021051215500993011</v>
      </c>
      <c r="C500" s="7" t="s">
        <v>12</v>
      </c>
      <c r="D500" s="7" t="str">
        <f>"邢鸿娟"</f>
        <v>邢鸿娟</v>
      </c>
      <c r="E500" s="7" t="str">
        <f t="shared" si="22"/>
        <v>女</v>
      </c>
    </row>
    <row r="501" spans="1:5" ht="30" customHeight="1">
      <c r="A501" s="6">
        <v>499</v>
      </c>
      <c r="B501" s="7" t="str">
        <f>"29802021051216182193116"</f>
        <v>29802021051216182193116</v>
      </c>
      <c r="C501" s="7" t="s">
        <v>12</v>
      </c>
      <c r="D501" s="7" t="str">
        <f>"黄卓行"</f>
        <v>黄卓行</v>
      </c>
      <c r="E501" s="7" t="str">
        <f>"男"</f>
        <v>男</v>
      </c>
    </row>
    <row r="502" spans="1:5" ht="30" customHeight="1">
      <c r="A502" s="6">
        <v>500</v>
      </c>
      <c r="B502" s="7" t="str">
        <f>"29802021051217203293375"</f>
        <v>29802021051217203293375</v>
      </c>
      <c r="C502" s="7" t="s">
        <v>12</v>
      </c>
      <c r="D502" s="7" t="str">
        <f>"毛丹妮"</f>
        <v>毛丹妮</v>
      </c>
      <c r="E502" s="7" t="str">
        <f>"女"</f>
        <v>女</v>
      </c>
    </row>
    <row r="503" spans="1:5" ht="30" customHeight="1">
      <c r="A503" s="6">
        <v>501</v>
      </c>
      <c r="B503" s="7" t="str">
        <f>"29802021051219381193649"</f>
        <v>29802021051219381193649</v>
      </c>
      <c r="C503" s="7" t="s">
        <v>12</v>
      </c>
      <c r="D503" s="7" t="str">
        <f>"曾雨晶"</f>
        <v>曾雨晶</v>
      </c>
      <c r="E503" s="7" t="str">
        <f>"女"</f>
        <v>女</v>
      </c>
    </row>
    <row r="504" spans="1:5" ht="30" customHeight="1">
      <c r="A504" s="6">
        <v>502</v>
      </c>
      <c r="B504" s="7" t="str">
        <f>"29802021051221155993876"</f>
        <v>29802021051221155993876</v>
      </c>
      <c r="C504" s="7" t="s">
        <v>12</v>
      </c>
      <c r="D504" s="7" t="str">
        <f>"王小波"</f>
        <v>王小波</v>
      </c>
      <c r="E504" s="7" t="str">
        <f>"男"</f>
        <v>男</v>
      </c>
    </row>
    <row r="505" spans="1:5" ht="30" customHeight="1">
      <c r="A505" s="6">
        <v>503</v>
      </c>
      <c r="B505" s="7" t="str">
        <f>"29802021051222421094087"</f>
        <v>29802021051222421094087</v>
      </c>
      <c r="C505" s="7" t="s">
        <v>12</v>
      </c>
      <c r="D505" s="7" t="str">
        <f>"陈珂珂"</f>
        <v>陈珂珂</v>
      </c>
      <c r="E505" s="7" t="str">
        <f>"女"</f>
        <v>女</v>
      </c>
    </row>
    <row r="506" spans="1:5" ht="30" customHeight="1">
      <c r="A506" s="6">
        <v>504</v>
      </c>
      <c r="B506" s="7" t="str">
        <f>"29802021051300192594228"</f>
        <v>29802021051300192594228</v>
      </c>
      <c r="C506" s="7" t="s">
        <v>12</v>
      </c>
      <c r="D506" s="7" t="str">
        <f>"代云勇"</f>
        <v>代云勇</v>
      </c>
      <c r="E506" s="7" t="str">
        <f>"男"</f>
        <v>男</v>
      </c>
    </row>
    <row r="507" spans="1:5" ht="30" customHeight="1">
      <c r="A507" s="6">
        <v>505</v>
      </c>
      <c r="B507" s="7" t="str">
        <f>"29802021051308344794332"</f>
        <v>29802021051308344794332</v>
      </c>
      <c r="C507" s="7" t="s">
        <v>12</v>
      </c>
      <c r="D507" s="7" t="str">
        <f>"蔡小娜"</f>
        <v>蔡小娜</v>
      </c>
      <c r="E507" s="7" t="str">
        <f aca="true" t="shared" si="23" ref="E507:E517">"女"</f>
        <v>女</v>
      </c>
    </row>
    <row r="508" spans="1:5" ht="30" customHeight="1">
      <c r="A508" s="6">
        <v>506</v>
      </c>
      <c r="B508" s="7" t="str">
        <f>"29802021051310090594586"</f>
        <v>29802021051310090594586</v>
      </c>
      <c r="C508" s="7" t="s">
        <v>12</v>
      </c>
      <c r="D508" s="7" t="str">
        <f>"张泽芬"</f>
        <v>张泽芬</v>
      </c>
      <c r="E508" s="7" t="str">
        <f t="shared" si="23"/>
        <v>女</v>
      </c>
    </row>
    <row r="509" spans="1:5" ht="30" customHeight="1">
      <c r="A509" s="6">
        <v>507</v>
      </c>
      <c r="B509" s="7" t="str">
        <f>"29802021051310465494718"</f>
        <v>29802021051310465494718</v>
      </c>
      <c r="C509" s="7" t="s">
        <v>12</v>
      </c>
      <c r="D509" s="7" t="str">
        <f>"王雪"</f>
        <v>王雪</v>
      </c>
      <c r="E509" s="7" t="str">
        <f t="shared" si="23"/>
        <v>女</v>
      </c>
    </row>
    <row r="510" spans="1:5" ht="30" customHeight="1">
      <c r="A510" s="6">
        <v>508</v>
      </c>
      <c r="B510" s="7" t="str">
        <f>"29802021051316315795478"</f>
        <v>29802021051316315795478</v>
      </c>
      <c r="C510" s="7" t="s">
        <v>12</v>
      </c>
      <c r="D510" s="7" t="str">
        <f>"黄杰馨"</f>
        <v>黄杰馨</v>
      </c>
      <c r="E510" s="7" t="str">
        <f t="shared" si="23"/>
        <v>女</v>
      </c>
    </row>
    <row r="511" spans="1:5" ht="30" customHeight="1">
      <c r="A511" s="6">
        <v>509</v>
      </c>
      <c r="B511" s="7" t="str">
        <f>"29802021051316573095543"</f>
        <v>29802021051316573095543</v>
      </c>
      <c r="C511" s="7" t="s">
        <v>12</v>
      </c>
      <c r="D511" s="7" t="str">
        <f>"李欣"</f>
        <v>李欣</v>
      </c>
      <c r="E511" s="7" t="str">
        <f t="shared" si="23"/>
        <v>女</v>
      </c>
    </row>
    <row r="512" spans="1:5" ht="30" customHeight="1">
      <c r="A512" s="6">
        <v>510</v>
      </c>
      <c r="B512" s="7" t="str">
        <f>"29802021051320395895987"</f>
        <v>29802021051320395895987</v>
      </c>
      <c r="C512" s="7" t="s">
        <v>12</v>
      </c>
      <c r="D512" s="7" t="str">
        <f>"龙嫔嫔"</f>
        <v>龙嫔嫔</v>
      </c>
      <c r="E512" s="7" t="str">
        <f t="shared" si="23"/>
        <v>女</v>
      </c>
    </row>
    <row r="513" spans="1:5" ht="30" customHeight="1">
      <c r="A513" s="6">
        <v>511</v>
      </c>
      <c r="B513" s="7" t="str">
        <f>"29802021051322093296181"</f>
        <v>29802021051322093296181</v>
      </c>
      <c r="C513" s="7" t="s">
        <v>12</v>
      </c>
      <c r="D513" s="7" t="str">
        <f>"麦小琴"</f>
        <v>麦小琴</v>
      </c>
      <c r="E513" s="7" t="str">
        <f t="shared" si="23"/>
        <v>女</v>
      </c>
    </row>
    <row r="514" spans="1:5" ht="30" customHeight="1">
      <c r="A514" s="6">
        <v>512</v>
      </c>
      <c r="B514" s="7" t="str">
        <f>"29802021051322380696260"</f>
        <v>29802021051322380696260</v>
      </c>
      <c r="C514" s="7" t="s">
        <v>12</v>
      </c>
      <c r="D514" s="7" t="str">
        <f>"杨婵娟"</f>
        <v>杨婵娟</v>
      </c>
      <c r="E514" s="7" t="str">
        <f t="shared" si="23"/>
        <v>女</v>
      </c>
    </row>
    <row r="515" spans="1:5" ht="30" customHeight="1">
      <c r="A515" s="6">
        <v>513</v>
      </c>
      <c r="B515" s="7" t="str">
        <f>"29802021051401274696403"</f>
        <v>29802021051401274696403</v>
      </c>
      <c r="C515" s="7" t="s">
        <v>12</v>
      </c>
      <c r="D515" s="7" t="str">
        <f>"黄小钊"</f>
        <v>黄小钊</v>
      </c>
      <c r="E515" s="7" t="str">
        <f t="shared" si="23"/>
        <v>女</v>
      </c>
    </row>
    <row r="516" spans="1:5" ht="30" customHeight="1">
      <c r="A516" s="6">
        <v>514</v>
      </c>
      <c r="B516" s="7" t="str">
        <f>"29802021051409201996562"</f>
        <v>29802021051409201996562</v>
      </c>
      <c r="C516" s="7" t="s">
        <v>12</v>
      </c>
      <c r="D516" s="7" t="str">
        <f>"吴多珍"</f>
        <v>吴多珍</v>
      </c>
      <c r="E516" s="7" t="str">
        <f t="shared" si="23"/>
        <v>女</v>
      </c>
    </row>
    <row r="517" spans="1:5" ht="30" customHeight="1">
      <c r="A517" s="6">
        <v>515</v>
      </c>
      <c r="B517" s="7" t="str">
        <f>"29802021051409552796645"</f>
        <v>29802021051409552796645</v>
      </c>
      <c r="C517" s="7" t="s">
        <v>12</v>
      </c>
      <c r="D517" s="7" t="str">
        <f>"杨萍"</f>
        <v>杨萍</v>
      </c>
      <c r="E517" s="7" t="str">
        <f t="shared" si="23"/>
        <v>女</v>
      </c>
    </row>
    <row r="518" spans="1:5" ht="30" customHeight="1">
      <c r="A518" s="6">
        <v>516</v>
      </c>
      <c r="B518" s="7" t="str">
        <f>"29802021051412444597011"</f>
        <v>29802021051412444597011</v>
      </c>
      <c r="C518" s="7" t="s">
        <v>12</v>
      </c>
      <c r="D518" s="7" t="str">
        <f>"林觉聘"</f>
        <v>林觉聘</v>
      </c>
      <c r="E518" s="7" t="str">
        <f>"男"</f>
        <v>男</v>
      </c>
    </row>
    <row r="519" spans="1:5" ht="30" customHeight="1">
      <c r="A519" s="6">
        <v>517</v>
      </c>
      <c r="B519" s="7" t="str">
        <f>"29802021051412454897013"</f>
        <v>29802021051412454897013</v>
      </c>
      <c r="C519" s="7" t="s">
        <v>12</v>
      </c>
      <c r="D519" s="7" t="str">
        <f>"许华平"</f>
        <v>许华平</v>
      </c>
      <c r="E519" s="7" t="str">
        <f aca="true" t="shared" si="24" ref="E519:E527">"女"</f>
        <v>女</v>
      </c>
    </row>
    <row r="520" spans="1:5" ht="30" customHeight="1">
      <c r="A520" s="6">
        <v>518</v>
      </c>
      <c r="B520" s="7" t="str">
        <f>"29802021051414194297183"</f>
        <v>29802021051414194297183</v>
      </c>
      <c r="C520" s="7" t="s">
        <v>12</v>
      </c>
      <c r="D520" s="7" t="str">
        <f>"陈燕莞"</f>
        <v>陈燕莞</v>
      </c>
      <c r="E520" s="7" t="str">
        <f t="shared" si="24"/>
        <v>女</v>
      </c>
    </row>
    <row r="521" spans="1:5" ht="30" customHeight="1">
      <c r="A521" s="6">
        <v>519</v>
      </c>
      <c r="B521" s="7" t="str">
        <f>"29802021051414344997212"</f>
        <v>29802021051414344997212</v>
      </c>
      <c r="C521" s="7" t="s">
        <v>12</v>
      </c>
      <c r="D521" s="7" t="str">
        <f>"王梅"</f>
        <v>王梅</v>
      </c>
      <c r="E521" s="7" t="str">
        <f t="shared" si="24"/>
        <v>女</v>
      </c>
    </row>
    <row r="522" spans="1:5" ht="30" customHeight="1">
      <c r="A522" s="6">
        <v>520</v>
      </c>
      <c r="B522" s="7" t="str">
        <f>"29802021051415164697289"</f>
        <v>29802021051415164697289</v>
      </c>
      <c r="C522" s="7" t="s">
        <v>12</v>
      </c>
      <c r="D522" s="7" t="str">
        <f>"王丹"</f>
        <v>王丹</v>
      </c>
      <c r="E522" s="7" t="str">
        <f t="shared" si="24"/>
        <v>女</v>
      </c>
    </row>
    <row r="523" spans="1:5" ht="30" customHeight="1">
      <c r="A523" s="6">
        <v>521</v>
      </c>
      <c r="B523" s="7" t="str">
        <f>"29802021051416242797465"</f>
        <v>29802021051416242797465</v>
      </c>
      <c r="C523" s="7" t="s">
        <v>12</v>
      </c>
      <c r="D523" s="7" t="str">
        <f>"张燕萍"</f>
        <v>张燕萍</v>
      </c>
      <c r="E523" s="7" t="str">
        <f t="shared" si="24"/>
        <v>女</v>
      </c>
    </row>
    <row r="524" spans="1:5" ht="30" customHeight="1">
      <c r="A524" s="6">
        <v>522</v>
      </c>
      <c r="B524" s="7" t="str">
        <f>"29802021051417391597623"</f>
        <v>29802021051417391597623</v>
      </c>
      <c r="C524" s="7" t="s">
        <v>12</v>
      </c>
      <c r="D524" s="7" t="str">
        <f>"陈星玲"</f>
        <v>陈星玲</v>
      </c>
      <c r="E524" s="7" t="str">
        <f t="shared" si="24"/>
        <v>女</v>
      </c>
    </row>
    <row r="525" spans="1:5" ht="30" customHeight="1">
      <c r="A525" s="6">
        <v>523</v>
      </c>
      <c r="B525" s="7" t="str">
        <f>"29802021051418513497733"</f>
        <v>29802021051418513497733</v>
      </c>
      <c r="C525" s="7" t="s">
        <v>12</v>
      </c>
      <c r="D525" s="7" t="str">
        <f>"刘莹莹"</f>
        <v>刘莹莹</v>
      </c>
      <c r="E525" s="7" t="str">
        <f t="shared" si="24"/>
        <v>女</v>
      </c>
    </row>
    <row r="526" spans="1:5" ht="30" customHeight="1">
      <c r="A526" s="6">
        <v>524</v>
      </c>
      <c r="B526" s="7" t="str">
        <f>"29802021051423514598214"</f>
        <v>29802021051423514598214</v>
      </c>
      <c r="C526" s="7" t="s">
        <v>12</v>
      </c>
      <c r="D526" s="7" t="str">
        <f>"陈玉湲"</f>
        <v>陈玉湲</v>
      </c>
      <c r="E526" s="7" t="str">
        <f t="shared" si="24"/>
        <v>女</v>
      </c>
    </row>
    <row r="527" spans="1:5" ht="30" customHeight="1">
      <c r="A527" s="6">
        <v>525</v>
      </c>
      <c r="B527" s="7" t="str">
        <f>"29802021051423551698218"</f>
        <v>29802021051423551698218</v>
      </c>
      <c r="C527" s="7" t="s">
        <v>12</v>
      </c>
      <c r="D527" s="7" t="str">
        <f>"吉秀怡"</f>
        <v>吉秀怡</v>
      </c>
      <c r="E527" s="7" t="str">
        <f t="shared" si="24"/>
        <v>女</v>
      </c>
    </row>
    <row r="528" spans="1:5" ht="30" customHeight="1">
      <c r="A528" s="6">
        <v>526</v>
      </c>
      <c r="B528" s="7" t="str">
        <f>"29802021051501383298276"</f>
        <v>29802021051501383298276</v>
      </c>
      <c r="C528" s="7" t="s">
        <v>12</v>
      </c>
      <c r="D528" s="7" t="str">
        <f>"林冠国"</f>
        <v>林冠国</v>
      </c>
      <c r="E528" s="7" t="str">
        <f>"男"</f>
        <v>男</v>
      </c>
    </row>
    <row r="529" spans="1:5" ht="30" customHeight="1">
      <c r="A529" s="6">
        <v>527</v>
      </c>
      <c r="B529" s="7" t="str">
        <f>"29802021051509495798408"</f>
        <v>29802021051509495798408</v>
      </c>
      <c r="C529" s="7" t="s">
        <v>12</v>
      </c>
      <c r="D529" s="7" t="str">
        <f>"庄美灯"</f>
        <v>庄美灯</v>
      </c>
      <c r="E529" s="7" t="str">
        <f aca="true" t="shared" si="25" ref="E529:E542">"女"</f>
        <v>女</v>
      </c>
    </row>
    <row r="530" spans="1:5" ht="30" customHeight="1">
      <c r="A530" s="6">
        <v>528</v>
      </c>
      <c r="B530" s="7" t="str">
        <f>"29802021051511110498553"</f>
        <v>29802021051511110498553</v>
      </c>
      <c r="C530" s="7" t="s">
        <v>12</v>
      </c>
      <c r="D530" s="7" t="str">
        <f>"杨夏蕊"</f>
        <v>杨夏蕊</v>
      </c>
      <c r="E530" s="7" t="str">
        <f t="shared" si="25"/>
        <v>女</v>
      </c>
    </row>
    <row r="531" spans="1:5" ht="30" customHeight="1">
      <c r="A531" s="6">
        <v>529</v>
      </c>
      <c r="B531" s="7" t="str">
        <f>"29802021051512441798710"</f>
        <v>29802021051512441798710</v>
      </c>
      <c r="C531" s="7" t="s">
        <v>12</v>
      </c>
      <c r="D531" s="7" t="str">
        <f>"李娇珍"</f>
        <v>李娇珍</v>
      </c>
      <c r="E531" s="7" t="str">
        <f t="shared" si="25"/>
        <v>女</v>
      </c>
    </row>
    <row r="532" spans="1:5" ht="30" customHeight="1">
      <c r="A532" s="6">
        <v>530</v>
      </c>
      <c r="B532" s="7" t="str">
        <f>"29802021051513573498824"</f>
        <v>29802021051513573498824</v>
      </c>
      <c r="C532" s="7" t="s">
        <v>12</v>
      </c>
      <c r="D532" s="7" t="str">
        <f>"邢潇斤"</f>
        <v>邢潇斤</v>
      </c>
      <c r="E532" s="7" t="str">
        <f t="shared" si="25"/>
        <v>女</v>
      </c>
    </row>
    <row r="533" spans="1:5" ht="30" customHeight="1">
      <c r="A533" s="6">
        <v>531</v>
      </c>
      <c r="B533" s="7" t="str">
        <f>"29802021051513580698827"</f>
        <v>29802021051513580698827</v>
      </c>
      <c r="C533" s="7" t="s">
        <v>12</v>
      </c>
      <c r="D533" s="7" t="str">
        <f>"郭教薇"</f>
        <v>郭教薇</v>
      </c>
      <c r="E533" s="7" t="str">
        <f t="shared" si="25"/>
        <v>女</v>
      </c>
    </row>
    <row r="534" spans="1:5" ht="30" customHeight="1">
      <c r="A534" s="6">
        <v>532</v>
      </c>
      <c r="B534" s="7" t="str">
        <f>"29802021051514582798918"</f>
        <v>29802021051514582798918</v>
      </c>
      <c r="C534" s="7" t="s">
        <v>12</v>
      </c>
      <c r="D534" s="7" t="str">
        <f>"王慧铃"</f>
        <v>王慧铃</v>
      </c>
      <c r="E534" s="7" t="str">
        <f t="shared" si="25"/>
        <v>女</v>
      </c>
    </row>
    <row r="535" spans="1:5" ht="30" customHeight="1">
      <c r="A535" s="6">
        <v>533</v>
      </c>
      <c r="B535" s="7" t="str">
        <f>"29802021050908135480492"</f>
        <v>29802021050908135480492</v>
      </c>
      <c r="C535" s="7" t="s">
        <v>13</v>
      </c>
      <c r="D535" s="7" t="str">
        <f>"陈琼静"</f>
        <v>陈琼静</v>
      </c>
      <c r="E535" s="7" t="str">
        <f t="shared" si="25"/>
        <v>女</v>
      </c>
    </row>
    <row r="536" spans="1:5" ht="30" customHeight="1">
      <c r="A536" s="6">
        <v>534</v>
      </c>
      <c r="B536" s="7" t="str">
        <f>"29802021050908152080494"</f>
        <v>29802021050908152080494</v>
      </c>
      <c r="C536" s="7" t="s">
        <v>13</v>
      </c>
      <c r="D536" s="7" t="str">
        <f>"汪海玲"</f>
        <v>汪海玲</v>
      </c>
      <c r="E536" s="7" t="str">
        <f t="shared" si="25"/>
        <v>女</v>
      </c>
    </row>
    <row r="537" spans="1:5" ht="30" customHeight="1">
      <c r="A537" s="6">
        <v>535</v>
      </c>
      <c r="B537" s="7" t="str">
        <f>"29802021050908390180523"</f>
        <v>29802021050908390180523</v>
      </c>
      <c r="C537" s="7" t="s">
        <v>13</v>
      </c>
      <c r="D537" s="7" t="str">
        <f>"黎芳岑"</f>
        <v>黎芳岑</v>
      </c>
      <c r="E537" s="7" t="str">
        <f t="shared" si="25"/>
        <v>女</v>
      </c>
    </row>
    <row r="538" spans="1:5" ht="30" customHeight="1">
      <c r="A538" s="6">
        <v>536</v>
      </c>
      <c r="B538" s="7" t="str">
        <f>"29802021050908423880530"</f>
        <v>29802021050908423880530</v>
      </c>
      <c r="C538" s="7" t="s">
        <v>13</v>
      </c>
      <c r="D538" s="7" t="str">
        <f>"吴雪梅"</f>
        <v>吴雪梅</v>
      </c>
      <c r="E538" s="7" t="str">
        <f t="shared" si="25"/>
        <v>女</v>
      </c>
    </row>
    <row r="539" spans="1:5" ht="30" customHeight="1">
      <c r="A539" s="6">
        <v>537</v>
      </c>
      <c r="B539" s="7" t="str">
        <f>"29802021050909021480563"</f>
        <v>29802021050909021480563</v>
      </c>
      <c r="C539" s="7" t="s">
        <v>13</v>
      </c>
      <c r="D539" s="7" t="str">
        <f>"肖奇琪"</f>
        <v>肖奇琪</v>
      </c>
      <c r="E539" s="7" t="str">
        <f t="shared" si="25"/>
        <v>女</v>
      </c>
    </row>
    <row r="540" spans="1:5" ht="30" customHeight="1">
      <c r="A540" s="6">
        <v>538</v>
      </c>
      <c r="B540" s="7" t="str">
        <f>"29802021050909090080571"</f>
        <v>29802021050909090080571</v>
      </c>
      <c r="C540" s="7" t="s">
        <v>13</v>
      </c>
      <c r="D540" s="7" t="str">
        <f>"谢欢"</f>
        <v>谢欢</v>
      </c>
      <c r="E540" s="7" t="str">
        <f t="shared" si="25"/>
        <v>女</v>
      </c>
    </row>
    <row r="541" spans="1:5" ht="30" customHeight="1">
      <c r="A541" s="6">
        <v>539</v>
      </c>
      <c r="B541" s="7" t="str">
        <f>"29802021050909271580603"</f>
        <v>29802021050909271580603</v>
      </c>
      <c r="C541" s="7" t="s">
        <v>13</v>
      </c>
      <c r="D541" s="7" t="str">
        <f>"云琼雨"</f>
        <v>云琼雨</v>
      </c>
      <c r="E541" s="7" t="str">
        <f t="shared" si="25"/>
        <v>女</v>
      </c>
    </row>
    <row r="542" spans="1:5" ht="30" customHeight="1">
      <c r="A542" s="6">
        <v>540</v>
      </c>
      <c r="B542" s="7" t="str">
        <f>"29802021050909390380620"</f>
        <v>29802021050909390380620</v>
      </c>
      <c r="C542" s="7" t="s">
        <v>13</v>
      </c>
      <c r="D542" s="7" t="str">
        <f>"王小惠"</f>
        <v>王小惠</v>
      </c>
      <c r="E542" s="7" t="str">
        <f t="shared" si="25"/>
        <v>女</v>
      </c>
    </row>
    <row r="543" spans="1:5" ht="30" customHeight="1">
      <c r="A543" s="6">
        <v>541</v>
      </c>
      <c r="B543" s="7" t="str">
        <f>"29802021050909405880624"</f>
        <v>29802021050909405880624</v>
      </c>
      <c r="C543" s="7" t="s">
        <v>13</v>
      </c>
      <c r="D543" s="7" t="str">
        <f>"王鸿"</f>
        <v>王鸿</v>
      </c>
      <c r="E543" s="7" t="str">
        <f>"男"</f>
        <v>男</v>
      </c>
    </row>
    <row r="544" spans="1:5" ht="30" customHeight="1">
      <c r="A544" s="6">
        <v>542</v>
      </c>
      <c r="B544" s="7" t="str">
        <f>"29802021050909594680671"</f>
        <v>29802021050909594680671</v>
      </c>
      <c r="C544" s="7" t="s">
        <v>13</v>
      </c>
      <c r="D544" s="7" t="str">
        <f>"容菊"</f>
        <v>容菊</v>
      </c>
      <c r="E544" s="7" t="str">
        <f>"女"</f>
        <v>女</v>
      </c>
    </row>
    <row r="545" spans="1:5" ht="30" customHeight="1">
      <c r="A545" s="6">
        <v>543</v>
      </c>
      <c r="B545" s="7" t="str">
        <f>"29802021050910102080697"</f>
        <v>29802021050910102080697</v>
      </c>
      <c r="C545" s="7" t="s">
        <v>13</v>
      </c>
      <c r="D545" s="7" t="str">
        <f>"吉训春"</f>
        <v>吉训春</v>
      </c>
      <c r="E545" s="7" t="str">
        <f>"女"</f>
        <v>女</v>
      </c>
    </row>
    <row r="546" spans="1:5" ht="30" customHeight="1">
      <c r="A546" s="6">
        <v>544</v>
      </c>
      <c r="B546" s="7" t="str">
        <f>"29802021050911054380814"</f>
        <v>29802021050911054380814</v>
      </c>
      <c r="C546" s="7" t="s">
        <v>13</v>
      </c>
      <c r="D546" s="7" t="str">
        <f>"甘江瑶"</f>
        <v>甘江瑶</v>
      </c>
      <c r="E546" s="7" t="str">
        <f>"男"</f>
        <v>男</v>
      </c>
    </row>
    <row r="547" spans="1:5" ht="30" customHeight="1">
      <c r="A547" s="6">
        <v>545</v>
      </c>
      <c r="B547" s="7" t="str">
        <f>"29802021050911172880829"</f>
        <v>29802021050911172880829</v>
      </c>
      <c r="C547" s="7" t="s">
        <v>13</v>
      </c>
      <c r="D547" s="7" t="str">
        <f>"陈燕清"</f>
        <v>陈燕清</v>
      </c>
      <c r="E547" s="7" t="str">
        <f>"女"</f>
        <v>女</v>
      </c>
    </row>
    <row r="548" spans="1:5" ht="30" customHeight="1">
      <c r="A548" s="6">
        <v>546</v>
      </c>
      <c r="B548" s="7" t="str">
        <f>"29802021050911304380852"</f>
        <v>29802021050911304380852</v>
      </c>
      <c r="C548" s="7" t="s">
        <v>13</v>
      </c>
      <c r="D548" s="7" t="str">
        <f>"曾云"</f>
        <v>曾云</v>
      </c>
      <c r="E548" s="7" t="str">
        <f>"女"</f>
        <v>女</v>
      </c>
    </row>
    <row r="549" spans="1:5" ht="30" customHeight="1">
      <c r="A549" s="6">
        <v>547</v>
      </c>
      <c r="B549" s="7" t="str">
        <f>"29802021050911411580874"</f>
        <v>29802021050911411580874</v>
      </c>
      <c r="C549" s="7" t="s">
        <v>13</v>
      </c>
      <c r="D549" s="7" t="str">
        <f>"吉训超"</f>
        <v>吉训超</v>
      </c>
      <c r="E549" s="7" t="str">
        <f>"男"</f>
        <v>男</v>
      </c>
    </row>
    <row r="550" spans="1:5" ht="30" customHeight="1">
      <c r="A550" s="6">
        <v>548</v>
      </c>
      <c r="B550" s="7" t="str">
        <f>"29802021050912023480910"</f>
        <v>29802021050912023480910</v>
      </c>
      <c r="C550" s="7" t="s">
        <v>13</v>
      </c>
      <c r="D550" s="7" t="str">
        <f>"杨小香"</f>
        <v>杨小香</v>
      </c>
      <c r="E550" s="7" t="str">
        <f>"女"</f>
        <v>女</v>
      </c>
    </row>
    <row r="551" spans="1:5" ht="30" customHeight="1">
      <c r="A551" s="6">
        <v>549</v>
      </c>
      <c r="B551" s="7" t="str">
        <f>"29802021050912033180912"</f>
        <v>29802021050912033180912</v>
      </c>
      <c r="C551" s="7" t="s">
        <v>13</v>
      </c>
      <c r="D551" s="7" t="str">
        <f>"谢润蕾"</f>
        <v>谢润蕾</v>
      </c>
      <c r="E551" s="7" t="str">
        <f>"女"</f>
        <v>女</v>
      </c>
    </row>
    <row r="552" spans="1:5" ht="30" customHeight="1">
      <c r="A552" s="6">
        <v>550</v>
      </c>
      <c r="B552" s="7" t="str">
        <f>"29802021050912412480967"</f>
        <v>29802021050912412480967</v>
      </c>
      <c r="C552" s="7" t="s">
        <v>13</v>
      </c>
      <c r="D552" s="7" t="str">
        <f>"王利嫔"</f>
        <v>王利嫔</v>
      </c>
      <c r="E552" s="7" t="str">
        <f>"女"</f>
        <v>女</v>
      </c>
    </row>
    <row r="553" spans="1:5" ht="30" customHeight="1">
      <c r="A553" s="6">
        <v>551</v>
      </c>
      <c r="B553" s="7" t="str">
        <f>"29802021050912424280971"</f>
        <v>29802021050912424280971</v>
      </c>
      <c r="C553" s="7" t="s">
        <v>13</v>
      </c>
      <c r="D553" s="7" t="str">
        <f>"符春草"</f>
        <v>符春草</v>
      </c>
      <c r="E553" s="7" t="str">
        <f>"女"</f>
        <v>女</v>
      </c>
    </row>
    <row r="554" spans="1:5" ht="30" customHeight="1">
      <c r="A554" s="6">
        <v>552</v>
      </c>
      <c r="B554" s="7" t="str">
        <f>"29802021050913181581030"</f>
        <v>29802021050913181581030</v>
      </c>
      <c r="C554" s="7" t="s">
        <v>13</v>
      </c>
      <c r="D554" s="7" t="str">
        <f>"羊开学"</f>
        <v>羊开学</v>
      </c>
      <c r="E554" s="7" t="str">
        <f>"男"</f>
        <v>男</v>
      </c>
    </row>
    <row r="555" spans="1:5" ht="30" customHeight="1">
      <c r="A555" s="6">
        <v>553</v>
      </c>
      <c r="B555" s="7" t="str">
        <f>"29802021050914045081091"</f>
        <v>29802021050914045081091</v>
      </c>
      <c r="C555" s="7" t="s">
        <v>13</v>
      </c>
      <c r="D555" s="7" t="str">
        <f>"陈美楼"</f>
        <v>陈美楼</v>
      </c>
      <c r="E555" s="7" t="str">
        <f aca="true" t="shared" si="26" ref="E555:E577">"女"</f>
        <v>女</v>
      </c>
    </row>
    <row r="556" spans="1:5" ht="30" customHeight="1">
      <c r="A556" s="6">
        <v>554</v>
      </c>
      <c r="B556" s="7" t="str">
        <f>"29802021050914240181123"</f>
        <v>29802021050914240181123</v>
      </c>
      <c r="C556" s="7" t="s">
        <v>13</v>
      </c>
      <c r="D556" s="7" t="str">
        <f>"黎子韵"</f>
        <v>黎子韵</v>
      </c>
      <c r="E556" s="7" t="str">
        <f t="shared" si="26"/>
        <v>女</v>
      </c>
    </row>
    <row r="557" spans="1:5" ht="30" customHeight="1">
      <c r="A557" s="6">
        <v>555</v>
      </c>
      <c r="B557" s="7" t="str">
        <f>"29802021050914381281139"</f>
        <v>29802021050914381281139</v>
      </c>
      <c r="C557" s="7" t="s">
        <v>13</v>
      </c>
      <c r="D557" s="7" t="str">
        <f>"文小静"</f>
        <v>文小静</v>
      </c>
      <c r="E557" s="7" t="str">
        <f t="shared" si="26"/>
        <v>女</v>
      </c>
    </row>
    <row r="558" spans="1:5" ht="30" customHeight="1">
      <c r="A558" s="6">
        <v>556</v>
      </c>
      <c r="B558" s="7" t="str">
        <f>"29802021050914442881150"</f>
        <v>29802021050914442881150</v>
      </c>
      <c r="C558" s="7" t="s">
        <v>13</v>
      </c>
      <c r="D558" s="7" t="str">
        <f>"符开霞"</f>
        <v>符开霞</v>
      </c>
      <c r="E558" s="7" t="str">
        <f t="shared" si="26"/>
        <v>女</v>
      </c>
    </row>
    <row r="559" spans="1:5" ht="30" customHeight="1">
      <c r="A559" s="6">
        <v>557</v>
      </c>
      <c r="B559" s="7" t="str">
        <f>"29802021050915583081274"</f>
        <v>29802021050915583081274</v>
      </c>
      <c r="C559" s="7" t="s">
        <v>13</v>
      </c>
      <c r="D559" s="7" t="str">
        <f>"郑晓珠"</f>
        <v>郑晓珠</v>
      </c>
      <c r="E559" s="7" t="str">
        <f t="shared" si="26"/>
        <v>女</v>
      </c>
    </row>
    <row r="560" spans="1:5" ht="30" customHeight="1">
      <c r="A560" s="6">
        <v>558</v>
      </c>
      <c r="B560" s="7" t="str">
        <f>"29802021050916250581323"</f>
        <v>29802021050916250581323</v>
      </c>
      <c r="C560" s="7" t="s">
        <v>13</v>
      </c>
      <c r="D560" s="7" t="str">
        <f>"吴丽敏"</f>
        <v>吴丽敏</v>
      </c>
      <c r="E560" s="7" t="str">
        <f t="shared" si="26"/>
        <v>女</v>
      </c>
    </row>
    <row r="561" spans="1:5" ht="30" customHeight="1">
      <c r="A561" s="6">
        <v>559</v>
      </c>
      <c r="B561" s="7" t="str">
        <f>"29802021050916334181346"</f>
        <v>29802021050916334181346</v>
      </c>
      <c r="C561" s="7" t="s">
        <v>13</v>
      </c>
      <c r="D561" s="7" t="str">
        <f>"杨婷"</f>
        <v>杨婷</v>
      </c>
      <c r="E561" s="7" t="str">
        <f t="shared" si="26"/>
        <v>女</v>
      </c>
    </row>
    <row r="562" spans="1:5" ht="30" customHeight="1">
      <c r="A562" s="6">
        <v>560</v>
      </c>
      <c r="B562" s="7" t="str">
        <f>"29802021050916473681378"</f>
        <v>29802021050916473681378</v>
      </c>
      <c r="C562" s="7" t="s">
        <v>13</v>
      </c>
      <c r="D562" s="7" t="str">
        <f>"陈颖"</f>
        <v>陈颖</v>
      </c>
      <c r="E562" s="7" t="str">
        <f t="shared" si="26"/>
        <v>女</v>
      </c>
    </row>
    <row r="563" spans="1:5" ht="30" customHeight="1">
      <c r="A563" s="6">
        <v>561</v>
      </c>
      <c r="B563" s="7" t="str">
        <f>"29802021050916543781390"</f>
        <v>29802021050916543781390</v>
      </c>
      <c r="C563" s="7" t="s">
        <v>13</v>
      </c>
      <c r="D563" s="7" t="str">
        <f>"黄梦静"</f>
        <v>黄梦静</v>
      </c>
      <c r="E563" s="7" t="str">
        <f t="shared" si="26"/>
        <v>女</v>
      </c>
    </row>
    <row r="564" spans="1:5" ht="30" customHeight="1">
      <c r="A564" s="6">
        <v>562</v>
      </c>
      <c r="B564" s="7" t="str">
        <f>"29802021050916583181396"</f>
        <v>29802021050916583181396</v>
      </c>
      <c r="C564" s="7" t="s">
        <v>13</v>
      </c>
      <c r="D564" s="7" t="str">
        <f>"欧丽燕"</f>
        <v>欧丽燕</v>
      </c>
      <c r="E564" s="7" t="str">
        <f t="shared" si="26"/>
        <v>女</v>
      </c>
    </row>
    <row r="565" spans="1:5" ht="30" customHeight="1">
      <c r="A565" s="6">
        <v>563</v>
      </c>
      <c r="B565" s="7" t="str">
        <f>"29802021050916585581399"</f>
        <v>29802021050916585581399</v>
      </c>
      <c r="C565" s="7" t="s">
        <v>13</v>
      </c>
      <c r="D565" s="7" t="str">
        <f>"李丽洁"</f>
        <v>李丽洁</v>
      </c>
      <c r="E565" s="7" t="str">
        <f t="shared" si="26"/>
        <v>女</v>
      </c>
    </row>
    <row r="566" spans="1:5" ht="30" customHeight="1">
      <c r="A566" s="6">
        <v>564</v>
      </c>
      <c r="B566" s="7" t="str">
        <f>"29802021050917023581408"</f>
        <v>29802021050917023581408</v>
      </c>
      <c r="C566" s="7" t="s">
        <v>13</v>
      </c>
      <c r="D566" s="7" t="str">
        <f>"秦艺珊"</f>
        <v>秦艺珊</v>
      </c>
      <c r="E566" s="7" t="str">
        <f t="shared" si="26"/>
        <v>女</v>
      </c>
    </row>
    <row r="567" spans="1:5" ht="30" customHeight="1">
      <c r="A567" s="6">
        <v>565</v>
      </c>
      <c r="B567" s="7" t="str">
        <f>"29802021050917263581470"</f>
        <v>29802021050917263581470</v>
      </c>
      <c r="C567" s="7" t="s">
        <v>13</v>
      </c>
      <c r="D567" s="7" t="str">
        <f>"李成碧"</f>
        <v>李成碧</v>
      </c>
      <c r="E567" s="7" t="str">
        <f t="shared" si="26"/>
        <v>女</v>
      </c>
    </row>
    <row r="568" spans="1:5" ht="30" customHeight="1">
      <c r="A568" s="6">
        <v>566</v>
      </c>
      <c r="B568" s="7" t="str">
        <f>"29802021050917295681477"</f>
        <v>29802021050917295681477</v>
      </c>
      <c r="C568" s="7" t="s">
        <v>13</v>
      </c>
      <c r="D568" s="7" t="str">
        <f>"刘畅"</f>
        <v>刘畅</v>
      </c>
      <c r="E568" s="7" t="str">
        <f t="shared" si="26"/>
        <v>女</v>
      </c>
    </row>
    <row r="569" spans="1:5" ht="30" customHeight="1">
      <c r="A569" s="6">
        <v>567</v>
      </c>
      <c r="B569" s="7" t="str">
        <f>"29802021050917355281494"</f>
        <v>29802021050917355281494</v>
      </c>
      <c r="C569" s="7" t="s">
        <v>13</v>
      </c>
      <c r="D569" s="7" t="str">
        <f>"陆伟"</f>
        <v>陆伟</v>
      </c>
      <c r="E569" s="7" t="str">
        <f t="shared" si="26"/>
        <v>女</v>
      </c>
    </row>
    <row r="570" spans="1:5" ht="30" customHeight="1">
      <c r="A570" s="6">
        <v>568</v>
      </c>
      <c r="B570" s="7" t="str">
        <f>"29802021050917521381526"</f>
        <v>29802021050917521381526</v>
      </c>
      <c r="C570" s="7" t="s">
        <v>13</v>
      </c>
      <c r="D570" s="7" t="str">
        <f>"符晓"</f>
        <v>符晓</v>
      </c>
      <c r="E570" s="7" t="str">
        <f t="shared" si="26"/>
        <v>女</v>
      </c>
    </row>
    <row r="571" spans="1:5" ht="30" customHeight="1">
      <c r="A571" s="6">
        <v>569</v>
      </c>
      <c r="B571" s="7" t="str">
        <f>"29802021050917590481538"</f>
        <v>29802021050917590481538</v>
      </c>
      <c r="C571" s="7" t="s">
        <v>13</v>
      </c>
      <c r="D571" s="7" t="str">
        <f>"林芬"</f>
        <v>林芬</v>
      </c>
      <c r="E571" s="7" t="str">
        <f t="shared" si="26"/>
        <v>女</v>
      </c>
    </row>
    <row r="572" spans="1:5" ht="30" customHeight="1">
      <c r="A572" s="6">
        <v>570</v>
      </c>
      <c r="B572" s="7" t="str">
        <f>"29802021050918093081555"</f>
        <v>29802021050918093081555</v>
      </c>
      <c r="C572" s="7" t="s">
        <v>13</v>
      </c>
      <c r="D572" s="7" t="str">
        <f>"许力鸣"</f>
        <v>许力鸣</v>
      </c>
      <c r="E572" s="7" t="str">
        <f t="shared" si="26"/>
        <v>女</v>
      </c>
    </row>
    <row r="573" spans="1:5" ht="30" customHeight="1">
      <c r="A573" s="6">
        <v>571</v>
      </c>
      <c r="B573" s="7" t="str">
        <f>"29802021050918094581557"</f>
        <v>29802021050918094581557</v>
      </c>
      <c r="C573" s="7" t="s">
        <v>13</v>
      </c>
      <c r="D573" s="7" t="str">
        <f>"苏崖"</f>
        <v>苏崖</v>
      </c>
      <c r="E573" s="7" t="str">
        <f t="shared" si="26"/>
        <v>女</v>
      </c>
    </row>
    <row r="574" spans="1:5" ht="30" customHeight="1">
      <c r="A574" s="6">
        <v>572</v>
      </c>
      <c r="B574" s="7" t="str">
        <f>"29802021050918385681609"</f>
        <v>29802021050918385681609</v>
      </c>
      <c r="C574" s="7" t="s">
        <v>13</v>
      </c>
      <c r="D574" s="7" t="str">
        <f>"王盈"</f>
        <v>王盈</v>
      </c>
      <c r="E574" s="7" t="str">
        <f t="shared" si="26"/>
        <v>女</v>
      </c>
    </row>
    <row r="575" spans="1:5" ht="30" customHeight="1">
      <c r="A575" s="6">
        <v>573</v>
      </c>
      <c r="B575" s="7" t="str">
        <f>"29802021050918422281617"</f>
        <v>29802021050918422281617</v>
      </c>
      <c r="C575" s="7" t="s">
        <v>13</v>
      </c>
      <c r="D575" s="7" t="str">
        <f>"文妮"</f>
        <v>文妮</v>
      </c>
      <c r="E575" s="7" t="str">
        <f t="shared" si="26"/>
        <v>女</v>
      </c>
    </row>
    <row r="576" spans="1:5" ht="30" customHeight="1">
      <c r="A576" s="6">
        <v>574</v>
      </c>
      <c r="B576" s="7" t="str">
        <f>"29802021050918453181629"</f>
        <v>29802021050918453181629</v>
      </c>
      <c r="C576" s="7" t="s">
        <v>13</v>
      </c>
      <c r="D576" s="7" t="str">
        <f>"李月秋"</f>
        <v>李月秋</v>
      </c>
      <c r="E576" s="7" t="str">
        <f t="shared" si="26"/>
        <v>女</v>
      </c>
    </row>
    <row r="577" spans="1:5" ht="30" customHeight="1">
      <c r="A577" s="6">
        <v>575</v>
      </c>
      <c r="B577" s="7" t="str">
        <f>"29802021050919164481683"</f>
        <v>29802021050919164481683</v>
      </c>
      <c r="C577" s="7" t="s">
        <v>13</v>
      </c>
      <c r="D577" s="7" t="str">
        <f>"蔡桂銮"</f>
        <v>蔡桂銮</v>
      </c>
      <c r="E577" s="7" t="str">
        <f t="shared" si="26"/>
        <v>女</v>
      </c>
    </row>
    <row r="578" spans="1:5" ht="30" customHeight="1">
      <c r="A578" s="6">
        <v>576</v>
      </c>
      <c r="B578" s="7" t="str">
        <f>"29802021050919193581688"</f>
        <v>29802021050919193581688</v>
      </c>
      <c r="C578" s="7" t="s">
        <v>13</v>
      </c>
      <c r="D578" s="7" t="str">
        <f>"张鑫"</f>
        <v>张鑫</v>
      </c>
      <c r="E578" s="7" t="str">
        <f>"男"</f>
        <v>男</v>
      </c>
    </row>
    <row r="579" spans="1:5" ht="30" customHeight="1">
      <c r="A579" s="6">
        <v>577</v>
      </c>
      <c r="B579" s="7" t="str">
        <f>"29802021050919411781723"</f>
        <v>29802021050919411781723</v>
      </c>
      <c r="C579" s="7" t="s">
        <v>13</v>
      </c>
      <c r="D579" s="7" t="str">
        <f>"王南霞"</f>
        <v>王南霞</v>
      </c>
      <c r="E579" s="7" t="str">
        <f aca="true" t="shared" si="27" ref="E579:E592">"女"</f>
        <v>女</v>
      </c>
    </row>
    <row r="580" spans="1:5" ht="30" customHeight="1">
      <c r="A580" s="6">
        <v>578</v>
      </c>
      <c r="B580" s="7" t="str">
        <f>"29802021050920073381776"</f>
        <v>29802021050920073381776</v>
      </c>
      <c r="C580" s="7" t="s">
        <v>13</v>
      </c>
      <c r="D580" s="7" t="str">
        <f>"陈君"</f>
        <v>陈君</v>
      </c>
      <c r="E580" s="7" t="str">
        <f t="shared" si="27"/>
        <v>女</v>
      </c>
    </row>
    <row r="581" spans="1:5" ht="30" customHeight="1">
      <c r="A581" s="6">
        <v>579</v>
      </c>
      <c r="B581" s="7" t="str">
        <f>"29802021050921035381902"</f>
        <v>29802021050921035381902</v>
      </c>
      <c r="C581" s="7" t="s">
        <v>13</v>
      </c>
      <c r="D581" s="7" t="str">
        <f>"苏二妹"</f>
        <v>苏二妹</v>
      </c>
      <c r="E581" s="7" t="str">
        <f t="shared" si="27"/>
        <v>女</v>
      </c>
    </row>
    <row r="582" spans="1:5" ht="30" customHeight="1">
      <c r="A582" s="6">
        <v>580</v>
      </c>
      <c r="B582" s="7" t="str">
        <f>"29802021050921103481916"</f>
        <v>29802021050921103481916</v>
      </c>
      <c r="C582" s="7" t="s">
        <v>13</v>
      </c>
      <c r="D582" s="7" t="str">
        <f>"黎菊女"</f>
        <v>黎菊女</v>
      </c>
      <c r="E582" s="7" t="str">
        <f t="shared" si="27"/>
        <v>女</v>
      </c>
    </row>
    <row r="583" spans="1:5" ht="30" customHeight="1">
      <c r="A583" s="6">
        <v>581</v>
      </c>
      <c r="B583" s="7" t="str">
        <f>"29802021050921590682050"</f>
        <v>29802021050921590682050</v>
      </c>
      <c r="C583" s="7" t="s">
        <v>13</v>
      </c>
      <c r="D583" s="7" t="str">
        <f>"王梅云"</f>
        <v>王梅云</v>
      </c>
      <c r="E583" s="7" t="str">
        <f t="shared" si="27"/>
        <v>女</v>
      </c>
    </row>
    <row r="584" spans="1:5" ht="30" customHeight="1">
      <c r="A584" s="6">
        <v>582</v>
      </c>
      <c r="B584" s="7" t="str">
        <f>"29802021050922075482067"</f>
        <v>29802021050922075482067</v>
      </c>
      <c r="C584" s="7" t="s">
        <v>13</v>
      </c>
      <c r="D584" s="7" t="str">
        <f>"周媚"</f>
        <v>周媚</v>
      </c>
      <c r="E584" s="7" t="str">
        <f t="shared" si="27"/>
        <v>女</v>
      </c>
    </row>
    <row r="585" spans="1:5" ht="30" customHeight="1">
      <c r="A585" s="6">
        <v>583</v>
      </c>
      <c r="B585" s="7" t="str">
        <f>"29802021050922165682096"</f>
        <v>29802021050922165682096</v>
      </c>
      <c r="C585" s="7" t="s">
        <v>13</v>
      </c>
      <c r="D585" s="7" t="str">
        <f>"黄小含"</f>
        <v>黄小含</v>
      </c>
      <c r="E585" s="7" t="str">
        <f t="shared" si="27"/>
        <v>女</v>
      </c>
    </row>
    <row r="586" spans="1:5" ht="30" customHeight="1">
      <c r="A586" s="6">
        <v>584</v>
      </c>
      <c r="B586" s="7" t="str">
        <f>"29802021050922205682107"</f>
        <v>29802021050922205682107</v>
      </c>
      <c r="C586" s="7" t="s">
        <v>13</v>
      </c>
      <c r="D586" s="7" t="str">
        <f>"邓巧依"</f>
        <v>邓巧依</v>
      </c>
      <c r="E586" s="7" t="str">
        <f t="shared" si="27"/>
        <v>女</v>
      </c>
    </row>
    <row r="587" spans="1:5" ht="30" customHeight="1">
      <c r="A587" s="6">
        <v>585</v>
      </c>
      <c r="B587" s="7" t="str">
        <f>"29802021050922241682116"</f>
        <v>29802021050922241682116</v>
      </c>
      <c r="C587" s="7" t="s">
        <v>13</v>
      </c>
      <c r="D587" s="7" t="str">
        <f>"符梅燕"</f>
        <v>符梅燕</v>
      </c>
      <c r="E587" s="7" t="str">
        <f t="shared" si="27"/>
        <v>女</v>
      </c>
    </row>
    <row r="588" spans="1:5" ht="30" customHeight="1">
      <c r="A588" s="6">
        <v>586</v>
      </c>
      <c r="B588" s="7" t="str">
        <f>"29802021050922301282132"</f>
        <v>29802021050922301282132</v>
      </c>
      <c r="C588" s="7" t="s">
        <v>13</v>
      </c>
      <c r="D588" s="7" t="str">
        <f>"何雨欣"</f>
        <v>何雨欣</v>
      </c>
      <c r="E588" s="7" t="str">
        <f t="shared" si="27"/>
        <v>女</v>
      </c>
    </row>
    <row r="589" spans="1:5" ht="30" customHeight="1">
      <c r="A589" s="6">
        <v>587</v>
      </c>
      <c r="B589" s="7" t="str">
        <f>"29802021050923090082214"</f>
        <v>29802021050923090082214</v>
      </c>
      <c r="C589" s="7" t="s">
        <v>13</v>
      </c>
      <c r="D589" s="7" t="str">
        <f>"张玲清"</f>
        <v>张玲清</v>
      </c>
      <c r="E589" s="7" t="str">
        <f t="shared" si="27"/>
        <v>女</v>
      </c>
    </row>
    <row r="590" spans="1:5" ht="30" customHeight="1">
      <c r="A590" s="6">
        <v>588</v>
      </c>
      <c r="B590" s="7" t="str">
        <f>"29802021050923101082215"</f>
        <v>29802021050923101082215</v>
      </c>
      <c r="C590" s="7" t="s">
        <v>13</v>
      </c>
      <c r="D590" s="7" t="str">
        <f>"李姿影"</f>
        <v>李姿影</v>
      </c>
      <c r="E590" s="7" t="str">
        <f t="shared" si="27"/>
        <v>女</v>
      </c>
    </row>
    <row r="591" spans="1:5" ht="30" customHeight="1">
      <c r="A591" s="6">
        <v>589</v>
      </c>
      <c r="B591" s="7" t="str">
        <f>"29802021050923385982263"</f>
        <v>29802021050923385982263</v>
      </c>
      <c r="C591" s="7" t="s">
        <v>13</v>
      </c>
      <c r="D591" s="7" t="str">
        <f>"郭迈晨"</f>
        <v>郭迈晨</v>
      </c>
      <c r="E591" s="7" t="str">
        <f t="shared" si="27"/>
        <v>女</v>
      </c>
    </row>
    <row r="592" spans="1:5" ht="30" customHeight="1">
      <c r="A592" s="6">
        <v>590</v>
      </c>
      <c r="B592" s="7" t="str">
        <f>"29802021050923530882280"</f>
        <v>29802021050923530882280</v>
      </c>
      <c r="C592" s="7" t="s">
        <v>13</v>
      </c>
      <c r="D592" s="7" t="str">
        <f>"王海丽"</f>
        <v>王海丽</v>
      </c>
      <c r="E592" s="7" t="str">
        <f t="shared" si="27"/>
        <v>女</v>
      </c>
    </row>
    <row r="593" spans="1:5" ht="30" customHeight="1">
      <c r="A593" s="6">
        <v>591</v>
      </c>
      <c r="B593" s="7" t="str">
        <f>"29802021051007431382366"</f>
        <v>29802021051007431382366</v>
      </c>
      <c r="C593" s="7" t="s">
        <v>13</v>
      </c>
      <c r="D593" s="7" t="str">
        <f>"赵文立"</f>
        <v>赵文立</v>
      </c>
      <c r="E593" s="7" t="str">
        <f>"男"</f>
        <v>男</v>
      </c>
    </row>
    <row r="594" spans="1:5" ht="30" customHeight="1">
      <c r="A594" s="6">
        <v>592</v>
      </c>
      <c r="B594" s="7" t="str">
        <f>"29802021051007562782389"</f>
        <v>29802021051007562782389</v>
      </c>
      <c r="C594" s="7" t="s">
        <v>13</v>
      </c>
      <c r="D594" s="7" t="str">
        <f>"黄楚茵"</f>
        <v>黄楚茵</v>
      </c>
      <c r="E594" s="7" t="str">
        <f>"女"</f>
        <v>女</v>
      </c>
    </row>
    <row r="595" spans="1:5" ht="30" customHeight="1">
      <c r="A595" s="6">
        <v>593</v>
      </c>
      <c r="B595" s="7" t="str">
        <f>"29802021051008044882404"</f>
        <v>29802021051008044882404</v>
      </c>
      <c r="C595" s="7" t="s">
        <v>13</v>
      </c>
      <c r="D595" s="7" t="str">
        <f>"许云婷"</f>
        <v>许云婷</v>
      </c>
      <c r="E595" s="7" t="str">
        <f>"女"</f>
        <v>女</v>
      </c>
    </row>
    <row r="596" spans="1:5" ht="30" customHeight="1">
      <c r="A596" s="6">
        <v>594</v>
      </c>
      <c r="B596" s="7" t="str">
        <f>"29802021051008053682407"</f>
        <v>29802021051008053682407</v>
      </c>
      <c r="C596" s="7" t="s">
        <v>13</v>
      </c>
      <c r="D596" s="7" t="str">
        <f>"王淑英"</f>
        <v>王淑英</v>
      </c>
      <c r="E596" s="7" t="str">
        <f>"女"</f>
        <v>女</v>
      </c>
    </row>
    <row r="597" spans="1:5" ht="30" customHeight="1">
      <c r="A597" s="6">
        <v>595</v>
      </c>
      <c r="B597" s="7" t="str">
        <f>"29802021051008062582409"</f>
        <v>29802021051008062582409</v>
      </c>
      <c r="C597" s="7" t="s">
        <v>13</v>
      </c>
      <c r="D597" s="7" t="str">
        <f>"吴佩珠"</f>
        <v>吴佩珠</v>
      </c>
      <c r="E597" s="7" t="str">
        <f>"女"</f>
        <v>女</v>
      </c>
    </row>
    <row r="598" spans="1:5" ht="30" customHeight="1">
      <c r="A598" s="6">
        <v>596</v>
      </c>
      <c r="B598" s="7" t="str">
        <f>"29802021051008201982458"</f>
        <v>29802021051008201982458</v>
      </c>
      <c r="C598" s="7" t="s">
        <v>13</v>
      </c>
      <c r="D598" s="7" t="str">
        <f>"林冰梅"</f>
        <v>林冰梅</v>
      </c>
      <c r="E598" s="7" t="str">
        <f>"女"</f>
        <v>女</v>
      </c>
    </row>
    <row r="599" spans="1:5" ht="30" customHeight="1">
      <c r="A599" s="6">
        <v>597</v>
      </c>
      <c r="B599" s="7" t="str">
        <f>"29802021051008295082496"</f>
        <v>29802021051008295082496</v>
      </c>
      <c r="C599" s="7" t="s">
        <v>13</v>
      </c>
      <c r="D599" s="7" t="str">
        <f>"周喜升"</f>
        <v>周喜升</v>
      </c>
      <c r="E599" s="7" t="str">
        <f>"男"</f>
        <v>男</v>
      </c>
    </row>
    <row r="600" spans="1:5" ht="30" customHeight="1">
      <c r="A600" s="6">
        <v>598</v>
      </c>
      <c r="B600" s="7" t="str">
        <f>"29802021051008302782500"</f>
        <v>29802021051008302782500</v>
      </c>
      <c r="C600" s="7" t="s">
        <v>13</v>
      </c>
      <c r="D600" s="7" t="str">
        <f>"郑再娜"</f>
        <v>郑再娜</v>
      </c>
      <c r="E600" s="7" t="str">
        <f aca="true" t="shared" si="28" ref="E600:E605">"女"</f>
        <v>女</v>
      </c>
    </row>
    <row r="601" spans="1:5" ht="30" customHeight="1">
      <c r="A601" s="6">
        <v>599</v>
      </c>
      <c r="B601" s="7" t="str">
        <f>"29802021051008333582527"</f>
        <v>29802021051008333582527</v>
      </c>
      <c r="C601" s="7" t="s">
        <v>13</v>
      </c>
      <c r="D601" s="7" t="str">
        <f>"曾平婷"</f>
        <v>曾平婷</v>
      </c>
      <c r="E601" s="7" t="str">
        <f t="shared" si="28"/>
        <v>女</v>
      </c>
    </row>
    <row r="602" spans="1:5" ht="30" customHeight="1">
      <c r="A602" s="6">
        <v>600</v>
      </c>
      <c r="B602" s="7" t="str">
        <f>"29802021051008354482536"</f>
        <v>29802021051008354482536</v>
      </c>
      <c r="C602" s="7" t="s">
        <v>13</v>
      </c>
      <c r="D602" s="7" t="str">
        <f>"李美妹"</f>
        <v>李美妹</v>
      </c>
      <c r="E602" s="7" t="str">
        <f t="shared" si="28"/>
        <v>女</v>
      </c>
    </row>
    <row r="603" spans="1:5" ht="30" customHeight="1">
      <c r="A603" s="6">
        <v>601</v>
      </c>
      <c r="B603" s="7" t="str">
        <f>"29802021051008432282586"</f>
        <v>29802021051008432282586</v>
      </c>
      <c r="C603" s="7" t="s">
        <v>13</v>
      </c>
      <c r="D603" s="7" t="str">
        <f>"陈淑萍"</f>
        <v>陈淑萍</v>
      </c>
      <c r="E603" s="7" t="str">
        <f t="shared" si="28"/>
        <v>女</v>
      </c>
    </row>
    <row r="604" spans="1:5" ht="30" customHeight="1">
      <c r="A604" s="6">
        <v>602</v>
      </c>
      <c r="B604" s="7" t="str">
        <f>"29802021051008475082618"</f>
        <v>29802021051008475082618</v>
      </c>
      <c r="C604" s="7" t="s">
        <v>13</v>
      </c>
      <c r="D604" s="7" t="str">
        <f>"陈丹慧"</f>
        <v>陈丹慧</v>
      </c>
      <c r="E604" s="7" t="str">
        <f t="shared" si="28"/>
        <v>女</v>
      </c>
    </row>
    <row r="605" spans="1:5" ht="30" customHeight="1">
      <c r="A605" s="6">
        <v>603</v>
      </c>
      <c r="B605" s="7" t="str">
        <f>"29802021051008591182710"</f>
        <v>29802021051008591182710</v>
      </c>
      <c r="C605" s="7" t="s">
        <v>13</v>
      </c>
      <c r="D605" s="7" t="str">
        <f>"张彩瑶"</f>
        <v>张彩瑶</v>
      </c>
      <c r="E605" s="7" t="str">
        <f t="shared" si="28"/>
        <v>女</v>
      </c>
    </row>
    <row r="606" spans="1:5" ht="30" customHeight="1">
      <c r="A606" s="6">
        <v>604</v>
      </c>
      <c r="B606" s="7" t="str">
        <f>"29802021051009034782779"</f>
        <v>29802021051009034782779</v>
      </c>
      <c r="C606" s="7" t="s">
        <v>13</v>
      </c>
      <c r="D606" s="7" t="str">
        <f>"钟运权"</f>
        <v>钟运权</v>
      </c>
      <c r="E606" s="7" t="str">
        <f>"男"</f>
        <v>男</v>
      </c>
    </row>
    <row r="607" spans="1:5" ht="30" customHeight="1">
      <c r="A607" s="6">
        <v>605</v>
      </c>
      <c r="B607" s="7" t="str">
        <f>"29802021051009072582820"</f>
        <v>29802021051009072582820</v>
      </c>
      <c r="C607" s="7" t="s">
        <v>13</v>
      </c>
      <c r="D607" s="7" t="str">
        <f>"郭小贝"</f>
        <v>郭小贝</v>
      </c>
      <c r="E607" s="7" t="str">
        <f aca="true" t="shared" si="29" ref="E607:E615">"女"</f>
        <v>女</v>
      </c>
    </row>
    <row r="608" spans="1:5" ht="30" customHeight="1">
      <c r="A608" s="6">
        <v>606</v>
      </c>
      <c r="B608" s="7" t="str">
        <f>"29802021051009101282849"</f>
        <v>29802021051009101282849</v>
      </c>
      <c r="C608" s="7" t="s">
        <v>13</v>
      </c>
      <c r="D608" s="7" t="str">
        <f>"杨敏"</f>
        <v>杨敏</v>
      </c>
      <c r="E608" s="7" t="str">
        <f t="shared" si="29"/>
        <v>女</v>
      </c>
    </row>
    <row r="609" spans="1:5" ht="30" customHeight="1">
      <c r="A609" s="6">
        <v>607</v>
      </c>
      <c r="B609" s="7" t="str">
        <f>"29802021051009105382867"</f>
        <v>29802021051009105382867</v>
      </c>
      <c r="C609" s="7" t="s">
        <v>13</v>
      </c>
      <c r="D609" s="7" t="str">
        <f>"黎莫烂"</f>
        <v>黎莫烂</v>
      </c>
      <c r="E609" s="7" t="str">
        <f t="shared" si="29"/>
        <v>女</v>
      </c>
    </row>
    <row r="610" spans="1:5" ht="30" customHeight="1">
      <c r="A610" s="6">
        <v>608</v>
      </c>
      <c r="B610" s="7" t="str">
        <f>"29802021051009165982935"</f>
        <v>29802021051009165982935</v>
      </c>
      <c r="C610" s="7" t="s">
        <v>13</v>
      </c>
      <c r="D610" s="7" t="str">
        <f>"王玮玮"</f>
        <v>王玮玮</v>
      </c>
      <c r="E610" s="7" t="str">
        <f t="shared" si="29"/>
        <v>女</v>
      </c>
    </row>
    <row r="611" spans="1:5" ht="30" customHeight="1">
      <c r="A611" s="6">
        <v>609</v>
      </c>
      <c r="B611" s="7" t="str">
        <f>"29802021051009214283004"</f>
        <v>29802021051009214283004</v>
      </c>
      <c r="C611" s="7" t="s">
        <v>13</v>
      </c>
      <c r="D611" s="7" t="str">
        <f>"黄小妹"</f>
        <v>黄小妹</v>
      </c>
      <c r="E611" s="7" t="str">
        <f t="shared" si="29"/>
        <v>女</v>
      </c>
    </row>
    <row r="612" spans="1:5" ht="30" customHeight="1">
      <c r="A612" s="6">
        <v>610</v>
      </c>
      <c r="B612" s="7" t="str">
        <f>"29802021051009252483043"</f>
        <v>29802021051009252483043</v>
      </c>
      <c r="C612" s="7" t="s">
        <v>13</v>
      </c>
      <c r="D612" s="7" t="str">
        <f>"廖雯丽"</f>
        <v>廖雯丽</v>
      </c>
      <c r="E612" s="7" t="str">
        <f t="shared" si="29"/>
        <v>女</v>
      </c>
    </row>
    <row r="613" spans="1:5" ht="30" customHeight="1">
      <c r="A613" s="6">
        <v>611</v>
      </c>
      <c r="B613" s="7" t="str">
        <f>"29802021051009282983079"</f>
        <v>29802021051009282983079</v>
      </c>
      <c r="C613" s="7" t="s">
        <v>13</v>
      </c>
      <c r="D613" s="7" t="str">
        <f>"姜春苗"</f>
        <v>姜春苗</v>
      </c>
      <c r="E613" s="7" t="str">
        <f t="shared" si="29"/>
        <v>女</v>
      </c>
    </row>
    <row r="614" spans="1:5" ht="30" customHeight="1">
      <c r="A614" s="6">
        <v>612</v>
      </c>
      <c r="B614" s="7" t="str">
        <f>"29802021051009314683113"</f>
        <v>29802021051009314683113</v>
      </c>
      <c r="C614" s="7" t="s">
        <v>13</v>
      </c>
      <c r="D614" s="7" t="str">
        <f>"蔡兴婷"</f>
        <v>蔡兴婷</v>
      </c>
      <c r="E614" s="7" t="str">
        <f t="shared" si="29"/>
        <v>女</v>
      </c>
    </row>
    <row r="615" spans="1:5" ht="30" customHeight="1">
      <c r="A615" s="6">
        <v>613</v>
      </c>
      <c r="B615" s="7" t="str">
        <f>"29802021051009334183134"</f>
        <v>29802021051009334183134</v>
      </c>
      <c r="C615" s="7" t="s">
        <v>13</v>
      </c>
      <c r="D615" s="7" t="str">
        <f>"郑一梅"</f>
        <v>郑一梅</v>
      </c>
      <c r="E615" s="7" t="str">
        <f t="shared" si="29"/>
        <v>女</v>
      </c>
    </row>
    <row r="616" spans="1:5" ht="30" customHeight="1">
      <c r="A616" s="6">
        <v>614</v>
      </c>
      <c r="B616" s="7" t="str">
        <f>"29802021051009362883159"</f>
        <v>29802021051009362883159</v>
      </c>
      <c r="C616" s="7" t="s">
        <v>13</v>
      </c>
      <c r="D616" s="7" t="str">
        <f>"倪俊伦"</f>
        <v>倪俊伦</v>
      </c>
      <c r="E616" s="7" t="str">
        <f>"男"</f>
        <v>男</v>
      </c>
    </row>
    <row r="617" spans="1:5" ht="30" customHeight="1">
      <c r="A617" s="6">
        <v>615</v>
      </c>
      <c r="B617" s="7" t="str">
        <f>"29802021051009371483169"</f>
        <v>29802021051009371483169</v>
      </c>
      <c r="C617" s="7" t="s">
        <v>13</v>
      </c>
      <c r="D617" s="7" t="str">
        <f>"文海艳"</f>
        <v>文海艳</v>
      </c>
      <c r="E617" s="7" t="str">
        <f aca="true" t="shared" si="30" ref="E617:E623">"女"</f>
        <v>女</v>
      </c>
    </row>
    <row r="618" spans="1:5" ht="30" customHeight="1">
      <c r="A618" s="6">
        <v>616</v>
      </c>
      <c r="B618" s="7" t="str">
        <f>"29802021051009481483276"</f>
        <v>29802021051009481483276</v>
      </c>
      <c r="C618" s="7" t="s">
        <v>13</v>
      </c>
      <c r="D618" s="7" t="str">
        <f>"陈玲"</f>
        <v>陈玲</v>
      </c>
      <c r="E618" s="7" t="str">
        <f t="shared" si="30"/>
        <v>女</v>
      </c>
    </row>
    <row r="619" spans="1:5" ht="30" customHeight="1">
      <c r="A619" s="6">
        <v>617</v>
      </c>
      <c r="B619" s="7" t="str">
        <f>"29802021051009490283284"</f>
        <v>29802021051009490283284</v>
      </c>
      <c r="C619" s="7" t="s">
        <v>13</v>
      </c>
      <c r="D619" s="7" t="str">
        <f>"蔡玉玲"</f>
        <v>蔡玉玲</v>
      </c>
      <c r="E619" s="7" t="str">
        <f t="shared" si="30"/>
        <v>女</v>
      </c>
    </row>
    <row r="620" spans="1:5" ht="30" customHeight="1">
      <c r="A620" s="6">
        <v>618</v>
      </c>
      <c r="B620" s="7" t="str">
        <f>"29802021051009524683324"</f>
        <v>29802021051009524683324</v>
      </c>
      <c r="C620" s="7" t="s">
        <v>13</v>
      </c>
      <c r="D620" s="7" t="str">
        <f>"杜经苹"</f>
        <v>杜经苹</v>
      </c>
      <c r="E620" s="7" t="str">
        <f t="shared" si="30"/>
        <v>女</v>
      </c>
    </row>
    <row r="621" spans="1:5" ht="30" customHeight="1">
      <c r="A621" s="6">
        <v>619</v>
      </c>
      <c r="B621" s="7" t="str">
        <f>"29802021051009563483356"</f>
        <v>29802021051009563483356</v>
      </c>
      <c r="C621" s="7" t="s">
        <v>13</v>
      </c>
      <c r="D621" s="7" t="str">
        <f>"梁俏俏"</f>
        <v>梁俏俏</v>
      </c>
      <c r="E621" s="7" t="str">
        <f t="shared" si="30"/>
        <v>女</v>
      </c>
    </row>
    <row r="622" spans="1:5" ht="30" customHeight="1">
      <c r="A622" s="6">
        <v>620</v>
      </c>
      <c r="B622" s="7" t="str">
        <f>"29802021051009590583382"</f>
        <v>29802021051009590583382</v>
      </c>
      <c r="C622" s="7" t="s">
        <v>13</v>
      </c>
      <c r="D622" s="7" t="str">
        <f>"王秋诗"</f>
        <v>王秋诗</v>
      </c>
      <c r="E622" s="7" t="str">
        <f t="shared" si="30"/>
        <v>女</v>
      </c>
    </row>
    <row r="623" spans="1:5" ht="30" customHeight="1">
      <c r="A623" s="6">
        <v>621</v>
      </c>
      <c r="B623" s="7" t="str">
        <f>"29802021051010171883628"</f>
        <v>29802021051010171883628</v>
      </c>
      <c r="C623" s="7" t="s">
        <v>13</v>
      </c>
      <c r="D623" s="7" t="str">
        <f>"张守钰"</f>
        <v>张守钰</v>
      </c>
      <c r="E623" s="7" t="str">
        <f t="shared" si="30"/>
        <v>女</v>
      </c>
    </row>
    <row r="624" spans="1:5" ht="30" customHeight="1">
      <c r="A624" s="6">
        <v>622</v>
      </c>
      <c r="B624" s="7" t="str">
        <f>"29802021051010192483655"</f>
        <v>29802021051010192483655</v>
      </c>
      <c r="C624" s="7" t="s">
        <v>13</v>
      </c>
      <c r="D624" s="7" t="str">
        <f>"李茂运"</f>
        <v>李茂运</v>
      </c>
      <c r="E624" s="7" t="str">
        <f>"男"</f>
        <v>男</v>
      </c>
    </row>
    <row r="625" spans="1:5" ht="30" customHeight="1">
      <c r="A625" s="6">
        <v>623</v>
      </c>
      <c r="B625" s="7" t="str">
        <f>"29802021051010241283732"</f>
        <v>29802021051010241283732</v>
      </c>
      <c r="C625" s="7" t="s">
        <v>13</v>
      </c>
      <c r="D625" s="7" t="str">
        <f>"黎春苗"</f>
        <v>黎春苗</v>
      </c>
      <c r="E625" s="7" t="str">
        <f aca="true" t="shared" si="31" ref="E625:E639">"女"</f>
        <v>女</v>
      </c>
    </row>
    <row r="626" spans="1:5" ht="30" customHeight="1">
      <c r="A626" s="6">
        <v>624</v>
      </c>
      <c r="B626" s="7" t="str">
        <f>"29802021051010251983744"</f>
        <v>29802021051010251983744</v>
      </c>
      <c r="C626" s="7" t="s">
        <v>13</v>
      </c>
      <c r="D626" s="7" t="str">
        <f>"赵秀香"</f>
        <v>赵秀香</v>
      </c>
      <c r="E626" s="7" t="str">
        <f t="shared" si="31"/>
        <v>女</v>
      </c>
    </row>
    <row r="627" spans="1:5" ht="30" customHeight="1">
      <c r="A627" s="6">
        <v>625</v>
      </c>
      <c r="B627" s="7" t="str">
        <f>"29802021051010260483755"</f>
        <v>29802021051010260483755</v>
      </c>
      <c r="C627" s="7" t="s">
        <v>13</v>
      </c>
      <c r="D627" s="7" t="str">
        <f>"许玲"</f>
        <v>许玲</v>
      </c>
      <c r="E627" s="7" t="str">
        <f t="shared" si="31"/>
        <v>女</v>
      </c>
    </row>
    <row r="628" spans="1:5" ht="30" customHeight="1">
      <c r="A628" s="6">
        <v>626</v>
      </c>
      <c r="B628" s="7" t="str">
        <f>"29802021051010295283790"</f>
        <v>29802021051010295283790</v>
      </c>
      <c r="C628" s="7" t="s">
        <v>13</v>
      </c>
      <c r="D628" s="7" t="str">
        <f>"杨桂佳"</f>
        <v>杨桂佳</v>
      </c>
      <c r="E628" s="7" t="str">
        <f t="shared" si="31"/>
        <v>女</v>
      </c>
    </row>
    <row r="629" spans="1:5" ht="30" customHeight="1">
      <c r="A629" s="6">
        <v>627</v>
      </c>
      <c r="B629" s="7" t="str">
        <f>"29802021051010295683792"</f>
        <v>29802021051010295683792</v>
      </c>
      <c r="C629" s="7" t="s">
        <v>13</v>
      </c>
      <c r="D629" s="7" t="str">
        <f>"符晓虹"</f>
        <v>符晓虹</v>
      </c>
      <c r="E629" s="7" t="str">
        <f t="shared" si="31"/>
        <v>女</v>
      </c>
    </row>
    <row r="630" spans="1:5" ht="30" customHeight="1">
      <c r="A630" s="6">
        <v>628</v>
      </c>
      <c r="B630" s="7" t="str">
        <f>"29802021051010341583844"</f>
        <v>29802021051010341583844</v>
      </c>
      <c r="C630" s="7" t="s">
        <v>13</v>
      </c>
      <c r="D630" s="7" t="str">
        <f>"陈蕾伊"</f>
        <v>陈蕾伊</v>
      </c>
      <c r="E630" s="7" t="str">
        <f t="shared" si="31"/>
        <v>女</v>
      </c>
    </row>
    <row r="631" spans="1:5" ht="30" customHeight="1">
      <c r="A631" s="6">
        <v>629</v>
      </c>
      <c r="B631" s="7" t="str">
        <f>"29802021051010504084034"</f>
        <v>29802021051010504084034</v>
      </c>
      <c r="C631" s="7" t="s">
        <v>13</v>
      </c>
      <c r="D631" s="7" t="str">
        <f>"王海林"</f>
        <v>王海林</v>
      </c>
      <c r="E631" s="7" t="str">
        <f t="shared" si="31"/>
        <v>女</v>
      </c>
    </row>
    <row r="632" spans="1:5" ht="30" customHeight="1">
      <c r="A632" s="6">
        <v>630</v>
      </c>
      <c r="B632" s="7" t="str">
        <f>"29802021051010524784061"</f>
        <v>29802021051010524784061</v>
      </c>
      <c r="C632" s="7" t="s">
        <v>13</v>
      </c>
      <c r="D632" s="7" t="str">
        <f>"吴欢"</f>
        <v>吴欢</v>
      </c>
      <c r="E632" s="7" t="str">
        <f t="shared" si="31"/>
        <v>女</v>
      </c>
    </row>
    <row r="633" spans="1:5" ht="30" customHeight="1">
      <c r="A633" s="6">
        <v>631</v>
      </c>
      <c r="B633" s="7" t="str">
        <f>"29802021051010560084082"</f>
        <v>29802021051010560084082</v>
      </c>
      <c r="C633" s="7" t="s">
        <v>13</v>
      </c>
      <c r="D633" s="7" t="str">
        <f>"刘晓莉"</f>
        <v>刘晓莉</v>
      </c>
      <c r="E633" s="7" t="str">
        <f t="shared" si="31"/>
        <v>女</v>
      </c>
    </row>
    <row r="634" spans="1:5" ht="30" customHeight="1">
      <c r="A634" s="6">
        <v>632</v>
      </c>
      <c r="B634" s="7" t="str">
        <f>"29802021051011001584125"</f>
        <v>29802021051011001584125</v>
      </c>
      <c r="C634" s="7" t="s">
        <v>13</v>
      </c>
      <c r="D634" s="7" t="str">
        <f>"林秀思"</f>
        <v>林秀思</v>
      </c>
      <c r="E634" s="7" t="str">
        <f t="shared" si="31"/>
        <v>女</v>
      </c>
    </row>
    <row r="635" spans="1:5" ht="30" customHeight="1">
      <c r="A635" s="6">
        <v>633</v>
      </c>
      <c r="B635" s="7" t="str">
        <f>"29802021051011074184190"</f>
        <v>29802021051011074184190</v>
      </c>
      <c r="C635" s="7" t="s">
        <v>13</v>
      </c>
      <c r="D635" s="7" t="str">
        <f>"韩懿"</f>
        <v>韩懿</v>
      </c>
      <c r="E635" s="7" t="str">
        <f t="shared" si="31"/>
        <v>女</v>
      </c>
    </row>
    <row r="636" spans="1:5" ht="30" customHeight="1">
      <c r="A636" s="6">
        <v>634</v>
      </c>
      <c r="B636" s="7" t="str">
        <f>"29802021051011132984251"</f>
        <v>29802021051011132984251</v>
      </c>
      <c r="C636" s="7" t="s">
        <v>13</v>
      </c>
      <c r="D636" s="7" t="str">
        <f>"杨小蕾"</f>
        <v>杨小蕾</v>
      </c>
      <c r="E636" s="7" t="str">
        <f t="shared" si="31"/>
        <v>女</v>
      </c>
    </row>
    <row r="637" spans="1:5" ht="30" customHeight="1">
      <c r="A637" s="6">
        <v>635</v>
      </c>
      <c r="B637" s="7" t="str">
        <f>"29802021051011133584252"</f>
        <v>29802021051011133584252</v>
      </c>
      <c r="C637" s="7" t="s">
        <v>13</v>
      </c>
      <c r="D637" s="7" t="str">
        <f>"杨海萍"</f>
        <v>杨海萍</v>
      </c>
      <c r="E637" s="7" t="str">
        <f t="shared" si="31"/>
        <v>女</v>
      </c>
    </row>
    <row r="638" spans="1:5" ht="30" customHeight="1">
      <c r="A638" s="6">
        <v>636</v>
      </c>
      <c r="B638" s="7" t="str">
        <f>"29802021051011185584299"</f>
        <v>29802021051011185584299</v>
      </c>
      <c r="C638" s="7" t="s">
        <v>13</v>
      </c>
      <c r="D638" s="7" t="str">
        <f>"郑忠艳"</f>
        <v>郑忠艳</v>
      </c>
      <c r="E638" s="7" t="str">
        <f t="shared" si="31"/>
        <v>女</v>
      </c>
    </row>
    <row r="639" spans="1:5" ht="30" customHeight="1">
      <c r="A639" s="6">
        <v>637</v>
      </c>
      <c r="B639" s="7" t="str">
        <f>"29802021051011224384325"</f>
        <v>29802021051011224384325</v>
      </c>
      <c r="C639" s="7" t="s">
        <v>13</v>
      </c>
      <c r="D639" s="7" t="str">
        <f>"金鸽"</f>
        <v>金鸽</v>
      </c>
      <c r="E639" s="7" t="str">
        <f t="shared" si="31"/>
        <v>女</v>
      </c>
    </row>
    <row r="640" spans="1:5" ht="30" customHeight="1">
      <c r="A640" s="6">
        <v>638</v>
      </c>
      <c r="B640" s="7" t="str">
        <f>"29802021051011322284401"</f>
        <v>29802021051011322284401</v>
      </c>
      <c r="C640" s="7" t="s">
        <v>13</v>
      </c>
      <c r="D640" s="7" t="str">
        <f>"李泽栋"</f>
        <v>李泽栋</v>
      </c>
      <c r="E640" s="7" t="str">
        <f>"男"</f>
        <v>男</v>
      </c>
    </row>
    <row r="641" spans="1:5" ht="30" customHeight="1">
      <c r="A641" s="6">
        <v>639</v>
      </c>
      <c r="B641" s="7" t="str">
        <f>"29802021051011375984446"</f>
        <v>29802021051011375984446</v>
      </c>
      <c r="C641" s="7" t="s">
        <v>13</v>
      </c>
      <c r="D641" s="7" t="str">
        <f>"陈冰"</f>
        <v>陈冰</v>
      </c>
      <c r="E641" s="7" t="str">
        <f aca="true" t="shared" si="32" ref="E641:E647">"女"</f>
        <v>女</v>
      </c>
    </row>
    <row r="642" spans="1:5" ht="30" customHeight="1">
      <c r="A642" s="6">
        <v>640</v>
      </c>
      <c r="B642" s="7" t="str">
        <f>"29802021051011380784450"</f>
        <v>29802021051011380784450</v>
      </c>
      <c r="C642" s="7" t="s">
        <v>13</v>
      </c>
      <c r="D642" s="7" t="str">
        <f>"朱少慧"</f>
        <v>朱少慧</v>
      </c>
      <c r="E642" s="7" t="str">
        <f t="shared" si="32"/>
        <v>女</v>
      </c>
    </row>
    <row r="643" spans="1:5" ht="30" customHeight="1">
      <c r="A643" s="6">
        <v>641</v>
      </c>
      <c r="B643" s="7" t="str">
        <f>"29802021051011414284474"</f>
        <v>29802021051011414284474</v>
      </c>
      <c r="C643" s="7" t="s">
        <v>13</v>
      </c>
      <c r="D643" s="7" t="str">
        <f>"蔡小妹"</f>
        <v>蔡小妹</v>
      </c>
      <c r="E643" s="7" t="str">
        <f t="shared" si="32"/>
        <v>女</v>
      </c>
    </row>
    <row r="644" spans="1:5" ht="30" customHeight="1">
      <c r="A644" s="6">
        <v>642</v>
      </c>
      <c r="B644" s="7" t="str">
        <f>"29802021051011560884541"</f>
        <v>29802021051011560884541</v>
      </c>
      <c r="C644" s="7" t="s">
        <v>13</v>
      </c>
      <c r="D644" s="7" t="str">
        <f>"吴雄娟"</f>
        <v>吴雄娟</v>
      </c>
      <c r="E644" s="7" t="str">
        <f t="shared" si="32"/>
        <v>女</v>
      </c>
    </row>
    <row r="645" spans="1:5" ht="30" customHeight="1">
      <c r="A645" s="6">
        <v>643</v>
      </c>
      <c r="B645" s="7" t="str">
        <f>"29802021051011591184568"</f>
        <v>29802021051011591184568</v>
      </c>
      <c r="C645" s="7" t="s">
        <v>13</v>
      </c>
      <c r="D645" s="7" t="str">
        <f>"陈双花"</f>
        <v>陈双花</v>
      </c>
      <c r="E645" s="7" t="str">
        <f t="shared" si="32"/>
        <v>女</v>
      </c>
    </row>
    <row r="646" spans="1:5" ht="30" customHeight="1">
      <c r="A646" s="6">
        <v>644</v>
      </c>
      <c r="B646" s="7" t="str">
        <f>"29802021051012040384590"</f>
        <v>29802021051012040384590</v>
      </c>
      <c r="C646" s="7" t="s">
        <v>13</v>
      </c>
      <c r="D646" s="7" t="str">
        <f>"吴华开"</f>
        <v>吴华开</v>
      </c>
      <c r="E646" s="7" t="str">
        <f t="shared" si="32"/>
        <v>女</v>
      </c>
    </row>
    <row r="647" spans="1:5" ht="30" customHeight="1">
      <c r="A647" s="6">
        <v>645</v>
      </c>
      <c r="B647" s="7" t="str">
        <f>"29802021051012194384671"</f>
        <v>29802021051012194384671</v>
      </c>
      <c r="C647" s="7" t="s">
        <v>13</v>
      </c>
      <c r="D647" s="7" t="str">
        <f>"林丽媛"</f>
        <v>林丽媛</v>
      </c>
      <c r="E647" s="7" t="str">
        <f t="shared" si="32"/>
        <v>女</v>
      </c>
    </row>
    <row r="648" spans="1:5" ht="30" customHeight="1">
      <c r="A648" s="6">
        <v>646</v>
      </c>
      <c r="B648" s="7" t="str">
        <f>"29802021051012225684690"</f>
        <v>29802021051012225684690</v>
      </c>
      <c r="C648" s="7" t="s">
        <v>13</v>
      </c>
      <c r="D648" s="7" t="str">
        <f>"刘朝辉"</f>
        <v>刘朝辉</v>
      </c>
      <c r="E648" s="7" t="str">
        <f>"男"</f>
        <v>男</v>
      </c>
    </row>
    <row r="649" spans="1:5" ht="30" customHeight="1">
      <c r="A649" s="6">
        <v>647</v>
      </c>
      <c r="B649" s="7" t="str">
        <f>"29802021051012255984712"</f>
        <v>29802021051012255984712</v>
      </c>
      <c r="C649" s="7" t="s">
        <v>13</v>
      </c>
      <c r="D649" s="7" t="str">
        <f>"黎丽娟"</f>
        <v>黎丽娟</v>
      </c>
      <c r="E649" s="7" t="str">
        <f aca="true" t="shared" si="33" ref="E649:E672">"女"</f>
        <v>女</v>
      </c>
    </row>
    <row r="650" spans="1:5" ht="30" customHeight="1">
      <c r="A650" s="6">
        <v>648</v>
      </c>
      <c r="B650" s="7" t="str">
        <f>"29802021051012380484788"</f>
        <v>29802021051012380484788</v>
      </c>
      <c r="C650" s="7" t="s">
        <v>13</v>
      </c>
      <c r="D650" s="7" t="str">
        <f>"邢梦琪"</f>
        <v>邢梦琪</v>
      </c>
      <c r="E650" s="7" t="str">
        <f t="shared" si="33"/>
        <v>女</v>
      </c>
    </row>
    <row r="651" spans="1:5" ht="30" customHeight="1">
      <c r="A651" s="6">
        <v>649</v>
      </c>
      <c r="B651" s="7" t="str">
        <f>"29802021051012382484790"</f>
        <v>29802021051012382484790</v>
      </c>
      <c r="C651" s="7" t="s">
        <v>13</v>
      </c>
      <c r="D651" s="7" t="str">
        <f>"张小燕"</f>
        <v>张小燕</v>
      </c>
      <c r="E651" s="7" t="str">
        <f t="shared" si="33"/>
        <v>女</v>
      </c>
    </row>
    <row r="652" spans="1:5" ht="30" customHeight="1">
      <c r="A652" s="6">
        <v>650</v>
      </c>
      <c r="B652" s="7" t="str">
        <f>"29802021051012383684791"</f>
        <v>29802021051012383684791</v>
      </c>
      <c r="C652" s="7" t="s">
        <v>13</v>
      </c>
      <c r="D652" s="7" t="str">
        <f>"曾敏芳"</f>
        <v>曾敏芳</v>
      </c>
      <c r="E652" s="7" t="str">
        <f t="shared" si="33"/>
        <v>女</v>
      </c>
    </row>
    <row r="653" spans="1:5" ht="30" customHeight="1">
      <c r="A653" s="6">
        <v>651</v>
      </c>
      <c r="B653" s="7" t="str">
        <f>"29802021051012401584803"</f>
        <v>29802021051012401584803</v>
      </c>
      <c r="C653" s="7" t="s">
        <v>13</v>
      </c>
      <c r="D653" s="7" t="str">
        <f>"孙春花"</f>
        <v>孙春花</v>
      </c>
      <c r="E653" s="7" t="str">
        <f t="shared" si="33"/>
        <v>女</v>
      </c>
    </row>
    <row r="654" spans="1:5" ht="30" customHeight="1">
      <c r="A654" s="6">
        <v>652</v>
      </c>
      <c r="B654" s="7" t="str">
        <f>"29802021051012423484820"</f>
        <v>29802021051012423484820</v>
      </c>
      <c r="C654" s="7" t="s">
        <v>13</v>
      </c>
      <c r="D654" s="7" t="str">
        <f>"骆美妍"</f>
        <v>骆美妍</v>
      </c>
      <c r="E654" s="7" t="str">
        <f t="shared" si="33"/>
        <v>女</v>
      </c>
    </row>
    <row r="655" spans="1:5" ht="30" customHeight="1">
      <c r="A655" s="6">
        <v>653</v>
      </c>
      <c r="B655" s="7" t="str">
        <f>"29802021051012465784847"</f>
        <v>29802021051012465784847</v>
      </c>
      <c r="C655" s="7" t="s">
        <v>13</v>
      </c>
      <c r="D655" s="7" t="str">
        <f>"曾健荣"</f>
        <v>曾健荣</v>
      </c>
      <c r="E655" s="7" t="str">
        <f t="shared" si="33"/>
        <v>女</v>
      </c>
    </row>
    <row r="656" spans="1:5" ht="30" customHeight="1">
      <c r="A656" s="6">
        <v>654</v>
      </c>
      <c r="B656" s="7" t="str">
        <f>"29802021051012525284888"</f>
        <v>29802021051012525284888</v>
      </c>
      <c r="C656" s="7" t="s">
        <v>13</v>
      </c>
      <c r="D656" s="7" t="str">
        <f>"禤达云"</f>
        <v>禤达云</v>
      </c>
      <c r="E656" s="7" t="str">
        <f t="shared" si="33"/>
        <v>女</v>
      </c>
    </row>
    <row r="657" spans="1:5" ht="30" customHeight="1">
      <c r="A657" s="6">
        <v>655</v>
      </c>
      <c r="B657" s="7" t="str">
        <f>"29802021051013161785001"</f>
        <v>29802021051013161785001</v>
      </c>
      <c r="C657" s="7" t="s">
        <v>13</v>
      </c>
      <c r="D657" s="7" t="str">
        <f>"温雯雯"</f>
        <v>温雯雯</v>
      </c>
      <c r="E657" s="7" t="str">
        <f t="shared" si="33"/>
        <v>女</v>
      </c>
    </row>
    <row r="658" spans="1:5" ht="30" customHeight="1">
      <c r="A658" s="6">
        <v>656</v>
      </c>
      <c r="B658" s="7" t="str">
        <f>"29802021051013265285047"</f>
        <v>29802021051013265285047</v>
      </c>
      <c r="C658" s="7" t="s">
        <v>13</v>
      </c>
      <c r="D658" s="7" t="str">
        <f>"羊晓颖"</f>
        <v>羊晓颖</v>
      </c>
      <c r="E658" s="7" t="str">
        <f t="shared" si="33"/>
        <v>女</v>
      </c>
    </row>
    <row r="659" spans="1:5" ht="30" customHeight="1">
      <c r="A659" s="6">
        <v>657</v>
      </c>
      <c r="B659" s="7" t="str">
        <f>"29802021051014254585289"</f>
        <v>29802021051014254585289</v>
      </c>
      <c r="C659" s="7" t="s">
        <v>13</v>
      </c>
      <c r="D659" s="7" t="str">
        <f>"文妹"</f>
        <v>文妹</v>
      </c>
      <c r="E659" s="7" t="str">
        <f t="shared" si="33"/>
        <v>女</v>
      </c>
    </row>
    <row r="660" spans="1:5" ht="30" customHeight="1">
      <c r="A660" s="6">
        <v>658</v>
      </c>
      <c r="B660" s="7" t="str">
        <f>"29802021051014490985421"</f>
        <v>29802021051014490985421</v>
      </c>
      <c r="C660" s="7" t="s">
        <v>13</v>
      </c>
      <c r="D660" s="7" t="str">
        <f>"王翠萍"</f>
        <v>王翠萍</v>
      </c>
      <c r="E660" s="7" t="str">
        <f t="shared" si="33"/>
        <v>女</v>
      </c>
    </row>
    <row r="661" spans="1:5" ht="30" customHeight="1">
      <c r="A661" s="6">
        <v>659</v>
      </c>
      <c r="B661" s="7" t="str">
        <f>"29802021051014502985426"</f>
        <v>29802021051014502985426</v>
      </c>
      <c r="C661" s="7" t="s">
        <v>13</v>
      </c>
      <c r="D661" s="7" t="str">
        <f>"黄春"</f>
        <v>黄春</v>
      </c>
      <c r="E661" s="7" t="str">
        <f t="shared" si="33"/>
        <v>女</v>
      </c>
    </row>
    <row r="662" spans="1:5" ht="30" customHeight="1">
      <c r="A662" s="6">
        <v>660</v>
      </c>
      <c r="B662" s="7" t="str">
        <f>"29802021051014511585434"</f>
        <v>29802021051014511585434</v>
      </c>
      <c r="C662" s="7" t="s">
        <v>13</v>
      </c>
      <c r="D662" s="7" t="str">
        <f>"陈玲妹"</f>
        <v>陈玲妹</v>
      </c>
      <c r="E662" s="7" t="str">
        <f t="shared" si="33"/>
        <v>女</v>
      </c>
    </row>
    <row r="663" spans="1:5" ht="30" customHeight="1">
      <c r="A663" s="6">
        <v>661</v>
      </c>
      <c r="B663" s="7" t="str">
        <f>"29802021051014523285438"</f>
        <v>29802021051014523285438</v>
      </c>
      <c r="C663" s="7" t="s">
        <v>13</v>
      </c>
      <c r="D663" s="7" t="str">
        <f>"梁海萍"</f>
        <v>梁海萍</v>
      </c>
      <c r="E663" s="7" t="str">
        <f t="shared" si="33"/>
        <v>女</v>
      </c>
    </row>
    <row r="664" spans="1:5" ht="30" customHeight="1">
      <c r="A664" s="6">
        <v>662</v>
      </c>
      <c r="B664" s="7" t="str">
        <f>"29802021051014530885440"</f>
        <v>29802021051014530885440</v>
      </c>
      <c r="C664" s="7" t="s">
        <v>13</v>
      </c>
      <c r="D664" s="7" t="str">
        <f>"陈君君"</f>
        <v>陈君君</v>
      </c>
      <c r="E664" s="7" t="str">
        <f t="shared" si="33"/>
        <v>女</v>
      </c>
    </row>
    <row r="665" spans="1:5" ht="30" customHeight="1">
      <c r="A665" s="6">
        <v>663</v>
      </c>
      <c r="B665" s="7" t="str">
        <f>"29802021051014552585459"</f>
        <v>29802021051014552585459</v>
      </c>
      <c r="C665" s="7" t="s">
        <v>13</v>
      </c>
      <c r="D665" s="7" t="str">
        <f>"苏小菊"</f>
        <v>苏小菊</v>
      </c>
      <c r="E665" s="7" t="str">
        <f t="shared" si="33"/>
        <v>女</v>
      </c>
    </row>
    <row r="666" spans="1:5" ht="30" customHeight="1">
      <c r="A666" s="6">
        <v>664</v>
      </c>
      <c r="B666" s="7" t="str">
        <f>"29802021051014585085486"</f>
        <v>29802021051014585085486</v>
      </c>
      <c r="C666" s="7" t="s">
        <v>13</v>
      </c>
      <c r="D666" s="7" t="str">
        <f>"李秀云"</f>
        <v>李秀云</v>
      </c>
      <c r="E666" s="7" t="str">
        <f t="shared" si="33"/>
        <v>女</v>
      </c>
    </row>
    <row r="667" spans="1:5" ht="30" customHeight="1">
      <c r="A667" s="6">
        <v>665</v>
      </c>
      <c r="B667" s="7" t="str">
        <f>"29802021051014592785493"</f>
        <v>29802021051014592785493</v>
      </c>
      <c r="C667" s="7" t="s">
        <v>13</v>
      </c>
      <c r="D667" s="7" t="str">
        <f>"李莎莎"</f>
        <v>李莎莎</v>
      </c>
      <c r="E667" s="7" t="str">
        <f t="shared" si="33"/>
        <v>女</v>
      </c>
    </row>
    <row r="668" spans="1:5" ht="30" customHeight="1">
      <c r="A668" s="6">
        <v>666</v>
      </c>
      <c r="B668" s="7" t="str">
        <f>"29802021051015052285539"</f>
        <v>29802021051015052285539</v>
      </c>
      <c r="C668" s="7" t="s">
        <v>13</v>
      </c>
      <c r="D668" s="7" t="str">
        <f>"吕慧"</f>
        <v>吕慧</v>
      </c>
      <c r="E668" s="7" t="str">
        <f t="shared" si="33"/>
        <v>女</v>
      </c>
    </row>
    <row r="669" spans="1:5" ht="30" customHeight="1">
      <c r="A669" s="6">
        <v>667</v>
      </c>
      <c r="B669" s="7" t="str">
        <f>"29802021051015114885574"</f>
        <v>29802021051015114885574</v>
      </c>
      <c r="C669" s="7" t="s">
        <v>13</v>
      </c>
      <c r="D669" s="7" t="str">
        <f>"周琳"</f>
        <v>周琳</v>
      </c>
      <c r="E669" s="7" t="str">
        <f t="shared" si="33"/>
        <v>女</v>
      </c>
    </row>
    <row r="670" spans="1:5" ht="30" customHeight="1">
      <c r="A670" s="6">
        <v>668</v>
      </c>
      <c r="B670" s="7" t="str">
        <f>"29802021051015153885597"</f>
        <v>29802021051015153885597</v>
      </c>
      <c r="C670" s="7" t="s">
        <v>13</v>
      </c>
      <c r="D670" s="7" t="str">
        <f>"陈清柳"</f>
        <v>陈清柳</v>
      </c>
      <c r="E670" s="7" t="str">
        <f t="shared" si="33"/>
        <v>女</v>
      </c>
    </row>
    <row r="671" spans="1:5" ht="30" customHeight="1">
      <c r="A671" s="6">
        <v>669</v>
      </c>
      <c r="B671" s="7" t="str">
        <f>"29802021051015185785624"</f>
        <v>29802021051015185785624</v>
      </c>
      <c r="C671" s="7" t="s">
        <v>13</v>
      </c>
      <c r="D671" s="7" t="str">
        <f>"许瑞芳"</f>
        <v>许瑞芳</v>
      </c>
      <c r="E671" s="7" t="str">
        <f t="shared" si="33"/>
        <v>女</v>
      </c>
    </row>
    <row r="672" spans="1:5" ht="30" customHeight="1">
      <c r="A672" s="6">
        <v>670</v>
      </c>
      <c r="B672" s="7" t="str">
        <f>"29802021051015354285754"</f>
        <v>29802021051015354285754</v>
      </c>
      <c r="C672" s="7" t="s">
        <v>13</v>
      </c>
      <c r="D672" s="7" t="str">
        <f>"郭文珍"</f>
        <v>郭文珍</v>
      </c>
      <c r="E672" s="7" t="str">
        <f t="shared" si="33"/>
        <v>女</v>
      </c>
    </row>
    <row r="673" spans="1:5" ht="30" customHeight="1">
      <c r="A673" s="6">
        <v>671</v>
      </c>
      <c r="B673" s="7" t="str">
        <f>"29802021051015425685804"</f>
        <v>29802021051015425685804</v>
      </c>
      <c r="C673" s="7" t="s">
        <v>13</v>
      </c>
      <c r="D673" s="7" t="str">
        <f>"罗明龙"</f>
        <v>罗明龙</v>
      </c>
      <c r="E673" s="7" t="str">
        <f>"男"</f>
        <v>男</v>
      </c>
    </row>
    <row r="674" spans="1:5" ht="30" customHeight="1">
      <c r="A674" s="6">
        <v>672</v>
      </c>
      <c r="B674" s="7" t="str">
        <f>"29802021051015435185810"</f>
        <v>29802021051015435185810</v>
      </c>
      <c r="C674" s="7" t="s">
        <v>13</v>
      </c>
      <c r="D674" s="7" t="str">
        <f>"陈瑛钰"</f>
        <v>陈瑛钰</v>
      </c>
      <c r="E674" s="7" t="str">
        <f aca="true" t="shared" si="34" ref="E674:E696">"女"</f>
        <v>女</v>
      </c>
    </row>
    <row r="675" spans="1:5" ht="30" customHeight="1">
      <c r="A675" s="6">
        <v>673</v>
      </c>
      <c r="B675" s="7" t="str">
        <f>"29802021051015443985817"</f>
        <v>29802021051015443985817</v>
      </c>
      <c r="C675" s="7" t="s">
        <v>13</v>
      </c>
      <c r="D675" s="7" t="str">
        <f>"赖彦羽"</f>
        <v>赖彦羽</v>
      </c>
      <c r="E675" s="7" t="str">
        <f t="shared" si="34"/>
        <v>女</v>
      </c>
    </row>
    <row r="676" spans="1:5" ht="30" customHeight="1">
      <c r="A676" s="6">
        <v>674</v>
      </c>
      <c r="B676" s="7" t="str">
        <f>"29802021051015534885886"</f>
        <v>29802021051015534885886</v>
      </c>
      <c r="C676" s="7" t="s">
        <v>13</v>
      </c>
      <c r="D676" s="7" t="str">
        <f>"钟海婷"</f>
        <v>钟海婷</v>
      </c>
      <c r="E676" s="7" t="str">
        <f t="shared" si="34"/>
        <v>女</v>
      </c>
    </row>
    <row r="677" spans="1:5" ht="30" customHeight="1">
      <c r="A677" s="6">
        <v>675</v>
      </c>
      <c r="B677" s="7" t="str">
        <f>"29802021051015585185917"</f>
        <v>29802021051015585185917</v>
      </c>
      <c r="C677" s="7" t="s">
        <v>13</v>
      </c>
      <c r="D677" s="7" t="str">
        <f>"郑霞"</f>
        <v>郑霞</v>
      </c>
      <c r="E677" s="7" t="str">
        <f t="shared" si="34"/>
        <v>女</v>
      </c>
    </row>
    <row r="678" spans="1:5" ht="30" customHeight="1">
      <c r="A678" s="6">
        <v>676</v>
      </c>
      <c r="B678" s="7" t="str">
        <f>"29802021051016101085988"</f>
        <v>29802021051016101085988</v>
      </c>
      <c r="C678" s="7" t="s">
        <v>13</v>
      </c>
      <c r="D678" s="7" t="str">
        <f>"赵曼"</f>
        <v>赵曼</v>
      </c>
      <c r="E678" s="7" t="str">
        <f t="shared" si="34"/>
        <v>女</v>
      </c>
    </row>
    <row r="679" spans="1:5" ht="30" customHeight="1">
      <c r="A679" s="6">
        <v>677</v>
      </c>
      <c r="B679" s="7" t="str">
        <f>"29802021051016104085995"</f>
        <v>29802021051016104085995</v>
      </c>
      <c r="C679" s="7" t="s">
        <v>13</v>
      </c>
      <c r="D679" s="7" t="str">
        <f>"周亚曼"</f>
        <v>周亚曼</v>
      </c>
      <c r="E679" s="7" t="str">
        <f t="shared" si="34"/>
        <v>女</v>
      </c>
    </row>
    <row r="680" spans="1:5" ht="30" customHeight="1">
      <c r="A680" s="6">
        <v>678</v>
      </c>
      <c r="B680" s="7" t="str">
        <f>"29802021051016114586001"</f>
        <v>29802021051016114586001</v>
      </c>
      <c r="C680" s="7" t="s">
        <v>13</v>
      </c>
      <c r="D680" s="7" t="str">
        <f>"邢增菊"</f>
        <v>邢增菊</v>
      </c>
      <c r="E680" s="7" t="str">
        <f t="shared" si="34"/>
        <v>女</v>
      </c>
    </row>
    <row r="681" spans="1:5" ht="30" customHeight="1">
      <c r="A681" s="6">
        <v>679</v>
      </c>
      <c r="B681" s="7" t="str">
        <f>"29802021051016134486016"</f>
        <v>29802021051016134486016</v>
      </c>
      <c r="C681" s="7" t="s">
        <v>13</v>
      </c>
      <c r="D681" s="7" t="str">
        <f>"李思洁"</f>
        <v>李思洁</v>
      </c>
      <c r="E681" s="7" t="str">
        <f t="shared" si="34"/>
        <v>女</v>
      </c>
    </row>
    <row r="682" spans="1:5" ht="30" customHeight="1">
      <c r="A682" s="6">
        <v>680</v>
      </c>
      <c r="B682" s="7" t="str">
        <f>"29802021051016144486026"</f>
        <v>29802021051016144486026</v>
      </c>
      <c r="C682" s="7" t="s">
        <v>13</v>
      </c>
      <c r="D682" s="7" t="str">
        <f>"杜海芬"</f>
        <v>杜海芬</v>
      </c>
      <c r="E682" s="7" t="str">
        <f t="shared" si="34"/>
        <v>女</v>
      </c>
    </row>
    <row r="683" spans="1:5" ht="30" customHeight="1">
      <c r="A683" s="6">
        <v>681</v>
      </c>
      <c r="B683" s="7" t="str">
        <f>"29802021051016191586054"</f>
        <v>29802021051016191586054</v>
      </c>
      <c r="C683" s="7" t="s">
        <v>13</v>
      </c>
      <c r="D683" s="7" t="str">
        <f>"王怡"</f>
        <v>王怡</v>
      </c>
      <c r="E683" s="7" t="str">
        <f t="shared" si="34"/>
        <v>女</v>
      </c>
    </row>
    <row r="684" spans="1:5" ht="30" customHeight="1">
      <c r="A684" s="6">
        <v>682</v>
      </c>
      <c r="B684" s="7" t="str">
        <f>"29802021051016221886084"</f>
        <v>29802021051016221886084</v>
      </c>
      <c r="C684" s="7" t="s">
        <v>13</v>
      </c>
      <c r="D684" s="7" t="str">
        <f>"吴程燕"</f>
        <v>吴程燕</v>
      </c>
      <c r="E684" s="7" t="str">
        <f t="shared" si="34"/>
        <v>女</v>
      </c>
    </row>
    <row r="685" spans="1:5" ht="30" customHeight="1">
      <c r="A685" s="6">
        <v>683</v>
      </c>
      <c r="B685" s="7" t="str">
        <f>"29802021051016244286101"</f>
        <v>29802021051016244286101</v>
      </c>
      <c r="C685" s="7" t="s">
        <v>13</v>
      </c>
      <c r="D685" s="7" t="str">
        <f>"莫海燕"</f>
        <v>莫海燕</v>
      </c>
      <c r="E685" s="7" t="str">
        <f t="shared" si="34"/>
        <v>女</v>
      </c>
    </row>
    <row r="686" spans="1:5" ht="30" customHeight="1">
      <c r="A686" s="6">
        <v>684</v>
      </c>
      <c r="B686" s="7" t="str">
        <f>"29802021051016265586120"</f>
        <v>29802021051016265586120</v>
      </c>
      <c r="C686" s="7" t="s">
        <v>13</v>
      </c>
      <c r="D686" s="7" t="str">
        <f>"陈小威"</f>
        <v>陈小威</v>
      </c>
      <c r="E686" s="7" t="str">
        <f t="shared" si="34"/>
        <v>女</v>
      </c>
    </row>
    <row r="687" spans="1:5" ht="30" customHeight="1">
      <c r="A687" s="6">
        <v>685</v>
      </c>
      <c r="B687" s="7" t="str">
        <f>"29802021051016283286127"</f>
        <v>29802021051016283286127</v>
      </c>
      <c r="C687" s="7" t="s">
        <v>13</v>
      </c>
      <c r="D687" s="7" t="str">
        <f>"唐聪霞"</f>
        <v>唐聪霞</v>
      </c>
      <c r="E687" s="7" t="str">
        <f t="shared" si="34"/>
        <v>女</v>
      </c>
    </row>
    <row r="688" spans="1:5" ht="30" customHeight="1">
      <c r="A688" s="6">
        <v>686</v>
      </c>
      <c r="B688" s="7" t="str">
        <f>"29802021051016363786188"</f>
        <v>29802021051016363786188</v>
      </c>
      <c r="C688" s="7" t="s">
        <v>13</v>
      </c>
      <c r="D688" s="7" t="str">
        <f>"柴智伟"</f>
        <v>柴智伟</v>
      </c>
      <c r="E688" s="7" t="str">
        <f t="shared" si="34"/>
        <v>女</v>
      </c>
    </row>
    <row r="689" spans="1:5" ht="30" customHeight="1">
      <c r="A689" s="6">
        <v>687</v>
      </c>
      <c r="B689" s="7" t="str">
        <f>"29802021051016381986201"</f>
        <v>29802021051016381986201</v>
      </c>
      <c r="C689" s="7" t="s">
        <v>13</v>
      </c>
      <c r="D689" s="7" t="str">
        <f>"张英彩"</f>
        <v>张英彩</v>
      </c>
      <c r="E689" s="7" t="str">
        <f t="shared" si="34"/>
        <v>女</v>
      </c>
    </row>
    <row r="690" spans="1:5" ht="30" customHeight="1">
      <c r="A690" s="6">
        <v>688</v>
      </c>
      <c r="B690" s="7" t="str">
        <f>"29802021051016400686215"</f>
        <v>29802021051016400686215</v>
      </c>
      <c r="C690" s="7" t="s">
        <v>13</v>
      </c>
      <c r="D690" s="7" t="str">
        <f>"宋雁"</f>
        <v>宋雁</v>
      </c>
      <c r="E690" s="7" t="str">
        <f t="shared" si="34"/>
        <v>女</v>
      </c>
    </row>
    <row r="691" spans="1:5" ht="30" customHeight="1">
      <c r="A691" s="6">
        <v>689</v>
      </c>
      <c r="B691" s="7" t="str">
        <f>"29802021051016403186218"</f>
        <v>29802021051016403186218</v>
      </c>
      <c r="C691" s="7" t="s">
        <v>13</v>
      </c>
      <c r="D691" s="7" t="str">
        <f>"刘珍玲"</f>
        <v>刘珍玲</v>
      </c>
      <c r="E691" s="7" t="str">
        <f t="shared" si="34"/>
        <v>女</v>
      </c>
    </row>
    <row r="692" spans="1:5" ht="30" customHeight="1">
      <c r="A692" s="6">
        <v>690</v>
      </c>
      <c r="B692" s="7" t="str">
        <f>"29802021051016450086260"</f>
        <v>29802021051016450086260</v>
      </c>
      <c r="C692" s="7" t="s">
        <v>13</v>
      </c>
      <c r="D692" s="7" t="str">
        <f>"陈冠"</f>
        <v>陈冠</v>
      </c>
      <c r="E692" s="7" t="str">
        <f t="shared" si="34"/>
        <v>女</v>
      </c>
    </row>
    <row r="693" spans="1:5" ht="30" customHeight="1">
      <c r="A693" s="6">
        <v>691</v>
      </c>
      <c r="B693" s="7" t="str">
        <f>"29802021051016554486334"</f>
        <v>29802021051016554486334</v>
      </c>
      <c r="C693" s="7" t="s">
        <v>13</v>
      </c>
      <c r="D693" s="7" t="str">
        <f>"苏文妮"</f>
        <v>苏文妮</v>
      </c>
      <c r="E693" s="7" t="str">
        <f t="shared" si="34"/>
        <v>女</v>
      </c>
    </row>
    <row r="694" spans="1:5" ht="30" customHeight="1">
      <c r="A694" s="6">
        <v>692</v>
      </c>
      <c r="B694" s="7" t="str">
        <f>"29802021051016571086339"</f>
        <v>29802021051016571086339</v>
      </c>
      <c r="C694" s="7" t="s">
        <v>13</v>
      </c>
      <c r="D694" s="7" t="str">
        <f>"唐娜"</f>
        <v>唐娜</v>
      </c>
      <c r="E694" s="7" t="str">
        <f t="shared" si="34"/>
        <v>女</v>
      </c>
    </row>
    <row r="695" spans="1:5" ht="30" customHeight="1">
      <c r="A695" s="6">
        <v>693</v>
      </c>
      <c r="B695" s="7" t="str">
        <f>"29802021051017043086378"</f>
        <v>29802021051017043086378</v>
      </c>
      <c r="C695" s="7" t="s">
        <v>13</v>
      </c>
      <c r="D695" s="7" t="str">
        <f>"何欣欣"</f>
        <v>何欣欣</v>
      </c>
      <c r="E695" s="7" t="str">
        <f t="shared" si="34"/>
        <v>女</v>
      </c>
    </row>
    <row r="696" spans="1:5" ht="30" customHeight="1">
      <c r="A696" s="6">
        <v>694</v>
      </c>
      <c r="B696" s="7" t="str">
        <f>"29802021051017104986409"</f>
        <v>29802021051017104986409</v>
      </c>
      <c r="C696" s="7" t="s">
        <v>13</v>
      </c>
      <c r="D696" s="7" t="str">
        <f>"符永香"</f>
        <v>符永香</v>
      </c>
      <c r="E696" s="7" t="str">
        <f t="shared" si="34"/>
        <v>女</v>
      </c>
    </row>
    <row r="697" spans="1:5" ht="30" customHeight="1">
      <c r="A697" s="6">
        <v>695</v>
      </c>
      <c r="B697" s="7" t="str">
        <f>"29802021051017122486425"</f>
        <v>29802021051017122486425</v>
      </c>
      <c r="C697" s="7" t="s">
        <v>13</v>
      </c>
      <c r="D697" s="7" t="str">
        <f>"曾翰元"</f>
        <v>曾翰元</v>
      </c>
      <c r="E697" s="7" t="str">
        <f>"男"</f>
        <v>男</v>
      </c>
    </row>
    <row r="698" spans="1:5" ht="30" customHeight="1">
      <c r="A698" s="6">
        <v>696</v>
      </c>
      <c r="B698" s="7" t="str">
        <f>"29802021051017233186487"</f>
        <v>29802021051017233186487</v>
      </c>
      <c r="C698" s="7" t="s">
        <v>13</v>
      </c>
      <c r="D698" s="7" t="str">
        <f>"钟晓莹"</f>
        <v>钟晓莹</v>
      </c>
      <c r="E698" s="7" t="str">
        <f aca="true" t="shared" si="35" ref="E698:E704">"女"</f>
        <v>女</v>
      </c>
    </row>
    <row r="699" spans="1:5" ht="30" customHeight="1">
      <c r="A699" s="6">
        <v>697</v>
      </c>
      <c r="B699" s="7" t="str">
        <f>"29802021051017435086578"</f>
        <v>29802021051017435086578</v>
      </c>
      <c r="C699" s="7" t="s">
        <v>13</v>
      </c>
      <c r="D699" s="7" t="str">
        <f>"张玉柳"</f>
        <v>张玉柳</v>
      </c>
      <c r="E699" s="7" t="str">
        <f t="shared" si="35"/>
        <v>女</v>
      </c>
    </row>
    <row r="700" spans="1:5" ht="30" customHeight="1">
      <c r="A700" s="6">
        <v>698</v>
      </c>
      <c r="B700" s="7" t="str">
        <f>"29802021051018023586671"</f>
        <v>29802021051018023586671</v>
      </c>
      <c r="C700" s="7" t="s">
        <v>13</v>
      </c>
      <c r="D700" s="7" t="str">
        <f>"林培婷"</f>
        <v>林培婷</v>
      </c>
      <c r="E700" s="7" t="str">
        <f t="shared" si="35"/>
        <v>女</v>
      </c>
    </row>
    <row r="701" spans="1:5" ht="30" customHeight="1">
      <c r="A701" s="6">
        <v>699</v>
      </c>
      <c r="B701" s="7" t="str">
        <f>"29802021051018050386679"</f>
        <v>29802021051018050386679</v>
      </c>
      <c r="C701" s="7" t="s">
        <v>13</v>
      </c>
      <c r="D701" s="7" t="str">
        <f>"李宝莲"</f>
        <v>李宝莲</v>
      </c>
      <c r="E701" s="7" t="str">
        <f t="shared" si="35"/>
        <v>女</v>
      </c>
    </row>
    <row r="702" spans="1:5" ht="30" customHeight="1">
      <c r="A702" s="6">
        <v>700</v>
      </c>
      <c r="B702" s="7" t="str">
        <f>"29802021051018110386702"</f>
        <v>29802021051018110386702</v>
      </c>
      <c r="C702" s="7" t="s">
        <v>13</v>
      </c>
      <c r="D702" s="7" t="str">
        <f>"余鼎鼎"</f>
        <v>余鼎鼎</v>
      </c>
      <c r="E702" s="7" t="str">
        <f t="shared" si="35"/>
        <v>女</v>
      </c>
    </row>
    <row r="703" spans="1:5" ht="30" customHeight="1">
      <c r="A703" s="6">
        <v>701</v>
      </c>
      <c r="B703" s="7" t="str">
        <f>"29802021051018130786712"</f>
        <v>29802021051018130786712</v>
      </c>
      <c r="C703" s="7" t="s">
        <v>13</v>
      </c>
      <c r="D703" s="7" t="str">
        <f>"王娜"</f>
        <v>王娜</v>
      </c>
      <c r="E703" s="7" t="str">
        <f t="shared" si="35"/>
        <v>女</v>
      </c>
    </row>
    <row r="704" spans="1:5" ht="30" customHeight="1">
      <c r="A704" s="6">
        <v>702</v>
      </c>
      <c r="B704" s="7" t="str">
        <f>"29802021051018331586811"</f>
        <v>29802021051018331586811</v>
      </c>
      <c r="C704" s="7" t="s">
        <v>13</v>
      </c>
      <c r="D704" s="7" t="str">
        <f>"苏晓燕"</f>
        <v>苏晓燕</v>
      </c>
      <c r="E704" s="7" t="str">
        <f t="shared" si="35"/>
        <v>女</v>
      </c>
    </row>
    <row r="705" spans="1:5" ht="30" customHeight="1">
      <c r="A705" s="6">
        <v>703</v>
      </c>
      <c r="B705" s="7" t="str">
        <f>"29802021051018384186836"</f>
        <v>29802021051018384186836</v>
      </c>
      <c r="C705" s="7" t="s">
        <v>13</v>
      </c>
      <c r="D705" s="7" t="str">
        <f>"汤昌弟"</f>
        <v>汤昌弟</v>
      </c>
      <c r="E705" s="7" t="str">
        <f>"男"</f>
        <v>男</v>
      </c>
    </row>
    <row r="706" spans="1:5" ht="30" customHeight="1">
      <c r="A706" s="6">
        <v>704</v>
      </c>
      <c r="B706" s="7" t="str">
        <f>"29802021051018420386845"</f>
        <v>29802021051018420386845</v>
      </c>
      <c r="C706" s="7" t="s">
        <v>13</v>
      </c>
      <c r="D706" s="7" t="str">
        <f>"王小夏"</f>
        <v>王小夏</v>
      </c>
      <c r="E706" s="7" t="str">
        <f aca="true" t="shared" si="36" ref="E706:E722">"女"</f>
        <v>女</v>
      </c>
    </row>
    <row r="707" spans="1:5" ht="30" customHeight="1">
      <c r="A707" s="6">
        <v>705</v>
      </c>
      <c r="B707" s="7" t="str">
        <f>"29802021051018420986847"</f>
        <v>29802021051018420986847</v>
      </c>
      <c r="C707" s="7" t="s">
        <v>13</v>
      </c>
      <c r="D707" s="7" t="str">
        <f>"符叶荷"</f>
        <v>符叶荷</v>
      </c>
      <c r="E707" s="7" t="str">
        <f t="shared" si="36"/>
        <v>女</v>
      </c>
    </row>
    <row r="708" spans="1:5" ht="30" customHeight="1">
      <c r="A708" s="6">
        <v>706</v>
      </c>
      <c r="B708" s="7" t="str">
        <f>"29802021051018513786900"</f>
        <v>29802021051018513786900</v>
      </c>
      <c r="C708" s="7" t="s">
        <v>13</v>
      </c>
      <c r="D708" s="7" t="str">
        <f>"梁珊萍"</f>
        <v>梁珊萍</v>
      </c>
      <c r="E708" s="7" t="str">
        <f t="shared" si="36"/>
        <v>女</v>
      </c>
    </row>
    <row r="709" spans="1:5" ht="30" customHeight="1">
      <c r="A709" s="6">
        <v>707</v>
      </c>
      <c r="B709" s="7" t="str">
        <f>"29802021051018565686919"</f>
        <v>29802021051018565686919</v>
      </c>
      <c r="C709" s="7" t="s">
        <v>13</v>
      </c>
      <c r="D709" s="7" t="str">
        <f>"林雯霞"</f>
        <v>林雯霞</v>
      </c>
      <c r="E709" s="7" t="str">
        <f t="shared" si="36"/>
        <v>女</v>
      </c>
    </row>
    <row r="710" spans="1:5" ht="30" customHeight="1">
      <c r="A710" s="6">
        <v>708</v>
      </c>
      <c r="B710" s="7" t="str">
        <f>"29802021051019032686937"</f>
        <v>29802021051019032686937</v>
      </c>
      <c r="C710" s="7" t="s">
        <v>13</v>
      </c>
      <c r="D710" s="7" t="str">
        <f>"吴剑花"</f>
        <v>吴剑花</v>
      </c>
      <c r="E710" s="7" t="str">
        <f t="shared" si="36"/>
        <v>女</v>
      </c>
    </row>
    <row r="711" spans="1:5" ht="30" customHeight="1">
      <c r="A711" s="6">
        <v>709</v>
      </c>
      <c r="B711" s="7" t="str">
        <f>"29802021051019313387050"</f>
        <v>29802021051019313387050</v>
      </c>
      <c r="C711" s="7" t="s">
        <v>13</v>
      </c>
      <c r="D711" s="7" t="str">
        <f>"邱新瑶"</f>
        <v>邱新瑶</v>
      </c>
      <c r="E711" s="7" t="str">
        <f t="shared" si="36"/>
        <v>女</v>
      </c>
    </row>
    <row r="712" spans="1:5" ht="30" customHeight="1">
      <c r="A712" s="6">
        <v>710</v>
      </c>
      <c r="B712" s="7" t="str">
        <f>"29802021051019422287090"</f>
        <v>29802021051019422287090</v>
      </c>
      <c r="C712" s="7" t="s">
        <v>13</v>
      </c>
      <c r="D712" s="7" t="str">
        <f>"林芳霞"</f>
        <v>林芳霞</v>
      </c>
      <c r="E712" s="7" t="str">
        <f t="shared" si="36"/>
        <v>女</v>
      </c>
    </row>
    <row r="713" spans="1:5" ht="30" customHeight="1">
      <c r="A713" s="6">
        <v>711</v>
      </c>
      <c r="B713" s="7" t="str">
        <f>"29802021051019441487098"</f>
        <v>29802021051019441487098</v>
      </c>
      <c r="C713" s="7" t="s">
        <v>13</v>
      </c>
      <c r="D713" s="7" t="str">
        <f>"蔡诗娟"</f>
        <v>蔡诗娟</v>
      </c>
      <c r="E713" s="7" t="str">
        <f t="shared" si="36"/>
        <v>女</v>
      </c>
    </row>
    <row r="714" spans="1:5" ht="30" customHeight="1">
      <c r="A714" s="6">
        <v>712</v>
      </c>
      <c r="B714" s="7" t="str">
        <f>"29802021051019500387128"</f>
        <v>29802021051019500387128</v>
      </c>
      <c r="C714" s="7" t="s">
        <v>13</v>
      </c>
      <c r="D714" s="7" t="str">
        <f>"陈曼"</f>
        <v>陈曼</v>
      </c>
      <c r="E714" s="7" t="str">
        <f t="shared" si="36"/>
        <v>女</v>
      </c>
    </row>
    <row r="715" spans="1:5" ht="30" customHeight="1">
      <c r="A715" s="6">
        <v>713</v>
      </c>
      <c r="B715" s="7" t="str">
        <f>"29802021051019521887140"</f>
        <v>29802021051019521887140</v>
      </c>
      <c r="C715" s="7" t="s">
        <v>13</v>
      </c>
      <c r="D715" s="7" t="str">
        <f>"郭江丹"</f>
        <v>郭江丹</v>
      </c>
      <c r="E715" s="7" t="str">
        <f t="shared" si="36"/>
        <v>女</v>
      </c>
    </row>
    <row r="716" spans="1:5" ht="30" customHeight="1">
      <c r="A716" s="6">
        <v>714</v>
      </c>
      <c r="B716" s="7" t="str">
        <f>"29802021051019524287144"</f>
        <v>29802021051019524287144</v>
      </c>
      <c r="C716" s="7" t="s">
        <v>13</v>
      </c>
      <c r="D716" s="7" t="str">
        <f>"罗茗"</f>
        <v>罗茗</v>
      </c>
      <c r="E716" s="7" t="str">
        <f t="shared" si="36"/>
        <v>女</v>
      </c>
    </row>
    <row r="717" spans="1:5" ht="30" customHeight="1">
      <c r="A717" s="6">
        <v>715</v>
      </c>
      <c r="B717" s="7" t="str">
        <f>"29802021051020002187186"</f>
        <v>29802021051020002187186</v>
      </c>
      <c r="C717" s="7" t="s">
        <v>13</v>
      </c>
      <c r="D717" s="7" t="str">
        <f>"陈微"</f>
        <v>陈微</v>
      </c>
      <c r="E717" s="7" t="str">
        <f t="shared" si="36"/>
        <v>女</v>
      </c>
    </row>
    <row r="718" spans="1:5" ht="30" customHeight="1">
      <c r="A718" s="6">
        <v>716</v>
      </c>
      <c r="B718" s="7" t="str">
        <f>"29802021051020033287206"</f>
        <v>29802021051020033287206</v>
      </c>
      <c r="C718" s="7" t="s">
        <v>13</v>
      </c>
      <c r="D718" s="7" t="str">
        <f>"林妊"</f>
        <v>林妊</v>
      </c>
      <c r="E718" s="7" t="str">
        <f t="shared" si="36"/>
        <v>女</v>
      </c>
    </row>
    <row r="719" spans="1:5" ht="30" customHeight="1">
      <c r="A719" s="6">
        <v>717</v>
      </c>
      <c r="B719" s="7" t="str">
        <f>"29802021051020114087235"</f>
        <v>29802021051020114087235</v>
      </c>
      <c r="C719" s="7" t="s">
        <v>13</v>
      </c>
      <c r="D719" s="7" t="str">
        <f>"蒲穗琼"</f>
        <v>蒲穗琼</v>
      </c>
      <c r="E719" s="7" t="str">
        <f t="shared" si="36"/>
        <v>女</v>
      </c>
    </row>
    <row r="720" spans="1:5" ht="30" customHeight="1">
      <c r="A720" s="6">
        <v>718</v>
      </c>
      <c r="B720" s="7" t="str">
        <f>"29802021051020392887350"</f>
        <v>29802021051020392887350</v>
      </c>
      <c r="C720" s="7" t="s">
        <v>13</v>
      </c>
      <c r="D720" s="7" t="str">
        <f>"邓敏"</f>
        <v>邓敏</v>
      </c>
      <c r="E720" s="7" t="str">
        <f t="shared" si="36"/>
        <v>女</v>
      </c>
    </row>
    <row r="721" spans="1:5" ht="30" customHeight="1">
      <c r="A721" s="6">
        <v>719</v>
      </c>
      <c r="B721" s="7" t="str">
        <f>"29802021051020464687376"</f>
        <v>29802021051020464687376</v>
      </c>
      <c r="C721" s="7" t="s">
        <v>13</v>
      </c>
      <c r="D721" s="7" t="str">
        <f>"王和梅"</f>
        <v>王和梅</v>
      </c>
      <c r="E721" s="7" t="str">
        <f t="shared" si="36"/>
        <v>女</v>
      </c>
    </row>
    <row r="722" spans="1:5" ht="30" customHeight="1">
      <c r="A722" s="6">
        <v>720</v>
      </c>
      <c r="B722" s="7" t="str">
        <f>"29802021051020465287378"</f>
        <v>29802021051020465287378</v>
      </c>
      <c r="C722" s="7" t="s">
        <v>13</v>
      </c>
      <c r="D722" s="7" t="str">
        <f>"羊彩虹"</f>
        <v>羊彩虹</v>
      </c>
      <c r="E722" s="7" t="str">
        <f t="shared" si="36"/>
        <v>女</v>
      </c>
    </row>
    <row r="723" spans="1:5" ht="30" customHeight="1">
      <c r="A723" s="6">
        <v>721</v>
      </c>
      <c r="B723" s="7" t="str">
        <f>"29802021051021210287518"</f>
        <v>29802021051021210287518</v>
      </c>
      <c r="C723" s="7" t="s">
        <v>13</v>
      </c>
      <c r="D723" s="7" t="str">
        <f>"詹达哲"</f>
        <v>詹达哲</v>
      </c>
      <c r="E723" s="7" t="str">
        <f>"男"</f>
        <v>男</v>
      </c>
    </row>
    <row r="724" spans="1:5" ht="30" customHeight="1">
      <c r="A724" s="6">
        <v>722</v>
      </c>
      <c r="B724" s="7" t="str">
        <f>"29802021051021290687553"</f>
        <v>29802021051021290687553</v>
      </c>
      <c r="C724" s="7" t="s">
        <v>13</v>
      </c>
      <c r="D724" s="7" t="str">
        <f>"张玉玲"</f>
        <v>张玉玲</v>
      </c>
      <c r="E724" s="7" t="str">
        <f aca="true" t="shared" si="37" ref="E724:E737">"女"</f>
        <v>女</v>
      </c>
    </row>
    <row r="725" spans="1:5" ht="30" customHeight="1">
      <c r="A725" s="6">
        <v>723</v>
      </c>
      <c r="B725" s="7" t="str">
        <f>"29802021051021352487594"</f>
        <v>29802021051021352487594</v>
      </c>
      <c r="C725" s="7" t="s">
        <v>13</v>
      </c>
      <c r="D725" s="7" t="str">
        <f>"曾芬芬"</f>
        <v>曾芬芬</v>
      </c>
      <c r="E725" s="7" t="str">
        <f t="shared" si="37"/>
        <v>女</v>
      </c>
    </row>
    <row r="726" spans="1:5" ht="30" customHeight="1">
      <c r="A726" s="6">
        <v>724</v>
      </c>
      <c r="B726" s="7" t="str">
        <f>"29802021051021431587643"</f>
        <v>29802021051021431587643</v>
      </c>
      <c r="C726" s="7" t="s">
        <v>13</v>
      </c>
      <c r="D726" s="7" t="str">
        <f>"王蕾"</f>
        <v>王蕾</v>
      </c>
      <c r="E726" s="7" t="str">
        <f t="shared" si="37"/>
        <v>女</v>
      </c>
    </row>
    <row r="727" spans="1:5" ht="30" customHeight="1">
      <c r="A727" s="6">
        <v>725</v>
      </c>
      <c r="B727" s="7" t="str">
        <f>"29802021051021470687663"</f>
        <v>29802021051021470687663</v>
      </c>
      <c r="C727" s="7" t="s">
        <v>13</v>
      </c>
      <c r="D727" s="7" t="str">
        <f>"杜菲玲"</f>
        <v>杜菲玲</v>
      </c>
      <c r="E727" s="7" t="str">
        <f t="shared" si="37"/>
        <v>女</v>
      </c>
    </row>
    <row r="728" spans="1:5" ht="30" customHeight="1">
      <c r="A728" s="6">
        <v>726</v>
      </c>
      <c r="B728" s="7" t="str">
        <f>"29802021051021562287703"</f>
        <v>29802021051021562287703</v>
      </c>
      <c r="C728" s="7" t="s">
        <v>13</v>
      </c>
      <c r="D728" s="7" t="str">
        <f>"钟琪"</f>
        <v>钟琪</v>
      </c>
      <c r="E728" s="7" t="str">
        <f t="shared" si="37"/>
        <v>女</v>
      </c>
    </row>
    <row r="729" spans="1:5" ht="30" customHeight="1">
      <c r="A729" s="6">
        <v>727</v>
      </c>
      <c r="B729" s="7" t="str">
        <f>"29802021051022100487768"</f>
        <v>29802021051022100487768</v>
      </c>
      <c r="C729" s="7" t="s">
        <v>13</v>
      </c>
      <c r="D729" s="7" t="str">
        <f>"符启娜"</f>
        <v>符启娜</v>
      </c>
      <c r="E729" s="7" t="str">
        <f t="shared" si="37"/>
        <v>女</v>
      </c>
    </row>
    <row r="730" spans="1:5" ht="30" customHeight="1">
      <c r="A730" s="6">
        <v>728</v>
      </c>
      <c r="B730" s="7" t="str">
        <f>"29802021051022111887773"</f>
        <v>29802021051022111887773</v>
      </c>
      <c r="C730" s="7" t="s">
        <v>13</v>
      </c>
      <c r="D730" s="7" t="str">
        <f>"李明惠"</f>
        <v>李明惠</v>
      </c>
      <c r="E730" s="7" t="str">
        <f t="shared" si="37"/>
        <v>女</v>
      </c>
    </row>
    <row r="731" spans="1:5" ht="30" customHeight="1">
      <c r="A731" s="6">
        <v>729</v>
      </c>
      <c r="B731" s="7" t="str">
        <f>"29802021051022113887775"</f>
        <v>29802021051022113887775</v>
      </c>
      <c r="C731" s="7" t="s">
        <v>13</v>
      </c>
      <c r="D731" s="7" t="str">
        <f>"庞芳"</f>
        <v>庞芳</v>
      </c>
      <c r="E731" s="7" t="str">
        <f t="shared" si="37"/>
        <v>女</v>
      </c>
    </row>
    <row r="732" spans="1:5" ht="30" customHeight="1">
      <c r="A732" s="6">
        <v>730</v>
      </c>
      <c r="B732" s="7" t="str">
        <f>"29802021051022194287814"</f>
        <v>29802021051022194287814</v>
      </c>
      <c r="C732" s="7" t="s">
        <v>13</v>
      </c>
      <c r="D732" s="7" t="str">
        <f>"龙露"</f>
        <v>龙露</v>
      </c>
      <c r="E732" s="7" t="str">
        <f t="shared" si="37"/>
        <v>女</v>
      </c>
    </row>
    <row r="733" spans="1:5" ht="30" customHeight="1">
      <c r="A733" s="6">
        <v>731</v>
      </c>
      <c r="B733" s="7" t="str">
        <f>"29802021051022251687840"</f>
        <v>29802021051022251687840</v>
      </c>
      <c r="C733" s="7" t="s">
        <v>13</v>
      </c>
      <c r="D733" s="7" t="str">
        <f>"肖瑛"</f>
        <v>肖瑛</v>
      </c>
      <c r="E733" s="7" t="str">
        <f t="shared" si="37"/>
        <v>女</v>
      </c>
    </row>
    <row r="734" spans="1:5" ht="30" customHeight="1">
      <c r="A734" s="6">
        <v>732</v>
      </c>
      <c r="B734" s="7" t="str">
        <f>"29802021051022253587843"</f>
        <v>29802021051022253587843</v>
      </c>
      <c r="C734" s="7" t="s">
        <v>13</v>
      </c>
      <c r="D734" s="7" t="str">
        <f>"周静"</f>
        <v>周静</v>
      </c>
      <c r="E734" s="7" t="str">
        <f t="shared" si="37"/>
        <v>女</v>
      </c>
    </row>
    <row r="735" spans="1:5" ht="30" customHeight="1">
      <c r="A735" s="6">
        <v>733</v>
      </c>
      <c r="B735" s="7" t="str">
        <f>"29802021051022301987862"</f>
        <v>29802021051022301987862</v>
      </c>
      <c r="C735" s="7" t="s">
        <v>13</v>
      </c>
      <c r="D735" s="7" t="str">
        <f>"苏惠"</f>
        <v>苏惠</v>
      </c>
      <c r="E735" s="7" t="str">
        <f t="shared" si="37"/>
        <v>女</v>
      </c>
    </row>
    <row r="736" spans="1:5" ht="30" customHeight="1">
      <c r="A736" s="6">
        <v>734</v>
      </c>
      <c r="B736" s="7" t="str">
        <f>"29802021051022320187868"</f>
        <v>29802021051022320187868</v>
      </c>
      <c r="C736" s="7" t="s">
        <v>13</v>
      </c>
      <c r="D736" s="7" t="str">
        <f>"李元花"</f>
        <v>李元花</v>
      </c>
      <c r="E736" s="7" t="str">
        <f t="shared" si="37"/>
        <v>女</v>
      </c>
    </row>
    <row r="737" spans="1:5" ht="30" customHeight="1">
      <c r="A737" s="6">
        <v>735</v>
      </c>
      <c r="B737" s="7" t="str">
        <f>"29802021051022363187884"</f>
        <v>29802021051022363187884</v>
      </c>
      <c r="C737" s="7" t="s">
        <v>13</v>
      </c>
      <c r="D737" s="7" t="str">
        <f>"罗丹"</f>
        <v>罗丹</v>
      </c>
      <c r="E737" s="7" t="str">
        <f t="shared" si="37"/>
        <v>女</v>
      </c>
    </row>
    <row r="738" spans="1:5" ht="30" customHeight="1">
      <c r="A738" s="6">
        <v>736</v>
      </c>
      <c r="B738" s="7" t="str">
        <f>"29802021051022443987910"</f>
        <v>29802021051022443987910</v>
      </c>
      <c r="C738" s="7" t="s">
        <v>13</v>
      </c>
      <c r="D738" s="7" t="str">
        <f>"王道东"</f>
        <v>王道东</v>
      </c>
      <c r="E738" s="7" t="str">
        <f>"男"</f>
        <v>男</v>
      </c>
    </row>
    <row r="739" spans="1:5" ht="30" customHeight="1">
      <c r="A739" s="6">
        <v>737</v>
      </c>
      <c r="B739" s="7" t="str">
        <f>"29802021051022450987914"</f>
        <v>29802021051022450987914</v>
      </c>
      <c r="C739" s="7" t="s">
        <v>13</v>
      </c>
      <c r="D739" s="7" t="str">
        <f>"郑妮"</f>
        <v>郑妮</v>
      </c>
      <c r="E739" s="7" t="str">
        <f aca="true" t="shared" si="38" ref="E739:E780">"女"</f>
        <v>女</v>
      </c>
    </row>
    <row r="740" spans="1:5" ht="30" customHeight="1">
      <c r="A740" s="6">
        <v>738</v>
      </c>
      <c r="B740" s="7" t="str">
        <f>"29802021051022551087951"</f>
        <v>29802021051022551087951</v>
      </c>
      <c r="C740" s="7" t="s">
        <v>13</v>
      </c>
      <c r="D740" s="7" t="str">
        <f>"王丽梅"</f>
        <v>王丽梅</v>
      </c>
      <c r="E740" s="7" t="str">
        <f t="shared" si="38"/>
        <v>女</v>
      </c>
    </row>
    <row r="741" spans="1:5" ht="30" customHeight="1">
      <c r="A741" s="6">
        <v>739</v>
      </c>
      <c r="B741" s="7" t="str">
        <f>"29802021051022593987969"</f>
        <v>29802021051022593987969</v>
      </c>
      <c r="C741" s="7" t="s">
        <v>13</v>
      </c>
      <c r="D741" s="7" t="str">
        <f>"吴金梅"</f>
        <v>吴金梅</v>
      </c>
      <c r="E741" s="7" t="str">
        <f t="shared" si="38"/>
        <v>女</v>
      </c>
    </row>
    <row r="742" spans="1:5" ht="30" customHeight="1">
      <c r="A742" s="6">
        <v>740</v>
      </c>
      <c r="B742" s="7" t="str">
        <f>"29802021051023000987971"</f>
        <v>29802021051023000987971</v>
      </c>
      <c r="C742" s="7" t="s">
        <v>13</v>
      </c>
      <c r="D742" s="7" t="str">
        <f>"陈旭"</f>
        <v>陈旭</v>
      </c>
      <c r="E742" s="7" t="str">
        <f t="shared" si="38"/>
        <v>女</v>
      </c>
    </row>
    <row r="743" spans="1:5" ht="30" customHeight="1">
      <c r="A743" s="6">
        <v>741</v>
      </c>
      <c r="B743" s="7" t="str">
        <f>"29802021051023034987982"</f>
        <v>29802021051023034987982</v>
      </c>
      <c r="C743" s="7" t="s">
        <v>13</v>
      </c>
      <c r="D743" s="7" t="str">
        <f>"谢曼玉"</f>
        <v>谢曼玉</v>
      </c>
      <c r="E743" s="7" t="str">
        <f t="shared" si="38"/>
        <v>女</v>
      </c>
    </row>
    <row r="744" spans="1:5" ht="30" customHeight="1">
      <c r="A744" s="6">
        <v>742</v>
      </c>
      <c r="B744" s="7" t="str">
        <f>"29802021051023062487988"</f>
        <v>29802021051023062487988</v>
      </c>
      <c r="C744" s="7" t="s">
        <v>13</v>
      </c>
      <c r="D744" s="7" t="str">
        <f>"曾艳平"</f>
        <v>曾艳平</v>
      </c>
      <c r="E744" s="7" t="str">
        <f t="shared" si="38"/>
        <v>女</v>
      </c>
    </row>
    <row r="745" spans="1:5" ht="30" customHeight="1">
      <c r="A745" s="6">
        <v>743</v>
      </c>
      <c r="B745" s="7" t="str">
        <f>"29802021051023103088000"</f>
        <v>29802021051023103088000</v>
      </c>
      <c r="C745" s="7" t="s">
        <v>13</v>
      </c>
      <c r="D745" s="7" t="str">
        <f>"莫玉艳"</f>
        <v>莫玉艳</v>
      </c>
      <c r="E745" s="7" t="str">
        <f t="shared" si="38"/>
        <v>女</v>
      </c>
    </row>
    <row r="746" spans="1:5" ht="30" customHeight="1">
      <c r="A746" s="6">
        <v>744</v>
      </c>
      <c r="B746" s="7" t="str">
        <f>"29802021051023120888005"</f>
        <v>29802021051023120888005</v>
      </c>
      <c r="C746" s="7" t="s">
        <v>13</v>
      </c>
      <c r="D746" s="7" t="str">
        <f>"周炳菊"</f>
        <v>周炳菊</v>
      </c>
      <c r="E746" s="7" t="str">
        <f t="shared" si="38"/>
        <v>女</v>
      </c>
    </row>
    <row r="747" spans="1:5" ht="30" customHeight="1">
      <c r="A747" s="6">
        <v>745</v>
      </c>
      <c r="B747" s="7" t="str">
        <f>"29802021051023303688060"</f>
        <v>29802021051023303688060</v>
      </c>
      <c r="C747" s="7" t="s">
        <v>13</v>
      </c>
      <c r="D747" s="7" t="str">
        <f>"梁玉叶"</f>
        <v>梁玉叶</v>
      </c>
      <c r="E747" s="7" t="str">
        <f t="shared" si="38"/>
        <v>女</v>
      </c>
    </row>
    <row r="748" spans="1:5" ht="30" customHeight="1">
      <c r="A748" s="6">
        <v>746</v>
      </c>
      <c r="B748" s="7" t="str">
        <f>"29802021051023501688096"</f>
        <v>29802021051023501688096</v>
      </c>
      <c r="C748" s="7" t="s">
        <v>13</v>
      </c>
      <c r="D748" s="7" t="str">
        <f>"李静"</f>
        <v>李静</v>
      </c>
      <c r="E748" s="7" t="str">
        <f t="shared" si="38"/>
        <v>女</v>
      </c>
    </row>
    <row r="749" spans="1:5" ht="30" customHeight="1">
      <c r="A749" s="6">
        <v>747</v>
      </c>
      <c r="B749" s="7" t="str">
        <f>"29802021051105451788181"</f>
        <v>29802021051105451788181</v>
      </c>
      <c r="C749" s="7" t="s">
        <v>13</v>
      </c>
      <c r="D749" s="7" t="str">
        <f>"潘敏敏"</f>
        <v>潘敏敏</v>
      </c>
      <c r="E749" s="7" t="str">
        <f t="shared" si="38"/>
        <v>女</v>
      </c>
    </row>
    <row r="750" spans="1:5" ht="30" customHeight="1">
      <c r="A750" s="6">
        <v>748</v>
      </c>
      <c r="B750" s="7" t="str">
        <f>"29802021051106454588188"</f>
        <v>29802021051106454588188</v>
      </c>
      <c r="C750" s="7" t="s">
        <v>13</v>
      </c>
      <c r="D750" s="7" t="str">
        <f>"黄润兰"</f>
        <v>黄润兰</v>
      </c>
      <c r="E750" s="7" t="str">
        <f t="shared" si="38"/>
        <v>女</v>
      </c>
    </row>
    <row r="751" spans="1:5" ht="30" customHeight="1">
      <c r="A751" s="6">
        <v>749</v>
      </c>
      <c r="B751" s="7" t="str">
        <f>"29802021051107314788210"</f>
        <v>29802021051107314788210</v>
      </c>
      <c r="C751" s="7" t="s">
        <v>13</v>
      </c>
      <c r="D751" s="7" t="str">
        <f>"余明珠"</f>
        <v>余明珠</v>
      </c>
      <c r="E751" s="7" t="str">
        <f t="shared" si="38"/>
        <v>女</v>
      </c>
    </row>
    <row r="752" spans="1:5" ht="30" customHeight="1">
      <c r="A752" s="6">
        <v>750</v>
      </c>
      <c r="B752" s="7" t="str">
        <f>"29802021051108161688256"</f>
        <v>29802021051108161688256</v>
      </c>
      <c r="C752" s="7" t="s">
        <v>13</v>
      </c>
      <c r="D752" s="7" t="str">
        <f>"王良锦"</f>
        <v>王良锦</v>
      </c>
      <c r="E752" s="7" t="str">
        <f t="shared" si="38"/>
        <v>女</v>
      </c>
    </row>
    <row r="753" spans="1:5" ht="30" customHeight="1">
      <c r="A753" s="6">
        <v>751</v>
      </c>
      <c r="B753" s="7" t="str">
        <f>"29802021051108235688268"</f>
        <v>29802021051108235688268</v>
      </c>
      <c r="C753" s="7" t="s">
        <v>13</v>
      </c>
      <c r="D753" s="7" t="str">
        <f>"何日丽"</f>
        <v>何日丽</v>
      </c>
      <c r="E753" s="7" t="str">
        <f t="shared" si="38"/>
        <v>女</v>
      </c>
    </row>
    <row r="754" spans="1:5" ht="30" customHeight="1">
      <c r="A754" s="6">
        <v>752</v>
      </c>
      <c r="B754" s="7" t="str">
        <f>"29802021051108412688327"</f>
        <v>29802021051108412688327</v>
      </c>
      <c r="C754" s="7" t="s">
        <v>13</v>
      </c>
      <c r="D754" s="7" t="str">
        <f>"陈尼"</f>
        <v>陈尼</v>
      </c>
      <c r="E754" s="7" t="str">
        <f t="shared" si="38"/>
        <v>女</v>
      </c>
    </row>
    <row r="755" spans="1:5" ht="30" customHeight="1">
      <c r="A755" s="6">
        <v>753</v>
      </c>
      <c r="B755" s="7" t="str">
        <f>"29802021051109061688436"</f>
        <v>29802021051109061688436</v>
      </c>
      <c r="C755" s="7" t="s">
        <v>13</v>
      </c>
      <c r="D755" s="7" t="str">
        <f>"李晓"</f>
        <v>李晓</v>
      </c>
      <c r="E755" s="7" t="str">
        <f t="shared" si="38"/>
        <v>女</v>
      </c>
    </row>
    <row r="756" spans="1:5" ht="30" customHeight="1">
      <c r="A756" s="6">
        <v>754</v>
      </c>
      <c r="B756" s="7" t="str">
        <f>"29802021051109143488479"</f>
        <v>29802021051109143488479</v>
      </c>
      <c r="C756" s="7" t="s">
        <v>13</v>
      </c>
      <c r="D756" s="7" t="str">
        <f>"李海燕"</f>
        <v>李海燕</v>
      </c>
      <c r="E756" s="7" t="str">
        <f t="shared" si="38"/>
        <v>女</v>
      </c>
    </row>
    <row r="757" spans="1:5" ht="30" customHeight="1">
      <c r="A757" s="6">
        <v>755</v>
      </c>
      <c r="B757" s="7" t="str">
        <f>"29802021051109345788568"</f>
        <v>29802021051109345788568</v>
      </c>
      <c r="C757" s="7" t="s">
        <v>13</v>
      </c>
      <c r="D757" s="7" t="str">
        <f>"张雪媛"</f>
        <v>张雪媛</v>
      </c>
      <c r="E757" s="7" t="str">
        <f t="shared" si="38"/>
        <v>女</v>
      </c>
    </row>
    <row r="758" spans="1:5" ht="30" customHeight="1">
      <c r="A758" s="6">
        <v>756</v>
      </c>
      <c r="B758" s="7" t="str">
        <f>"29802021051109451588619"</f>
        <v>29802021051109451588619</v>
      </c>
      <c r="C758" s="7" t="s">
        <v>13</v>
      </c>
      <c r="D758" s="7" t="str">
        <f>"李君钰"</f>
        <v>李君钰</v>
      </c>
      <c r="E758" s="7" t="str">
        <f t="shared" si="38"/>
        <v>女</v>
      </c>
    </row>
    <row r="759" spans="1:5" ht="30" customHeight="1">
      <c r="A759" s="6">
        <v>757</v>
      </c>
      <c r="B759" s="7" t="str">
        <f>"29802021051109530188660"</f>
        <v>29802021051109530188660</v>
      </c>
      <c r="C759" s="7" t="s">
        <v>13</v>
      </c>
      <c r="D759" s="7" t="str">
        <f>"陈美英"</f>
        <v>陈美英</v>
      </c>
      <c r="E759" s="7" t="str">
        <f t="shared" si="38"/>
        <v>女</v>
      </c>
    </row>
    <row r="760" spans="1:5" ht="30" customHeight="1">
      <c r="A760" s="6">
        <v>758</v>
      </c>
      <c r="B760" s="7" t="str">
        <f>"29802021051109584688688"</f>
        <v>29802021051109584688688</v>
      </c>
      <c r="C760" s="7" t="s">
        <v>13</v>
      </c>
      <c r="D760" s="7" t="str">
        <f>"蔡姬莉"</f>
        <v>蔡姬莉</v>
      </c>
      <c r="E760" s="7" t="str">
        <f t="shared" si="38"/>
        <v>女</v>
      </c>
    </row>
    <row r="761" spans="1:5" ht="30" customHeight="1">
      <c r="A761" s="6">
        <v>759</v>
      </c>
      <c r="B761" s="7" t="str">
        <f>"29802021051110025488703"</f>
        <v>29802021051110025488703</v>
      </c>
      <c r="C761" s="7" t="s">
        <v>13</v>
      </c>
      <c r="D761" s="7" t="str">
        <f>"郑学彩"</f>
        <v>郑学彩</v>
      </c>
      <c r="E761" s="7" t="str">
        <f t="shared" si="38"/>
        <v>女</v>
      </c>
    </row>
    <row r="762" spans="1:5" ht="30" customHeight="1">
      <c r="A762" s="6">
        <v>760</v>
      </c>
      <c r="B762" s="7" t="str">
        <f>"29802021051110040488710"</f>
        <v>29802021051110040488710</v>
      </c>
      <c r="C762" s="7" t="s">
        <v>13</v>
      </c>
      <c r="D762" s="7" t="str">
        <f>"李秋清"</f>
        <v>李秋清</v>
      </c>
      <c r="E762" s="7" t="str">
        <f t="shared" si="38"/>
        <v>女</v>
      </c>
    </row>
    <row r="763" spans="1:5" ht="30" customHeight="1">
      <c r="A763" s="6">
        <v>761</v>
      </c>
      <c r="B763" s="7" t="str">
        <f>"29802021051110045688716"</f>
        <v>29802021051110045688716</v>
      </c>
      <c r="C763" s="7" t="s">
        <v>13</v>
      </c>
      <c r="D763" s="7" t="str">
        <f>"陈丽林"</f>
        <v>陈丽林</v>
      </c>
      <c r="E763" s="7" t="str">
        <f t="shared" si="38"/>
        <v>女</v>
      </c>
    </row>
    <row r="764" spans="1:5" ht="30" customHeight="1">
      <c r="A764" s="6">
        <v>762</v>
      </c>
      <c r="B764" s="7" t="str">
        <f>"29802021051110075788732"</f>
        <v>29802021051110075788732</v>
      </c>
      <c r="C764" s="7" t="s">
        <v>13</v>
      </c>
      <c r="D764" s="7" t="str">
        <f>"王金梅"</f>
        <v>王金梅</v>
      </c>
      <c r="E764" s="7" t="str">
        <f t="shared" si="38"/>
        <v>女</v>
      </c>
    </row>
    <row r="765" spans="1:5" ht="30" customHeight="1">
      <c r="A765" s="6">
        <v>763</v>
      </c>
      <c r="B765" s="7" t="str">
        <f>"29802021051110124388756"</f>
        <v>29802021051110124388756</v>
      </c>
      <c r="C765" s="7" t="s">
        <v>13</v>
      </c>
      <c r="D765" s="7" t="str">
        <f>"周立玲"</f>
        <v>周立玲</v>
      </c>
      <c r="E765" s="7" t="str">
        <f t="shared" si="38"/>
        <v>女</v>
      </c>
    </row>
    <row r="766" spans="1:5" ht="30" customHeight="1">
      <c r="A766" s="6">
        <v>764</v>
      </c>
      <c r="B766" s="7" t="str">
        <f>"29802021051110173588778"</f>
        <v>29802021051110173588778</v>
      </c>
      <c r="C766" s="7" t="s">
        <v>13</v>
      </c>
      <c r="D766" s="7" t="str">
        <f>"林美应"</f>
        <v>林美应</v>
      </c>
      <c r="E766" s="7" t="str">
        <f t="shared" si="38"/>
        <v>女</v>
      </c>
    </row>
    <row r="767" spans="1:5" ht="30" customHeight="1">
      <c r="A767" s="6">
        <v>765</v>
      </c>
      <c r="B767" s="7" t="str">
        <f>"29802021051110223088809"</f>
        <v>29802021051110223088809</v>
      </c>
      <c r="C767" s="7" t="s">
        <v>13</v>
      </c>
      <c r="D767" s="7" t="str">
        <f>"王爱霞"</f>
        <v>王爱霞</v>
      </c>
      <c r="E767" s="7" t="str">
        <f t="shared" si="38"/>
        <v>女</v>
      </c>
    </row>
    <row r="768" spans="1:5" ht="30" customHeight="1">
      <c r="A768" s="6">
        <v>766</v>
      </c>
      <c r="B768" s="7" t="str">
        <f>"29802021051110245488820"</f>
        <v>29802021051110245488820</v>
      </c>
      <c r="C768" s="7" t="s">
        <v>13</v>
      </c>
      <c r="D768" s="7" t="str">
        <f>"史彩娟"</f>
        <v>史彩娟</v>
      </c>
      <c r="E768" s="7" t="str">
        <f t="shared" si="38"/>
        <v>女</v>
      </c>
    </row>
    <row r="769" spans="1:5" ht="30" customHeight="1">
      <c r="A769" s="6">
        <v>767</v>
      </c>
      <c r="B769" s="7" t="str">
        <f>"29802021051110285188842"</f>
        <v>29802021051110285188842</v>
      </c>
      <c r="C769" s="7" t="s">
        <v>13</v>
      </c>
      <c r="D769" s="7" t="str">
        <f>"朱海叶"</f>
        <v>朱海叶</v>
      </c>
      <c r="E769" s="7" t="str">
        <f t="shared" si="38"/>
        <v>女</v>
      </c>
    </row>
    <row r="770" spans="1:5" ht="30" customHeight="1">
      <c r="A770" s="6">
        <v>768</v>
      </c>
      <c r="B770" s="7" t="str">
        <f>"29802021051110290088845"</f>
        <v>29802021051110290088845</v>
      </c>
      <c r="C770" s="7" t="s">
        <v>13</v>
      </c>
      <c r="D770" s="7" t="str">
        <f>"陈梅平"</f>
        <v>陈梅平</v>
      </c>
      <c r="E770" s="7" t="str">
        <f t="shared" si="38"/>
        <v>女</v>
      </c>
    </row>
    <row r="771" spans="1:5" ht="30" customHeight="1">
      <c r="A771" s="6">
        <v>769</v>
      </c>
      <c r="B771" s="7" t="str">
        <f>"29802021051110310088860"</f>
        <v>29802021051110310088860</v>
      </c>
      <c r="C771" s="7" t="s">
        <v>13</v>
      </c>
      <c r="D771" s="7" t="str">
        <f>"余明真"</f>
        <v>余明真</v>
      </c>
      <c r="E771" s="7" t="str">
        <f t="shared" si="38"/>
        <v>女</v>
      </c>
    </row>
    <row r="772" spans="1:5" ht="30" customHeight="1">
      <c r="A772" s="6">
        <v>770</v>
      </c>
      <c r="B772" s="7" t="str">
        <f>"29802021051110363788886"</f>
        <v>29802021051110363788886</v>
      </c>
      <c r="C772" s="7" t="s">
        <v>13</v>
      </c>
      <c r="D772" s="7" t="str">
        <f>"黄释贤"</f>
        <v>黄释贤</v>
      </c>
      <c r="E772" s="7" t="str">
        <f t="shared" si="38"/>
        <v>女</v>
      </c>
    </row>
    <row r="773" spans="1:5" ht="30" customHeight="1">
      <c r="A773" s="6">
        <v>771</v>
      </c>
      <c r="B773" s="7" t="str">
        <f>"29802021051110474288936"</f>
        <v>29802021051110474288936</v>
      </c>
      <c r="C773" s="7" t="s">
        <v>13</v>
      </c>
      <c r="D773" s="7" t="str">
        <f>"王少换"</f>
        <v>王少换</v>
      </c>
      <c r="E773" s="7" t="str">
        <f t="shared" si="38"/>
        <v>女</v>
      </c>
    </row>
    <row r="774" spans="1:5" ht="30" customHeight="1">
      <c r="A774" s="6">
        <v>772</v>
      </c>
      <c r="B774" s="7" t="str">
        <f>"29802021051110493588950"</f>
        <v>29802021051110493588950</v>
      </c>
      <c r="C774" s="7" t="s">
        <v>13</v>
      </c>
      <c r="D774" s="7" t="str">
        <f>"吴菊妍"</f>
        <v>吴菊妍</v>
      </c>
      <c r="E774" s="7" t="str">
        <f t="shared" si="38"/>
        <v>女</v>
      </c>
    </row>
    <row r="775" spans="1:5" ht="30" customHeight="1">
      <c r="A775" s="6">
        <v>773</v>
      </c>
      <c r="B775" s="7" t="str">
        <f>"29802021051110573088996"</f>
        <v>29802021051110573088996</v>
      </c>
      <c r="C775" s="7" t="s">
        <v>13</v>
      </c>
      <c r="D775" s="7" t="str">
        <f>"黎兴芳"</f>
        <v>黎兴芳</v>
      </c>
      <c r="E775" s="7" t="str">
        <f t="shared" si="38"/>
        <v>女</v>
      </c>
    </row>
    <row r="776" spans="1:5" ht="30" customHeight="1">
      <c r="A776" s="6">
        <v>774</v>
      </c>
      <c r="B776" s="7" t="str">
        <f>"29802021051111275789132"</f>
        <v>29802021051111275789132</v>
      </c>
      <c r="C776" s="7" t="s">
        <v>13</v>
      </c>
      <c r="D776" s="7" t="str">
        <f>"王茜"</f>
        <v>王茜</v>
      </c>
      <c r="E776" s="7" t="str">
        <f t="shared" si="38"/>
        <v>女</v>
      </c>
    </row>
    <row r="777" spans="1:5" ht="30" customHeight="1">
      <c r="A777" s="6">
        <v>775</v>
      </c>
      <c r="B777" s="7" t="str">
        <f>"29802021051111440689183"</f>
        <v>29802021051111440689183</v>
      </c>
      <c r="C777" s="7" t="s">
        <v>13</v>
      </c>
      <c r="D777" s="7" t="str">
        <f>"冯小丹"</f>
        <v>冯小丹</v>
      </c>
      <c r="E777" s="7" t="str">
        <f t="shared" si="38"/>
        <v>女</v>
      </c>
    </row>
    <row r="778" spans="1:5" ht="30" customHeight="1">
      <c r="A778" s="6">
        <v>776</v>
      </c>
      <c r="B778" s="7" t="str">
        <f>"29802021051111514589208"</f>
        <v>29802021051111514589208</v>
      </c>
      <c r="C778" s="7" t="s">
        <v>13</v>
      </c>
      <c r="D778" s="7" t="str">
        <f>"罗童心"</f>
        <v>罗童心</v>
      </c>
      <c r="E778" s="7" t="str">
        <f t="shared" si="38"/>
        <v>女</v>
      </c>
    </row>
    <row r="779" spans="1:5" ht="30" customHeight="1">
      <c r="A779" s="6">
        <v>777</v>
      </c>
      <c r="B779" s="7" t="str">
        <f>"29802021051112113389269"</f>
        <v>29802021051112113389269</v>
      </c>
      <c r="C779" s="7" t="s">
        <v>13</v>
      </c>
      <c r="D779" s="7" t="str">
        <f>"张楠"</f>
        <v>张楠</v>
      </c>
      <c r="E779" s="7" t="str">
        <f t="shared" si="38"/>
        <v>女</v>
      </c>
    </row>
    <row r="780" spans="1:5" ht="30" customHeight="1">
      <c r="A780" s="6">
        <v>778</v>
      </c>
      <c r="B780" s="7" t="str">
        <f>"29802021051112232689296"</f>
        <v>29802021051112232689296</v>
      </c>
      <c r="C780" s="7" t="s">
        <v>13</v>
      </c>
      <c r="D780" s="7" t="str">
        <f>"章艳"</f>
        <v>章艳</v>
      </c>
      <c r="E780" s="7" t="str">
        <f t="shared" si="38"/>
        <v>女</v>
      </c>
    </row>
    <row r="781" spans="1:5" ht="30" customHeight="1">
      <c r="A781" s="6">
        <v>779</v>
      </c>
      <c r="B781" s="7" t="str">
        <f>"29802021051112341089342"</f>
        <v>29802021051112341089342</v>
      </c>
      <c r="C781" s="7" t="s">
        <v>13</v>
      </c>
      <c r="D781" s="7" t="str">
        <f>"张鑫"</f>
        <v>张鑫</v>
      </c>
      <c r="E781" s="7" t="str">
        <f>"男"</f>
        <v>男</v>
      </c>
    </row>
    <row r="782" spans="1:5" ht="30" customHeight="1">
      <c r="A782" s="6">
        <v>780</v>
      </c>
      <c r="B782" s="7" t="str">
        <f>"29802021051112371689350"</f>
        <v>29802021051112371689350</v>
      </c>
      <c r="C782" s="7" t="s">
        <v>13</v>
      </c>
      <c r="D782" s="7" t="str">
        <f>"刘乙青"</f>
        <v>刘乙青</v>
      </c>
      <c r="E782" s="7" t="str">
        <f>"女"</f>
        <v>女</v>
      </c>
    </row>
    <row r="783" spans="1:5" ht="30" customHeight="1">
      <c r="A783" s="6">
        <v>781</v>
      </c>
      <c r="B783" s="7" t="str">
        <f>"29802021051112385289354"</f>
        <v>29802021051112385289354</v>
      </c>
      <c r="C783" s="7" t="s">
        <v>13</v>
      </c>
      <c r="D783" s="7" t="str">
        <f>"梁其隆"</f>
        <v>梁其隆</v>
      </c>
      <c r="E783" s="7" t="str">
        <f>"男"</f>
        <v>男</v>
      </c>
    </row>
    <row r="784" spans="1:5" ht="30" customHeight="1">
      <c r="A784" s="6">
        <v>782</v>
      </c>
      <c r="B784" s="7" t="str">
        <f>"29802021051112433589364"</f>
        <v>29802021051112433589364</v>
      </c>
      <c r="C784" s="7" t="s">
        <v>13</v>
      </c>
      <c r="D784" s="7" t="str">
        <f>"肖琼燕"</f>
        <v>肖琼燕</v>
      </c>
      <c r="E784" s="7" t="str">
        <f>"女"</f>
        <v>女</v>
      </c>
    </row>
    <row r="785" spans="1:5" ht="30" customHeight="1">
      <c r="A785" s="6">
        <v>783</v>
      </c>
      <c r="B785" s="7" t="str">
        <f>"29802021051113030189415"</f>
        <v>29802021051113030189415</v>
      </c>
      <c r="C785" s="7" t="s">
        <v>13</v>
      </c>
      <c r="D785" s="7" t="str">
        <f>"黎美青"</f>
        <v>黎美青</v>
      </c>
      <c r="E785" s="7" t="str">
        <f>"女"</f>
        <v>女</v>
      </c>
    </row>
    <row r="786" spans="1:5" ht="30" customHeight="1">
      <c r="A786" s="6">
        <v>784</v>
      </c>
      <c r="B786" s="7" t="str">
        <f>"29802021051113514089503"</f>
        <v>29802021051113514089503</v>
      </c>
      <c r="C786" s="7" t="s">
        <v>13</v>
      </c>
      <c r="D786" s="7" t="str">
        <f>"文精娇"</f>
        <v>文精娇</v>
      </c>
      <c r="E786" s="7" t="str">
        <f>"女"</f>
        <v>女</v>
      </c>
    </row>
    <row r="787" spans="1:5" ht="30" customHeight="1">
      <c r="A787" s="6">
        <v>785</v>
      </c>
      <c r="B787" s="7" t="str">
        <f>"29802021051114112589536"</f>
        <v>29802021051114112589536</v>
      </c>
      <c r="C787" s="7" t="s">
        <v>13</v>
      </c>
      <c r="D787" s="7" t="str">
        <f>"温王萍"</f>
        <v>温王萍</v>
      </c>
      <c r="E787" s="7" t="str">
        <f>"女"</f>
        <v>女</v>
      </c>
    </row>
    <row r="788" spans="1:5" ht="30" customHeight="1">
      <c r="A788" s="6">
        <v>786</v>
      </c>
      <c r="B788" s="7" t="str">
        <f>"29802021051114134689541"</f>
        <v>29802021051114134689541</v>
      </c>
      <c r="C788" s="7" t="s">
        <v>13</v>
      </c>
      <c r="D788" s="7" t="str">
        <f>"兰王"</f>
        <v>兰王</v>
      </c>
      <c r="E788" s="7" t="str">
        <f>"男"</f>
        <v>男</v>
      </c>
    </row>
    <row r="789" spans="1:5" ht="30" customHeight="1">
      <c r="A789" s="6">
        <v>787</v>
      </c>
      <c r="B789" s="7" t="str">
        <f>"29802021051115021089702"</f>
        <v>29802021051115021089702</v>
      </c>
      <c r="C789" s="7" t="s">
        <v>13</v>
      </c>
      <c r="D789" s="7" t="str">
        <f>"张小莉"</f>
        <v>张小莉</v>
      </c>
      <c r="E789" s="7" t="str">
        <f>"女"</f>
        <v>女</v>
      </c>
    </row>
    <row r="790" spans="1:5" ht="30" customHeight="1">
      <c r="A790" s="6">
        <v>788</v>
      </c>
      <c r="B790" s="7" t="str">
        <f>"29802021051115034589707"</f>
        <v>29802021051115034589707</v>
      </c>
      <c r="C790" s="7" t="s">
        <v>13</v>
      </c>
      <c r="D790" s="7" t="str">
        <f>"陈艺文"</f>
        <v>陈艺文</v>
      </c>
      <c r="E790" s="7" t="str">
        <f>"女"</f>
        <v>女</v>
      </c>
    </row>
    <row r="791" spans="1:5" ht="30" customHeight="1">
      <c r="A791" s="6">
        <v>789</v>
      </c>
      <c r="B791" s="7" t="str">
        <f>"29802021051115194289787"</f>
        <v>29802021051115194289787</v>
      </c>
      <c r="C791" s="7" t="s">
        <v>13</v>
      </c>
      <c r="D791" s="7" t="str">
        <f>"冯华玲"</f>
        <v>冯华玲</v>
      </c>
      <c r="E791" s="7" t="str">
        <f>"女"</f>
        <v>女</v>
      </c>
    </row>
    <row r="792" spans="1:5" ht="30" customHeight="1">
      <c r="A792" s="6">
        <v>790</v>
      </c>
      <c r="B792" s="7" t="str">
        <f>"29802021051115264589817"</f>
        <v>29802021051115264589817</v>
      </c>
      <c r="C792" s="7" t="s">
        <v>13</v>
      </c>
      <c r="D792" s="7" t="str">
        <f>"梁其满"</f>
        <v>梁其满</v>
      </c>
      <c r="E792" s="7" t="str">
        <f>"女"</f>
        <v>女</v>
      </c>
    </row>
    <row r="793" spans="1:5" ht="30" customHeight="1">
      <c r="A793" s="6">
        <v>791</v>
      </c>
      <c r="B793" s="7" t="str">
        <f>"29802021051116172290041"</f>
        <v>29802021051116172290041</v>
      </c>
      <c r="C793" s="7" t="s">
        <v>13</v>
      </c>
      <c r="D793" s="7" t="str">
        <f>"王海兰"</f>
        <v>王海兰</v>
      </c>
      <c r="E793" s="7" t="str">
        <f>"女"</f>
        <v>女</v>
      </c>
    </row>
    <row r="794" spans="1:5" ht="30" customHeight="1">
      <c r="A794" s="6">
        <v>792</v>
      </c>
      <c r="B794" s="7" t="str">
        <f>"29802021051116224690066"</f>
        <v>29802021051116224690066</v>
      </c>
      <c r="C794" s="7" t="s">
        <v>13</v>
      </c>
      <c r="D794" s="7" t="str">
        <f>"黄雄"</f>
        <v>黄雄</v>
      </c>
      <c r="E794" s="7" t="str">
        <f>"男"</f>
        <v>男</v>
      </c>
    </row>
    <row r="795" spans="1:5" ht="30" customHeight="1">
      <c r="A795" s="6">
        <v>793</v>
      </c>
      <c r="B795" s="7" t="str">
        <f>"29802021051116230390067"</f>
        <v>29802021051116230390067</v>
      </c>
      <c r="C795" s="7" t="s">
        <v>13</v>
      </c>
      <c r="D795" s="7" t="str">
        <f>"陈香风"</f>
        <v>陈香风</v>
      </c>
      <c r="E795" s="7" t="str">
        <f>"女"</f>
        <v>女</v>
      </c>
    </row>
    <row r="796" spans="1:5" ht="30" customHeight="1">
      <c r="A796" s="6">
        <v>794</v>
      </c>
      <c r="B796" s="7" t="str">
        <f>"29802021051116244790076"</f>
        <v>29802021051116244790076</v>
      </c>
      <c r="C796" s="7" t="s">
        <v>13</v>
      </c>
      <c r="D796" s="7" t="str">
        <f>"王清晴"</f>
        <v>王清晴</v>
      </c>
      <c r="E796" s="7" t="str">
        <f>"女"</f>
        <v>女</v>
      </c>
    </row>
    <row r="797" spans="1:5" ht="30" customHeight="1">
      <c r="A797" s="6">
        <v>795</v>
      </c>
      <c r="B797" s="7" t="str">
        <f>"29802021051116320890100"</f>
        <v>29802021051116320890100</v>
      </c>
      <c r="C797" s="7" t="s">
        <v>13</v>
      </c>
      <c r="D797" s="7" t="str">
        <f>"夏亚玉"</f>
        <v>夏亚玉</v>
      </c>
      <c r="E797" s="7" t="str">
        <f>"女"</f>
        <v>女</v>
      </c>
    </row>
    <row r="798" spans="1:5" ht="30" customHeight="1">
      <c r="A798" s="6">
        <v>796</v>
      </c>
      <c r="B798" s="7" t="str">
        <f>"29802021051116353490114"</f>
        <v>29802021051116353490114</v>
      </c>
      <c r="C798" s="7" t="s">
        <v>13</v>
      </c>
      <c r="D798" s="7" t="str">
        <f>"王丹"</f>
        <v>王丹</v>
      </c>
      <c r="E798" s="7" t="str">
        <f>"女"</f>
        <v>女</v>
      </c>
    </row>
    <row r="799" spans="1:5" ht="30" customHeight="1">
      <c r="A799" s="6">
        <v>797</v>
      </c>
      <c r="B799" s="7" t="str">
        <f>"29802021051117010190197"</f>
        <v>29802021051117010190197</v>
      </c>
      <c r="C799" s="7" t="s">
        <v>13</v>
      </c>
      <c r="D799" s="7" t="str">
        <f>"郭少轩"</f>
        <v>郭少轩</v>
      </c>
      <c r="E799" s="7" t="str">
        <f>"男"</f>
        <v>男</v>
      </c>
    </row>
    <row r="800" spans="1:5" ht="30" customHeight="1">
      <c r="A800" s="6">
        <v>798</v>
      </c>
      <c r="B800" s="7" t="str">
        <f>"29802021051117080690222"</f>
        <v>29802021051117080690222</v>
      </c>
      <c r="C800" s="7" t="s">
        <v>13</v>
      </c>
      <c r="D800" s="7" t="str">
        <f>"叶卓辉"</f>
        <v>叶卓辉</v>
      </c>
      <c r="E800" s="7" t="str">
        <f>"男"</f>
        <v>男</v>
      </c>
    </row>
    <row r="801" spans="1:5" ht="30" customHeight="1">
      <c r="A801" s="6">
        <v>799</v>
      </c>
      <c r="B801" s="7" t="str">
        <f>"29802021051117180990257"</f>
        <v>29802021051117180990257</v>
      </c>
      <c r="C801" s="7" t="s">
        <v>13</v>
      </c>
      <c r="D801" s="7" t="str">
        <f>"史双萍"</f>
        <v>史双萍</v>
      </c>
      <c r="E801" s="7" t="str">
        <f aca="true" t="shared" si="39" ref="E801:E817">"女"</f>
        <v>女</v>
      </c>
    </row>
    <row r="802" spans="1:5" ht="30" customHeight="1">
      <c r="A802" s="6">
        <v>800</v>
      </c>
      <c r="B802" s="7" t="str">
        <f>"29802021051117195390267"</f>
        <v>29802021051117195390267</v>
      </c>
      <c r="C802" s="7" t="s">
        <v>13</v>
      </c>
      <c r="D802" s="7" t="str">
        <f>"徐海珍"</f>
        <v>徐海珍</v>
      </c>
      <c r="E802" s="7" t="str">
        <f t="shared" si="39"/>
        <v>女</v>
      </c>
    </row>
    <row r="803" spans="1:5" ht="30" customHeight="1">
      <c r="A803" s="6">
        <v>801</v>
      </c>
      <c r="B803" s="7" t="str">
        <f>"29802021051117254290290"</f>
        <v>29802021051117254290290</v>
      </c>
      <c r="C803" s="7" t="s">
        <v>13</v>
      </c>
      <c r="D803" s="7" t="str">
        <f>"符兰妍"</f>
        <v>符兰妍</v>
      </c>
      <c r="E803" s="7" t="str">
        <f t="shared" si="39"/>
        <v>女</v>
      </c>
    </row>
    <row r="804" spans="1:5" ht="30" customHeight="1">
      <c r="A804" s="6">
        <v>802</v>
      </c>
      <c r="B804" s="7" t="str">
        <f>"29802021051117523190362"</f>
        <v>29802021051117523190362</v>
      </c>
      <c r="C804" s="7" t="s">
        <v>13</v>
      </c>
      <c r="D804" s="7" t="str">
        <f>"黄良琴"</f>
        <v>黄良琴</v>
      </c>
      <c r="E804" s="7" t="str">
        <f t="shared" si="39"/>
        <v>女</v>
      </c>
    </row>
    <row r="805" spans="1:5" ht="30" customHeight="1">
      <c r="A805" s="6">
        <v>803</v>
      </c>
      <c r="B805" s="7" t="str">
        <f>"29802021051117554290367"</f>
        <v>29802021051117554290367</v>
      </c>
      <c r="C805" s="7" t="s">
        <v>13</v>
      </c>
      <c r="D805" s="7" t="str">
        <f>"徐彩晶"</f>
        <v>徐彩晶</v>
      </c>
      <c r="E805" s="7" t="str">
        <f t="shared" si="39"/>
        <v>女</v>
      </c>
    </row>
    <row r="806" spans="1:5" ht="30" customHeight="1">
      <c r="A806" s="6">
        <v>804</v>
      </c>
      <c r="B806" s="7" t="str">
        <f>"29802021051118075890404"</f>
        <v>29802021051118075890404</v>
      </c>
      <c r="C806" s="7" t="s">
        <v>13</v>
      </c>
      <c r="D806" s="7" t="str">
        <f>"何石兰"</f>
        <v>何石兰</v>
      </c>
      <c r="E806" s="7" t="str">
        <f t="shared" si="39"/>
        <v>女</v>
      </c>
    </row>
    <row r="807" spans="1:5" ht="30" customHeight="1">
      <c r="A807" s="6">
        <v>805</v>
      </c>
      <c r="B807" s="7" t="str">
        <f>"29802021051118083490406"</f>
        <v>29802021051118083490406</v>
      </c>
      <c r="C807" s="7" t="s">
        <v>13</v>
      </c>
      <c r="D807" s="7" t="str">
        <f>"黄柳叶"</f>
        <v>黄柳叶</v>
      </c>
      <c r="E807" s="7" t="str">
        <f t="shared" si="39"/>
        <v>女</v>
      </c>
    </row>
    <row r="808" spans="1:5" ht="30" customHeight="1">
      <c r="A808" s="6">
        <v>806</v>
      </c>
      <c r="B808" s="7" t="str">
        <f>"29802021051118093890410"</f>
        <v>29802021051118093890410</v>
      </c>
      <c r="C808" s="7" t="s">
        <v>13</v>
      </c>
      <c r="D808" s="7" t="str">
        <f>"符晓芬"</f>
        <v>符晓芬</v>
      </c>
      <c r="E808" s="7" t="str">
        <f t="shared" si="39"/>
        <v>女</v>
      </c>
    </row>
    <row r="809" spans="1:5" ht="30" customHeight="1">
      <c r="A809" s="6">
        <v>807</v>
      </c>
      <c r="B809" s="7" t="str">
        <f>"29802021051118101990412"</f>
        <v>29802021051118101990412</v>
      </c>
      <c r="C809" s="7" t="s">
        <v>13</v>
      </c>
      <c r="D809" s="7" t="str">
        <f>"李英芷"</f>
        <v>李英芷</v>
      </c>
      <c r="E809" s="7" t="str">
        <f t="shared" si="39"/>
        <v>女</v>
      </c>
    </row>
    <row r="810" spans="1:5" ht="30" customHeight="1">
      <c r="A810" s="6">
        <v>808</v>
      </c>
      <c r="B810" s="7" t="str">
        <f>"29802021051118155490430"</f>
        <v>29802021051118155490430</v>
      </c>
      <c r="C810" s="7" t="s">
        <v>13</v>
      </c>
      <c r="D810" s="7" t="str">
        <f>"张教嫦"</f>
        <v>张教嫦</v>
      </c>
      <c r="E810" s="7" t="str">
        <f t="shared" si="39"/>
        <v>女</v>
      </c>
    </row>
    <row r="811" spans="1:5" ht="30" customHeight="1">
      <c r="A811" s="6">
        <v>809</v>
      </c>
      <c r="B811" s="7" t="str">
        <f>"29802021051118435190507"</f>
        <v>29802021051118435190507</v>
      </c>
      <c r="C811" s="7" t="s">
        <v>13</v>
      </c>
      <c r="D811" s="7" t="str">
        <f>"莫海媛"</f>
        <v>莫海媛</v>
      </c>
      <c r="E811" s="7" t="str">
        <f t="shared" si="39"/>
        <v>女</v>
      </c>
    </row>
    <row r="812" spans="1:5" ht="30" customHeight="1">
      <c r="A812" s="6">
        <v>810</v>
      </c>
      <c r="B812" s="7" t="str">
        <f>"29802021051118474490519"</f>
        <v>29802021051118474490519</v>
      </c>
      <c r="C812" s="7" t="s">
        <v>13</v>
      </c>
      <c r="D812" s="7" t="str">
        <f>"周大英"</f>
        <v>周大英</v>
      </c>
      <c r="E812" s="7" t="str">
        <f t="shared" si="39"/>
        <v>女</v>
      </c>
    </row>
    <row r="813" spans="1:5" ht="30" customHeight="1">
      <c r="A813" s="6">
        <v>811</v>
      </c>
      <c r="B813" s="7" t="str">
        <f>"29802021051118500190523"</f>
        <v>29802021051118500190523</v>
      </c>
      <c r="C813" s="7" t="s">
        <v>13</v>
      </c>
      <c r="D813" s="7" t="str">
        <f>"吴翠英"</f>
        <v>吴翠英</v>
      </c>
      <c r="E813" s="7" t="str">
        <f t="shared" si="39"/>
        <v>女</v>
      </c>
    </row>
    <row r="814" spans="1:5" ht="30" customHeight="1">
      <c r="A814" s="6">
        <v>812</v>
      </c>
      <c r="B814" s="7" t="str">
        <f>"29802021051119150490583"</f>
        <v>29802021051119150490583</v>
      </c>
      <c r="C814" s="7" t="s">
        <v>13</v>
      </c>
      <c r="D814" s="7" t="str">
        <f>"彭玲玲"</f>
        <v>彭玲玲</v>
      </c>
      <c r="E814" s="7" t="str">
        <f t="shared" si="39"/>
        <v>女</v>
      </c>
    </row>
    <row r="815" spans="1:5" ht="30" customHeight="1">
      <c r="A815" s="6">
        <v>813</v>
      </c>
      <c r="B815" s="7" t="str">
        <f>"29802021051119244190610"</f>
        <v>29802021051119244190610</v>
      </c>
      <c r="C815" s="7" t="s">
        <v>13</v>
      </c>
      <c r="D815" s="7" t="str">
        <f>"陈小慧"</f>
        <v>陈小慧</v>
      </c>
      <c r="E815" s="7" t="str">
        <f t="shared" si="39"/>
        <v>女</v>
      </c>
    </row>
    <row r="816" spans="1:5" ht="30" customHeight="1">
      <c r="A816" s="6">
        <v>814</v>
      </c>
      <c r="B816" s="7" t="str">
        <f>"29802021051119264190620"</f>
        <v>29802021051119264190620</v>
      </c>
      <c r="C816" s="7" t="s">
        <v>13</v>
      </c>
      <c r="D816" s="7" t="str">
        <f>"姚金秀"</f>
        <v>姚金秀</v>
      </c>
      <c r="E816" s="7" t="str">
        <f t="shared" si="39"/>
        <v>女</v>
      </c>
    </row>
    <row r="817" spans="1:5" ht="30" customHeight="1">
      <c r="A817" s="6">
        <v>815</v>
      </c>
      <c r="B817" s="7" t="str">
        <f>"29802021051119302790628"</f>
        <v>29802021051119302790628</v>
      </c>
      <c r="C817" s="7" t="s">
        <v>13</v>
      </c>
      <c r="D817" s="7" t="str">
        <f>"吴碧丹"</f>
        <v>吴碧丹</v>
      </c>
      <c r="E817" s="7" t="str">
        <f t="shared" si="39"/>
        <v>女</v>
      </c>
    </row>
    <row r="818" spans="1:5" ht="30" customHeight="1">
      <c r="A818" s="6">
        <v>816</v>
      </c>
      <c r="B818" s="7" t="str">
        <f>"29802021051119364890644"</f>
        <v>29802021051119364890644</v>
      </c>
      <c r="C818" s="7" t="s">
        <v>13</v>
      </c>
      <c r="D818" s="7" t="str">
        <f>"占忠忠"</f>
        <v>占忠忠</v>
      </c>
      <c r="E818" s="7" t="str">
        <f>"男"</f>
        <v>男</v>
      </c>
    </row>
    <row r="819" spans="1:5" ht="30" customHeight="1">
      <c r="A819" s="6">
        <v>817</v>
      </c>
      <c r="B819" s="7" t="str">
        <f>"29802021051119400190650"</f>
        <v>29802021051119400190650</v>
      </c>
      <c r="C819" s="7" t="s">
        <v>13</v>
      </c>
      <c r="D819" s="7" t="str">
        <f>"陈娇"</f>
        <v>陈娇</v>
      </c>
      <c r="E819" s="7" t="str">
        <f aca="true" t="shared" si="40" ref="E819:E840">"女"</f>
        <v>女</v>
      </c>
    </row>
    <row r="820" spans="1:5" ht="30" customHeight="1">
      <c r="A820" s="6">
        <v>818</v>
      </c>
      <c r="B820" s="7" t="str">
        <f>"29802021051119404290654"</f>
        <v>29802021051119404290654</v>
      </c>
      <c r="C820" s="7" t="s">
        <v>13</v>
      </c>
      <c r="D820" s="7" t="str">
        <f>"赵桐"</f>
        <v>赵桐</v>
      </c>
      <c r="E820" s="7" t="str">
        <f t="shared" si="40"/>
        <v>女</v>
      </c>
    </row>
    <row r="821" spans="1:5" ht="30" customHeight="1">
      <c r="A821" s="6">
        <v>819</v>
      </c>
      <c r="B821" s="7" t="str">
        <f>"29802021051119414790658"</f>
        <v>29802021051119414790658</v>
      </c>
      <c r="C821" s="7" t="s">
        <v>13</v>
      </c>
      <c r="D821" s="7" t="str">
        <f>"范宝莹"</f>
        <v>范宝莹</v>
      </c>
      <c r="E821" s="7" t="str">
        <f t="shared" si="40"/>
        <v>女</v>
      </c>
    </row>
    <row r="822" spans="1:5" ht="30" customHeight="1">
      <c r="A822" s="6">
        <v>820</v>
      </c>
      <c r="B822" s="7" t="str">
        <f>"29802021051119433890667"</f>
        <v>29802021051119433890667</v>
      </c>
      <c r="C822" s="7" t="s">
        <v>13</v>
      </c>
      <c r="D822" s="7" t="str">
        <f>"卢芳"</f>
        <v>卢芳</v>
      </c>
      <c r="E822" s="7" t="str">
        <f t="shared" si="40"/>
        <v>女</v>
      </c>
    </row>
    <row r="823" spans="1:5" ht="30" customHeight="1">
      <c r="A823" s="6">
        <v>821</v>
      </c>
      <c r="B823" s="7" t="str">
        <f>"29802021051119452190672"</f>
        <v>29802021051119452190672</v>
      </c>
      <c r="C823" s="7" t="s">
        <v>13</v>
      </c>
      <c r="D823" s="7" t="str">
        <f>"王朝静"</f>
        <v>王朝静</v>
      </c>
      <c r="E823" s="7" t="str">
        <f t="shared" si="40"/>
        <v>女</v>
      </c>
    </row>
    <row r="824" spans="1:5" ht="30" customHeight="1">
      <c r="A824" s="6">
        <v>822</v>
      </c>
      <c r="B824" s="7" t="str">
        <f>"29802021051119541690700"</f>
        <v>29802021051119541690700</v>
      </c>
      <c r="C824" s="7" t="s">
        <v>13</v>
      </c>
      <c r="D824" s="7" t="str">
        <f>"曾小仙"</f>
        <v>曾小仙</v>
      </c>
      <c r="E824" s="7" t="str">
        <f t="shared" si="40"/>
        <v>女</v>
      </c>
    </row>
    <row r="825" spans="1:5" ht="30" customHeight="1">
      <c r="A825" s="6">
        <v>823</v>
      </c>
      <c r="B825" s="7" t="str">
        <f>"29802021051120224990781"</f>
        <v>29802021051120224990781</v>
      </c>
      <c r="C825" s="7" t="s">
        <v>13</v>
      </c>
      <c r="D825" s="7" t="str">
        <f>"周书蓉"</f>
        <v>周书蓉</v>
      </c>
      <c r="E825" s="7" t="str">
        <f t="shared" si="40"/>
        <v>女</v>
      </c>
    </row>
    <row r="826" spans="1:5" ht="30" customHeight="1">
      <c r="A826" s="6">
        <v>824</v>
      </c>
      <c r="B826" s="7" t="str">
        <f>"29802021051120252690794"</f>
        <v>29802021051120252690794</v>
      </c>
      <c r="C826" s="7" t="s">
        <v>13</v>
      </c>
      <c r="D826" s="7" t="str">
        <f>"林尤雪"</f>
        <v>林尤雪</v>
      </c>
      <c r="E826" s="7" t="str">
        <f t="shared" si="40"/>
        <v>女</v>
      </c>
    </row>
    <row r="827" spans="1:5" ht="30" customHeight="1">
      <c r="A827" s="6">
        <v>825</v>
      </c>
      <c r="B827" s="7" t="str">
        <f>"29802021051120351590826"</f>
        <v>29802021051120351590826</v>
      </c>
      <c r="C827" s="7" t="s">
        <v>13</v>
      </c>
      <c r="D827" s="7" t="str">
        <f>"林焕柳"</f>
        <v>林焕柳</v>
      </c>
      <c r="E827" s="7" t="str">
        <f t="shared" si="40"/>
        <v>女</v>
      </c>
    </row>
    <row r="828" spans="1:5" ht="30" customHeight="1">
      <c r="A828" s="6">
        <v>826</v>
      </c>
      <c r="B828" s="7" t="str">
        <f>"29802021051120395290839"</f>
        <v>29802021051120395290839</v>
      </c>
      <c r="C828" s="7" t="s">
        <v>13</v>
      </c>
      <c r="D828" s="7" t="str">
        <f>"王岳敏"</f>
        <v>王岳敏</v>
      </c>
      <c r="E828" s="7" t="str">
        <f t="shared" si="40"/>
        <v>女</v>
      </c>
    </row>
    <row r="829" spans="1:5" ht="30" customHeight="1">
      <c r="A829" s="6">
        <v>827</v>
      </c>
      <c r="B829" s="7" t="str">
        <f>"29802021051121050990917"</f>
        <v>29802021051121050990917</v>
      </c>
      <c r="C829" s="7" t="s">
        <v>13</v>
      </c>
      <c r="D829" s="7" t="str">
        <f>"李小霜"</f>
        <v>李小霜</v>
      </c>
      <c r="E829" s="7" t="str">
        <f t="shared" si="40"/>
        <v>女</v>
      </c>
    </row>
    <row r="830" spans="1:5" ht="30" customHeight="1">
      <c r="A830" s="6">
        <v>828</v>
      </c>
      <c r="B830" s="7" t="str">
        <f>"29802021051121085390928"</f>
        <v>29802021051121085390928</v>
      </c>
      <c r="C830" s="7" t="s">
        <v>13</v>
      </c>
      <c r="D830" s="7" t="str">
        <f>"李紫媛"</f>
        <v>李紫媛</v>
      </c>
      <c r="E830" s="7" t="str">
        <f t="shared" si="40"/>
        <v>女</v>
      </c>
    </row>
    <row r="831" spans="1:5" ht="30" customHeight="1">
      <c r="A831" s="6">
        <v>829</v>
      </c>
      <c r="B831" s="7" t="str">
        <f>"29802021051121114290940"</f>
        <v>29802021051121114290940</v>
      </c>
      <c r="C831" s="7" t="s">
        <v>13</v>
      </c>
      <c r="D831" s="7" t="str">
        <f>"钟津津"</f>
        <v>钟津津</v>
      </c>
      <c r="E831" s="7" t="str">
        <f t="shared" si="40"/>
        <v>女</v>
      </c>
    </row>
    <row r="832" spans="1:5" ht="30" customHeight="1">
      <c r="A832" s="6">
        <v>830</v>
      </c>
      <c r="B832" s="7" t="str">
        <f>"29802021051121150690954"</f>
        <v>29802021051121150690954</v>
      </c>
      <c r="C832" s="7" t="s">
        <v>13</v>
      </c>
      <c r="D832" s="7" t="str">
        <f>"陈琳"</f>
        <v>陈琳</v>
      </c>
      <c r="E832" s="7" t="str">
        <f t="shared" si="40"/>
        <v>女</v>
      </c>
    </row>
    <row r="833" spans="1:5" ht="30" customHeight="1">
      <c r="A833" s="6">
        <v>831</v>
      </c>
      <c r="B833" s="7" t="str">
        <f>"29802021051121280590981"</f>
        <v>29802021051121280590981</v>
      </c>
      <c r="C833" s="7" t="s">
        <v>13</v>
      </c>
      <c r="D833" s="7" t="str">
        <f>"李荣英"</f>
        <v>李荣英</v>
      </c>
      <c r="E833" s="7" t="str">
        <f t="shared" si="40"/>
        <v>女</v>
      </c>
    </row>
    <row r="834" spans="1:5" ht="30" customHeight="1">
      <c r="A834" s="6">
        <v>832</v>
      </c>
      <c r="B834" s="7" t="str">
        <f>"29802021051121381591012"</f>
        <v>29802021051121381591012</v>
      </c>
      <c r="C834" s="7" t="s">
        <v>13</v>
      </c>
      <c r="D834" s="7" t="str">
        <f>"陈国珠"</f>
        <v>陈国珠</v>
      </c>
      <c r="E834" s="7" t="str">
        <f t="shared" si="40"/>
        <v>女</v>
      </c>
    </row>
    <row r="835" spans="1:5" ht="30" customHeight="1">
      <c r="A835" s="6">
        <v>833</v>
      </c>
      <c r="B835" s="7" t="str">
        <f>"29802021051121392691021"</f>
        <v>29802021051121392691021</v>
      </c>
      <c r="C835" s="7" t="s">
        <v>13</v>
      </c>
      <c r="D835" s="7" t="str">
        <f>"黎军利"</f>
        <v>黎军利</v>
      </c>
      <c r="E835" s="7" t="str">
        <f t="shared" si="40"/>
        <v>女</v>
      </c>
    </row>
    <row r="836" spans="1:5" ht="30" customHeight="1">
      <c r="A836" s="6">
        <v>834</v>
      </c>
      <c r="B836" s="7" t="str">
        <f>"29802021051121581091080"</f>
        <v>29802021051121581091080</v>
      </c>
      <c r="C836" s="7" t="s">
        <v>13</v>
      </c>
      <c r="D836" s="7" t="str">
        <f>"张曼"</f>
        <v>张曼</v>
      </c>
      <c r="E836" s="7" t="str">
        <f t="shared" si="40"/>
        <v>女</v>
      </c>
    </row>
    <row r="837" spans="1:5" ht="30" customHeight="1">
      <c r="A837" s="6">
        <v>835</v>
      </c>
      <c r="B837" s="7" t="str">
        <f>"29802021051121595491085"</f>
        <v>29802021051121595491085</v>
      </c>
      <c r="C837" s="7" t="s">
        <v>13</v>
      </c>
      <c r="D837" s="7" t="str">
        <f>"杨淇月"</f>
        <v>杨淇月</v>
      </c>
      <c r="E837" s="7" t="str">
        <f t="shared" si="40"/>
        <v>女</v>
      </c>
    </row>
    <row r="838" spans="1:5" ht="30" customHeight="1">
      <c r="A838" s="6">
        <v>836</v>
      </c>
      <c r="B838" s="7" t="str">
        <f>"29802021051122102091112"</f>
        <v>29802021051122102091112</v>
      </c>
      <c r="C838" s="7" t="s">
        <v>13</v>
      </c>
      <c r="D838" s="7" t="str">
        <f>"王日珠"</f>
        <v>王日珠</v>
      </c>
      <c r="E838" s="7" t="str">
        <f t="shared" si="40"/>
        <v>女</v>
      </c>
    </row>
    <row r="839" spans="1:5" ht="30" customHeight="1">
      <c r="A839" s="6">
        <v>837</v>
      </c>
      <c r="B839" s="7" t="str">
        <f>"29802021051122271391167"</f>
        <v>29802021051122271391167</v>
      </c>
      <c r="C839" s="7" t="s">
        <v>13</v>
      </c>
      <c r="D839" s="7" t="str">
        <f>"李玲"</f>
        <v>李玲</v>
      </c>
      <c r="E839" s="7" t="str">
        <f t="shared" si="40"/>
        <v>女</v>
      </c>
    </row>
    <row r="840" spans="1:5" ht="30" customHeight="1">
      <c r="A840" s="6">
        <v>838</v>
      </c>
      <c r="B840" s="7" t="str">
        <f>"29802021051122320191184"</f>
        <v>29802021051122320191184</v>
      </c>
      <c r="C840" s="7" t="s">
        <v>13</v>
      </c>
      <c r="D840" s="7" t="str">
        <f>"邹冬梅"</f>
        <v>邹冬梅</v>
      </c>
      <c r="E840" s="7" t="str">
        <f t="shared" si="40"/>
        <v>女</v>
      </c>
    </row>
    <row r="841" spans="1:5" ht="30" customHeight="1">
      <c r="A841" s="6">
        <v>839</v>
      </c>
      <c r="B841" s="7" t="str">
        <f>"29802021051122330191189"</f>
        <v>29802021051122330191189</v>
      </c>
      <c r="C841" s="7" t="s">
        <v>13</v>
      </c>
      <c r="D841" s="7" t="str">
        <f>"谢海聪"</f>
        <v>谢海聪</v>
      </c>
      <c r="E841" s="7" t="str">
        <f>"男"</f>
        <v>男</v>
      </c>
    </row>
    <row r="842" spans="1:5" ht="30" customHeight="1">
      <c r="A842" s="6">
        <v>840</v>
      </c>
      <c r="B842" s="7" t="str">
        <f>"29802021051122333991192"</f>
        <v>29802021051122333991192</v>
      </c>
      <c r="C842" s="7" t="s">
        <v>13</v>
      </c>
      <c r="D842" s="7" t="str">
        <f>"陈裕娴"</f>
        <v>陈裕娴</v>
      </c>
      <c r="E842" s="7" t="str">
        <f>"女"</f>
        <v>女</v>
      </c>
    </row>
    <row r="843" spans="1:5" ht="30" customHeight="1">
      <c r="A843" s="6">
        <v>841</v>
      </c>
      <c r="B843" s="7" t="str">
        <f>"29802021051122442291225"</f>
        <v>29802021051122442291225</v>
      </c>
      <c r="C843" s="7" t="s">
        <v>13</v>
      </c>
      <c r="D843" s="7" t="str">
        <f>"陈五站"</f>
        <v>陈五站</v>
      </c>
      <c r="E843" s="7" t="str">
        <f>"男"</f>
        <v>男</v>
      </c>
    </row>
    <row r="844" spans="1:5" ht="30" customHeight="1">
      <c r="A844" s="6">
        <v>842</v>
      </c>
      <c r="B844" s="7" t="str">
        <f>"29802021051123252191310"</f>
        <v>29802021051123252191310</v>
      </c>
      <c r="C844" s="7" t="s">
        <v>13</v>
      </c>
      <c r="D844" s="7" t="str">
        <f>"许碧丹"</f>
        <v>许碧丹</v>
      </c>
      <c r="E844" s="7" t="str">
        <f>"女"</f>
        <v>女</v>
      </c>
    </row>
    <row r="845" spans="1:5" ht="30" customHeight="1">
      <c r="A845" s="6">
        <v>843</v>
      </c>
      <c r="B845" s="7" t="str">
        <f>"29802021051200483291378"</f>
        <v>29802021051200483291378</v>
      </c>
      <c r="C845" s="7" t="s">
        <v>13</v>
      </c>
      <c r="D845" s="7" t="str">
        <f>"彭婕"</f>
        <v>彭婕</v>
      </c>
      <c r="E845" s="7" t="str">
        <f>"女"</f>
        <v>女</v>
      </c>
    </row>
    <row r="846" spans="1:5" ht="30" customHeight="1">
      <c r="A846" s="6">
        <v>844</v>
      </c>
      <c r="B846" s="7" t="str">
        <f>"29802021051207165491426"</f>
        <v>29802021051207165491426</v>
      </c>
      <c r="C846" s="7" t="s">
        <v>13</v>
      </c>
      <c r="D846" s="7" t="str">
        <f>"莫科威"</f>
        <v>莫科威</v>
      </c>
      <c r="E846" s="7" t="str">
        <f>"男"</f>
        <v>男</v>
      </c>
    </row>
    <row r="847" spans="1:5" ht="30" customHeight="1">
      <c r="A847" s="6">
        <v>845</v>
      </c>
      <c r="B847" s="7" t="str">
        <f>"29802021051207281191430"</f>
        <v>29802021051207281191430</v>
      </c>
      <c r="C847" s="7" t="s">
        <v>13</v>
      </c>
      <c r="D847" s="7" t="str">
        <f>"王广杨"</f>
        <v>王广杨</v>
      </c>
      <c r="E847" s="7" t="str">
        <f>"男"</f>
        <v>男</v>
      </c>
    </row>
    <row r="848" spans="1:5" ht="30" customHeight="1">
      <c r="A848" s="6">
        <v>846</v>
      </c>
      <c r="B848" s="7" t="str">
        <f>"29802021051207473791438"</f>
        <v>29802021051207473791438</v>
      </c>
      <c r="C848" s="7" t="s">
        <v>13</v>
      </c>
      <c r="D848" s="7" t="str">
        <f>"付晓宇"</f>
        <v>付晓宇</v>
      </c>
      <c r="E848" s="7" t="str">
        <f aca="true" t="shared" si="41" ref="E848:E859">"女"</f>
        <v>女</v>
      </c>
    </row>
    <row r="849" spans="1:5" ht="30" customHeight="1">
      <c r="A849" s="6">
        <v>847</v>
      </c>
      <c r="B849" s="7" t="str">
        <f>"29802021051208234291457"</f>
        <v>29802021051208234291457</v>
      </c>
      <c r="C849" s="7" t="s">
        <v>13</v>
      </c>
      <c r="D849" s="7" t="str">
        <f>"黄日华"</f>
        <v>黄日华</v>
      </c>
      <c r="E849" s="7" t="str">
        <f t="shared" si="41"/>
        <v>女</v>
      </c>
    </row>
    <row r="850" spans="1:5" ht="30" customHeight="1">
      <c r="A850" s="6">
        <v>848</v>
      </c>
      <c r="B850" s="7" t="str">
        <f>"29802021051208243991458"</f>
        <v>29802021051208243991458</v>
      </c>
      <c r="C850" s="7" t="s">
        <v>13</v>
      </c>
      <c r="D850" s="7" t="str">
        <f>"苏小菊"</f>
        <v>苏小菊</v>
      </c>
      <c r="E850" s="7" t="str">
        <f t="shared" si="41"/>
        <v>女</v>
      </c>
    </row>
    <row r="851" spans="1:5" ht="30" customHeight="1">
      <c r="A851" s="6">
        <v>849</v>
      </c>
      <c r="B851" s="7" t="str">
        <f>"29802021051208511091516"</f>
        <v>29802021051208511091516</v>
      </c>
      <c r="C851" s="7" t="s">
        <v>13</v>
      </c>
      <c r="D851" s="7" t="str">
        <f>"王和欣"</f>
        <v>王和欣</v>
      </c>
      <c r="E851" s="7" t="str">
        <f t="shared" si="41"/>
        <v>女</v>
      </c>
    </row>
    <row r="852" spans="1:5" ht="30" customHeight="1">
      <c r="A852" s="6">
        <v>850</v>
      </c>
      <c r="B852" s="7" t="str">
        <f>"29802021051209191591627"</f>
        <v>29802021051209191591627</v>
      </c>
      <c r="C852" s="7" t="s">
        <v>13</v>
      </c>
      <c r="D852" s="7" t="str">
        <f>"张桂冠"</f>
        <v>张桂冠</v>
      </c>
      <c r="E852" s="7" t="str">
        <f t="shared" si="41"/>
        <v>女</v>
      </c>
    </row>
    <row r="853" spans="1:5" ht="30" customHeight="1">
      <c r="A853" s="6">
        <v>851</v>
      </c>
      <c r="B853" s="7" t="str">
        <f>"29802021051209351491694"</f>
        <v>29802021051209351491694</v>
      </c>
      <c r="C853" s="7" t="s">
        <v>13</v>
      </c>
      <c r="D853" s="7" t="str">
        <f>"黄珍"</f>
        <v>黄珍</v>
      </c>
      <c r="E853" s="7" t="str">
        <f t="shared" si="41"/>
        <v>女</v>
      </c>
    </row>
    <row r="854" spans="1:5" ht="30" customHeight="1">
      <c r="A854" s="6">
        <v>852</v>
      </c>
      <c r="B854" s="7" t="str">
        <f>"29802021051209500291759"</f>
        <v>29802021051209500291759</v>
      </c>
      <c r="C854" s="7" t="s">
        <v>13</v>
      </c>
      <c r="D854" s="7" t="str">
        <f>"吴育芬"</f>
        <v>吴育芬</v>
      </c>
      <c r="E854" s="7" t="str">
        <f t="shared" si="41"/>
        <v>女</v>
      </c>
    </row>
    <row r="855" spans="1:5" ht="30" customHeight="1">
      <c r="A855" s="6">
        <v>853</v>
      </c>
      <c r="B855" s="7" t="str">
        <f>"29802021051209520391770"</f>
        <v>29802021051209520391770</v>
      </c>
      <c r="C855" s="7" t="s">
        <v>13</v>
      </c>
      <c r="D855" s="7" t="str">
        <f>"叶萍"</f>
        <v>叶萍</v>
      </c>
      <c r="E855" s="7" t="str">
        <f t="shared" si="41"/>
        <v>女</v>
      </c>
    </row>
    <row r="856" spans="1:5" ht="30" customHeight="1">
      <c r="A856" s="6">
        <v>854</v>
      </c>
      <c r="B856" s="7" t="str">
        <f>"29802021051209541291778"</f>
        <v>29802021051209541291778</v>
      </c>
      <c r="C856" s="7" t="s">
        <v>13</v>
      </c>
      <c r="D856" s="7" t="str">
        <f>"叶蕾"</f>
        <v>叶蕾</v>
      </c>
      <c r="E856" s="7" t="str">
        <f t="shared" si="41"/>
        <v>女</v>
      </c>
    </row>
    <row r="857" spans="1:5" ht="30" customHeight="1">
      <c r="A857" s="6">
        <v>855</v>
      </c>
      <c r="B857" s="7" t="str">
        <f>"29802021051210035691820"</f>
        <v>29802021051210035691820</v>
      </c>
      <c r="C857" s="7" t="s">
        <v>13</v>
      </c>
      <c r="D857" s="7" t="str">
        <f>"陆娇娇"</f>
        <v>陆娇娇</v>
      </c>
      <c r="E857" s="7" t="str">
        <f t="shared" si="41"/>
        <v>女</v>
      </c>
    </row>
    <row r="858" spans="1:5" ht="30" customHeight="1">
      <c r="A858" s="6">
        <v>856</v>
      </c>
      <c r="B858" s="7" t="str">
        <f>"29802021051210155191880"</f>
        <v>29802021051210155191880</v>
      </c>
      <c r="C858" s="7" t="s">
        <v>13</v>
      </c>
      <c r="D858" s="7" t="str">
        <f>"王晓菊"</f>
        <v>王晓菊</v>
      </c>
      <c r="E858" s="7" t="str">
        <f t="shared" si="41"/>
        <v>女</v>
      </c>
    </row>
    <row r="859" spans="1:5" ht="30" customHeight="1">
      <c r="A859" s="6">
        <v>857</v>
      </c>
      <c r="B859" s="7" t="str">
        <f>"29802021051210230991916"</f>
        <v>29802021051210230991916</v>
      </c>
      <c r="C859" s="7" t="s">
        <v>13</v>
      </c>
      <c r="D859" s="7" t="str">
        <f>"肖媛媛"</f>
        <v>肖媛媛</v>
      </c>
      <c r="E859" s="7" t="str">
        <f t="shared" si="41"/>
        <v>女</v>
      </c>
    </row>
    <row r="860" spans="1:5" ht="30" customHeight="1">
      <c r="A860" s="6">
        <v>858</v>
      </c>
      <c r="B860" s="7" t="str">
        <f>"29802021051210242291922"</f>
        <v>29802021051210242291922</v>
      </c>
      <c r="C860" s="7" t="s">
        <v>13</v>
      </c>
      <c r="D860" s="7" t="str">
        <f>"周振誉"</f>
        <v>周振誉</v>
      </c>
      <c r="E860" s="7" t="str">
        <f>"男"</f>
        <v>男</v>
      </c>
    </row>
    <row r="861" spans="1:5" ht="30" customHeight="1">
      <c r="A861" s="6">
        <v>859</v>
      </c>
      <c r="B861" s="7" t="str">
        <f>"29802021051210320491964"</f>
        <v>29802021051210320491964</v>
      </c>
      <c r="C861" s="7" t="s">
        <v>13</v>
      </c>
      <c r="D861" s="7" t="str">
        <f>"文梅燕"</f>
        <v>文梅燕</v>
      </c>
      <c r="E861" s="7" t="str">
        <f aca="true" t="shared" si="42" ref="E861:E875">"女"</f>
        <v>女</v>
      </c>
    </row>
    <row r="862" spans="1:5" ht="30" customHeight="1">
      <c r="A862" s="6">
        <v>860</v>
      </c>
      <c r="B862" s="7" t="str">
        <f>"29802021051210364491982"</f>
        <v>29802021051210364491982</v>
      </c>
      <c r="C862" s="7" t="s">
        <v>13</v>
      </c>
      <c r="D862" s="7" t="str">
        <f>"黎丽菁"</f>
        <v>黎丽菁</v>
      </c>
      <c r="E862" s="7" t="str">
        <f t="shared" si="42"/>
        <v>女</v>
      </c>
    </row>
    <row r="863" spans="1:5" ht="30" customHeight="1">
      <c r="A863" s="6">
        <v>861</v>
      </c>
      <c r="B863" s="7" t="str">
        <f>"29802021051210561892108"</f>
        <v>29802021051210561892108</v>
      </c>
      <c r="C863" s="7" t="s">
        <v>13</v>
      </c>
      <c r="D863" s="7" t="str">
        <f>"戴雅婷"</f>
        <v>戴雅婷</v>
      </c>
      <c r="E863" s="7" t="str">
        <f t="shared" si="42"/>
        <v>女</v>
      </c>
    </row>
    <row r="864" spans="1:5" ht="30" customHeight="1">
      <c r="A864" s="6">
        <v>862</v>
      </c>
      <c r="B864" s="7" t="str">
        <f>"29802021051211124592173"</f>
        <v>29802021051211124592173</v>
      </c>
      <c r="C864" s="7" t="s">
        <v>13</v>
      </c>
      <c r="D864" s="7" t="str">
        <f>"田卫平"</f>
        <v>田卫平</v>
      </c>
      <c r="E864" s="7" t="str">
        <f t="shared" si="42"/>
        <v>女</v>
      </c>
    </row>
    <row r="865" spans="1:5" ht="30" customHeight="1">
      <c r="A865" s="6">
        <v>863</v>
      </c>
      <c r="B865" s="7" t="str">
        <f>"29802021051211201892204"</f>
        <v>29802021051211201892204</v>
      </c>
      <c r="C865" s="7" t="s">
        <v>13</v>
      </c>
      <c r="D865" s="7" t="str">
        <f>"莫品晶"</f>
        <v>莫品晶</v>
      </c>
      <c r="E865" s="7" t="str">
        <f t="shared" si="42"/>
        <v>女</v>
      </c>
    </row>
    <row r="866" spans="1:5" ht="30" customHeight="1">
      <c r="A866" s="6">
        <v>864</v>
      </c>
      <c r="B866" s="7" t="str">
        <f>"29802021051211204492206"</f>
        <v>29802021051211204492206</v>
      </c>
      <c r="C866" s="7" t="s">
        <v>13</v>
      </c>
      <c r="D866" s="7" t="str">
        <f>"陈莉"</f>
        <v>陈莉</v>
      </c>
      <c r="E866" s="7" t="str">
        <f t="shared" si="42"/>
        <v>女</v>
      </c>
    </row>
    <row r="867" spans="1:5" ht="30" customHeight="1">
      <c r="A867" s="6">
        <v>865</v>
      </c>
      <c r="B867" s="7" t="str">
        <f>"29802021051211352692267"</f>
        <v>29802021051211352692267</v>
      </c>
      <c r="C867" s="7" t="s">
        <v>13</v>
      </c>
      <c r="D867" s="7" t="str">
        <f>"陈育群"</f>
        <v>陈育群</v>
      </c>
      <c r="E867" s="7" t="str">
        <f t="shared" si="42"/>
        <v>女</v>
      </c>
    </row>
    <row r="868" spans="1:5" ht="30" customHeight="1">
      <c r="A868" s="6">
        <v>866</v>
      </c>
      <c r="B868" s="7" t="str">
        <f>"29802021051211384992280"</f>
        <v>29802021051211384992280</v>
      </c>
      <c r="C868" s="7" t="s">
        <v>13</v>
      </c>
      <c r="D868" s="7" t="str">
        <f>"朱代振"</f>
        <v>朱代振</v>
      </c>
      <c r="E868" s="7" t="str">
        <f t="shared" si="42"/>
        <v>女</v>
      </c>
    </row>
    <row r="869" spans="1:5" ht="30" customHeight="1">
      <c r="A869" s="6">
        <v>867</v>
      </c>
      <c r="B869" s="7" t="str">
        <f>"29802021051211445392302"</f>
        <v>29802021051211445392302</v>
      </c>
      <c r="C869" s="7" t="s">
        <v>13</v>
      </c>
      <c r="D869" s="7" t="str">
        <f>"林本平"</f>
        <v>林本平</v>
      </c>
      <c r="E869" s="7" t="str">
        <f t="shared" si="42"/>
        <v>女</v>
      </c>
    </row>
    <row r="870" spans="1:5" ht="30" customHeight="1">
      <c r="A870" s="6">
        <v>868</v>
      </c>
      <c r="B870" s="7" t="str">
        <f>"29802021051211510092324"</f>
        <v>29802021051211510092324</v>
      </c>
      <c r="C870" s="7" t="s">
        <v>13</v>
      </c>
      <c r="D870" s="7" t="str">
        <f>"周艳玲"</f>
        <v>周艳玲</v>
      </c>
      <c r="E870" s="7" t="str">
        <f t="shared" si="42"/>
        <v>女</v>
      </c>
    </row>
    <row r="871" spans="1:5" ht="30" customHeight="1">
      <c r="A871" s="6">
        <v>869</v>
      </c>
      <c r="B871" s="7" t="str">
        <f>"29802021051212164592389"</f>
        <v>29802021051212164592389</v>
      </c>
      <c r="C871" s="7" t="s">
        <v>13</v>
      </c>
      <c r="D871" s="7" t="str">
        <f>"黎惠"</f>
        <v>黎惠</v>
      </c>
      <c r="E871" s="7" t="str">
        <f t="shared" si="42"/>
        <v>女</v>
      </c>
    </row>
    <row r="872" spans="1:5" ht="30" customHeight="1">
      <c r="A872" s="6">
        <v>870</v>
      </c>
      <c r="B872" s="7" t="str">
        <f>"29802021051212232192407"</f>
        <v>29802021051212232192407</v>
      </c>
      <c r="C872" s="7" t="s">
        <v>13</v>
      </c>
      <c r="D872" s="7" t="str">
        <f>"陈瑜"</f>
        <v>陈瑜</v>
      </c>
      <c r="E872" s="7" t="str">
        <f t="shared" si="42"/>
        <v>女</v>
      </c>
    </row>
    <row r="873" spans="1:5" ht="30" customHeight="1">
      <c r="A873" s="6">
        <v>871</v>
      </c>
      <c r="B873" s="7" t="str">
        <f>"29802021051212490492486"</f>
        <v>29802021051212490492486</v>
      </c>
      <c r="C873" s="7" t="s">
        <v>13</v>
      </c>
      <c r="D873" s="7" t="str">
        <f>"翁小春"</f>
        <v>翁小春</v>
      </c>
      <c r="E873" s="7" t="str">
        <f t="shared" si="42"/>
        <v>女</v>
      </c>
    </row>
    <row r="874" spans="1:5" ht="30" customHeight="1">
      <c r="A874" s="6">
        <v>872</v>
      </c>
      <c r="B874" s="7" t="str">
        <f>"29802021051213004492529"</f>
        <v>29802021051213004492529</v>
      </c>
      <c r="C874" s="7" t="s">
        <v>13</v>
      </c>
      <c r="D874" s="7" t="str">
        <f>"黎家慧"</f>
        <v>黎家慧</v>
      </c>
      <c r="E874" s="7" t="str">
        <f t="shared" si="42"/>
        <v>女</v>
      </c>
    </row>
    <row r="875" spans="1:5" ht="30" customHeight="1">
      <c r="A875" s="6">
        <v>873</v>
      </c>
      <c r="B875" s="7" t="str">
        <f>"29802021051213083892557"</f>
        <v>29802021051213083892557</v>
      </c>
      <c r="C875" s="7" t="s">
        <v>13</v>
      </c>
      <c r="D875" s="7" t="str">
        <f>"林月嫦"</f>
        <v>林月嫦</v>
      </c>
      <c r="E875" s="7" t="str">
        <f t="shared" si="42"/>
        <v>女</v>
      </c>
    </row>
    <row r="876" spans="1:5" ht="30" customHeight="1">
      <c r="A876" s="6">
        <v>874</v>
      </c>
      <c r="B876" s="7" t="str">
        <f>"29802021051213170692586"</f>
        <v>29802021051213170692586</v>
      </c>
      <c r="C876" s="7" t="s">
        <v>13</v>
      </c>
      <c r="D876" s="7" t="str">
        <f>"张夏鹏"</f>
        <v>张夏鹏</v>
      </c>
      <c r="E876" s="7" t="str">
        <f>"男"</f>
        <v>男</v>
      </c>
    </row>
    <row r="877" spans="1:5" ht="30" customHeight="1">
      <c r="A877" s="6">
        <v>875</v>
      </c>
      <c r="B877" s="7" t="str">
        <f>"29802021051213295692611"</f>
        <v>29802021051213295692611</v>
      </c>
      <c r="C877" s="7" t="s">
        <v>13</v>
      </c>
      <c r="D877" s="7" t="str">
        <f>"陈重元"</f>
        <v>陈重元</v>
      </c>
      <c r="E877" s="7" t="str">
        <f>"女"</f>
        <v>女</v>
      </c>
    </row>
    <row r="878" spans="1:5" ht="30" customHeight="1">
      <c r="A878" s="6">
        <v>876</v>
      </c>
      <c r="B878" s="7" t="str">
        <f>"29802021051214071292667"</f>
        <v>29802021051214071292667</v>
      </c>
      <c r="C878" s="7" t="s">
        <v>13</v>
      </c>
      <c r="D878" s="7" t="str">
        <f>"苏英桥"</f>
        <v>苏英桥</v>
      </c>
      <c r="E878" s="7" t="str">
        <f>"女"</f>
        <v>女</v>
      </c>
    </row>
    <row r="879" spans="1:5" ht="30" customHeight="1">
      <c r="A879" s="6">
        <v>877</v>
      </c>
      <c r="B879" s="7" t="str">
        <f>"29802021051214153392681"</f>
        <v>29802021051214153392681</v>
      </c>
      <c r="C879" s="7" t="s">
        <v>13</v>
      </c>
      <c r="D879" s="7" t="str">
        <f>"高振亚"</f>
        <v>高振亚</v>
      </c>
      <c r="E879" s="7" t="str">
        <f>"男"</f>
        <v>男</v>
      </c>
    </row>
    <row r="880" spans="1:5" ht="30" customHeight="1">
      <c r="A880" s="6">
        <v>878</v>
      </c>
      <c r="B880" s="7" t="str">
        <f>"29802021051214222692698"</f>
        <v>29802021051214222692698</v>
      </c>
      <c r="C880" s="7" t="s">
        <v>13</v>
      </c>
      <c r="D880" s="7" t="str">
        <f>"吴小妹"</f>
        <v>吴小妹</v>
      </c>
      <c r="E880" s="7" t="str">
        <f aca="true" t="shared" si="43" ref="E880:E909">"女"</f>
        <v>女</v>
      </c>
    </row>
    <row r="881" spans="1:5" ht="30" customHeight="1">
      <c r="A881" s="6">
        <v>879</v>
      </c>
      <c r="B881" s="7" t="str">
        <f>"29802021051214441192750"</f>
        <v>29802021051214441192750</v>
      </c>
      <c r="C881" s="7" t="s">
        <v>13</v>
      </c>
      <c r="D881" s="7" t="str">
        <f>"陈婷"</f>
        <v>陈婷</v>
      </c>
      <c r="E881" s="7" t="str">
        <f t="shared" si="43"/>
        <v>女</v>
      </c>
    </row>
    <row r="882" spans="1:5" ht="30" customHeight="1">
      <c r="A882" s="6">
        <v>880</v>
      </c>
      <c r="B882" s="7" t="str">
        <f>"29802021051214513392771"</f>
        <v>29802021051214513392771</v>
      </c>
      <c r="C882" s="7" t="s">
        <v>13</v>
      </c>
      <c r="D882" s="7" t="str">
        <f>"邱帮雪"</f>
        <v>邱帮雪</v>
      </c>
      <c r="E882" s="7" t="str">
        <f t="shared" si="43"/>
        <v>女</v>
      </c>
    </row>
    <row r="883" spans="1:5" ht="30" customHeight="1">
      <c r="A883" s="6">
        <v>881</v>
      </c>
      <c r="B883" s="7" t="str">
        <f>"29802021051214535092775"</f>
        <v>29802021051214535092775</v>
      </c>
      <c r="C883" s="7" t="s">
        <v>13</v>
      </c>
      <c r="D883" s="7" t="str">
        <f>"梁凤青"</f>
        <v>梁凤青</v>
      </c>
      <c r="E883" s="7" t="str">
        <f t="shared" si="43"/>
        <v>女</v>
      </c>
    </row>
    <row r="884" spans="1:5" ht="30" customHeight="1">
      <c r="A884" s="6">
        <v>882</v>
      </c>
      <c r="B884" s="7" t="str">
        <f>"29802021051215032292815"</f>
        <v>29802021051215032292815</v>
      </c>
      <c r="C884" s="7" t="s">
        <v>13</v>
      </c>
      <c r="D884" s="7" t="str">
        <f>"周惠婷"</f>
        <v>周惠婷</v>
      </c>
      <c r="E884" s="7" t="str">
        <f t="shared" si="43"/>
        <v>女</v>
      </c>
    </row>
    <row r="885" spans="1:5" ht="30" customHeight="1">
      <c r="A885" s="6">
        <v>883</v>
      </c>
      <c r="B885" s="7" t="str">
        <f>"29802021051215064592830"</f>
        <v>29802021051215064592830</v>
      </c>
      <c r="C885" s="7" t="s">
        <v>13</v>
      </c>
      <c r="D885" s="7" t="str">
        <f>"奚翠莹"</f>
        <v>奚翠莹</v>
      </c>
      <c r="E885" s="7" t="str">
        <f t="shared" si="43"/>
        <v>女</v>
      </c>
    </row>
    <row r="886" spans="1:5" ht="30" customHeight="1">
      <c r="A886" s="6">
        <v>884</v>
      </c>
      <c r="B886" s="7" t="str">
        <f>"29802021051215282292921"</f>
        <v>29802021051215282292921</v>
      </c>
      <c r="C886" s="7" t="s">
        <v>13</v>
      </c>
      <c r="D886" s="7" t="str">
        <f>"范聪"</f>
        <v>范聪</v>
      </c>
      <c r="E886" s="7" t="str">
        <f t="shared" si="43"/>
        <v>女</v>
      </c>
    </row>
    <row r="887" spans="1:5" ht="30" customHeight="1">
      <c r="A887" s="6">
        <v>885</v>
      </c>
      <c r="B887" s="7" t="str">
        <f>"29802021051215350392952"</f>
        <v>29802021051215350392952</v>
      </c>
      <c r="C887" s="7" t="s">
        <v>13</v>
      </c>
      <c r="D887" s="7" t="str">
        <f>"魏丽萍"</f>
        <v>魏丽萍</v>
      </c>
      <c r="E887" s="7" t="str">
        <f t="shared" si="43"/>
        <v>女</v>
      </c>
    </row>
    <row r="888" spans="1:5" ht="30" customHeight="1">
      <c r="A888" s="6">
        <v>886</v>
      </c>
      <c r="B888" s="7" t="str">
        <f>"29802021051215460792992"</f>
        <v>29802021051215460792992</v>
      </c>
      <c r="C888" s="7" t="s">
        <v>13</v>
      </c>
      <c r="D888" s="7" t="str">
        <f>"王金美"</f>
        <v>王金美</v>
      </c>
      <c r="E888" s="7" t="str">
        <f t="shared" si="43"/>
        <v>女</v>
      </c>
    </row>
    <row r="889" spans="1:5" ht="30" customHeight="1">
      <c r="A889" s="6">
        <v>887</v>
      </c>
      <c r="B889" s="7" t="str">
        <f>"29802021051215504893014"</f>
        <v>29802021051215504893014</v>
      </c>
      <c r="C889" s="7" t="s">
        <v>13</v>
      </c>
      <c r="D889" s="7" t="str">
        <f>"梁三妹"</f>
        <v>梁三妹</v>
      </c>
      <c r="E889" s="7" t="str">
        <f t="shared" si="43"/>
        <v>女</v>
      </c>
    </row>
    <row r="890" spans="1:5" ht="30" customHeight="1">
      <c r="A890" s="6">
        <v>888</v>
      </c>
      <c r="B890" s="7" t="str">
        <f>"29802021051215524293024"</f>
        <v>29802021051215524293024</v>
      </c>
      <c r="C890" s="7" t="s">
        <v>13</v>
      </c>
      <c r="D890" s="7" t="str">
        <f>"苏秋梅"</f>
        <v>苏秋梅</v>
      </c>
      <c r="E890" s="7" t="str">
        <f t="shared" si="43"/>
        <v>女</v>
      </c>
    </row>
    <row r="891" spans="1:5" ht="30" customHeight="1">
      <c r="A891" s="6">
        <v>889</v>
      </c>
      <c r="B891" s="7" t="str">
        <f>"29802021051215530293027"</f>
        <v>29802021051215530293027</v>
      </c>
      <c r="C891" s="7" t="s">
        <v>13</v>
      </c>
      <c r="D891" s="7" t="str">
        <f>"郭小芳"</f>
        <v>郭小芳</v>
      </c>
      <c r="E891" s="7" t="str">
        <f t="shared" si="43"/>
        <v>女</v>
      </c>
    </row>
    <row r="892" spans="1:5" ht="30" customHeight="1">
      <c r="A892" s="6">
        <v>890</v>
      </c>
      <c r="B892" s="7" t="str">
        <f>"29802021051215565593040"</f>
        <v>29802021051215565593040</v>
      </c>
      <c r="C892" s="7" t="s">
        <v>13</v>
      </c>
      <c r="D892" s="7" t="str">
        <f>"林嘉颖"</f>
        <v>林嘉颖</v>
      </c>
      <c r="E892" s="7" t="str">
        <f t="shared" si="43"/>
        <v>女</v>
      </c>
    </row>
    <row r="893" spans="1:5" ht="30" customHeight="1">
      <c r="A893" s="6">
        <v>891</v>
      </c>
      <c r="B893" s="7" t="str">
        <f>"29802021051216344693184"</f>
        <v>29802021051216344693184</v>
      </c>
      <c r="C893" s="7" t="s">
        <v>13</v>
      </c>
      <c r="D893" s="7" t="str">
        <f>"王晓雯"</f>
        <v>王晓雯</v>
      </c>
      <c r="E893" s="7" t="str">
        <f t="shared" si="43"/>
        <v>女</v>
      </c>
    </row>
    <row r="894" spans="1:5" ht="30" customHeight="1">
      <c r="A894" s="6">
        <v>892</v>
      </c>
      <c r="B894" s="7" t="str">
        <f>"29802021051216372693202"</f>
        <v>29802021051216372693202</v>
      </c>
      <c r="C894" s="7" t="s">
        <v>13</v>
      </c>
      <c r="D894" s="7" t="str">
        <f>"吴儒菊"</f>
        <v>吴儒菊</v>
      </c>
      <c r="E894" s="7" t="str">
        <f t="shared" si="43"/>
        <v>女</v>
      </c>
    </row>
    <row r="895" spans="1:5" ht="30" customHeight="1">
      <c r="A895" s="6">
        <v>893</v>
      </c>
      <c r="B895" s="7" t="str">
        <f>"29802021051216515893275"</f>
        <v>29802021051216515893275</v>
      </c>
      <c r="C895" s="7" t="s">
        <v>13</v>
      </c>
      <c r="D895" s="7" t="str">
        <f>"郑春南"</f>
        <v>郑春南</v>
      </c>
      <c r="E895" s="7" t="str">
        <f t="shared" si="43"/>
        <v>女</v>
      </c>
    </row>
    <row r="896" spans="1:5" ht="30" customHeight="1">
      <c r="A896" s="6">
        <v>894</v>
      </c>
      <c r="B896" s="7" t="str">
        <f>"29802021051217013993312"</f>
        <v>29802021051217013993312</v>
      </c>
      <c r="C896" s="7" t="s">
        <v>13</v>
      </c>
      <c r="D896" s="7" t="str">
        <f>"严茜"</f>
        <v>严茜</v>
      </c>
      <c r="E896" s="7" t="str">
        <f t="shared" si="43"/>
        <v>女</v>
      </c>
    </row>
    <row r="897" spans="1:5" ht="30" customHeight="1">
      <c r="A897" s="6">
        <v>895</v>
      </c>
      <c r="B897" s="7" t="str">
        <f>"29802021051217075893338"</f>
        <v>29802021051217075893338</v>
      </c>
      <c r="C897" s="7" t="s">
        <v>13</v>
      </c>
      <c r="D897" s="7" t="str">
        <f>"谭亿肖"</f>
        <v>谭亿肖</v>
      </c>
      <c r="E897" s="7" t="str">
        <f t="shared" si="43"/>
        <v>女</v>
      </c>
    </row>
    <row r="898" spans="1:5" ht="30" customHeight="1">
      <c r="A898" s="6">
        <v>896</v>
      </c>
      <c r="B898" s="7" t="str">
        <f>"29802021051217235093388"</f>
        <v>29802021051217235093388</v>
      </c>
      <c r="C898" s="7" t="s">
        <v>13</v>
      </c>
      <c r="D898" s="7" t="str">
        <f>"王焕芳"</f>
        <v>王焕芳</v>
      </c>
      <c r="E898" s="7" t="str">
        <f t="shared" si="43"/>
        <v>女</v>
      </c>
    </row>
    <row r="899" spans="1:5" ht="30" customHeight="1">
      <c r="A899" s="6">
        <v>897</v>
      </c>
      <c r="B899" s="7" t="str">
        <f>"29802021051217251793392"</f>
        <v>29802021051217251793392</v>
      </c>
      <c r="C899" s="7" t="s">
        <v>13</v>
      </c>
      <c r="D899" s="7" t="str">
        <f>"陈小宇"</f>
        <v>陈小宇</v>
      </c>
      <c r="E899" s="7" t="str">
        <f t="shared" si="43"/>
        <v>女</v>
      </c>
    </row>
    <row r="900" spans="1:5" ht="30" customHeight="1">
      <c r="A900" s="6">
        <v>898</v>
      </c>
      <c r="B900" s="7" t="str">
        <f>"29802021051217301893411"</f>
        <v>29802021051217301893411</v>
      </c>
      <c r="C900" s="7" t="s">
        <v>13</v>
      </c>
      <c r="D900" s="7" t="str">
        <f>"陈瑞雪"</f>
        <v>陈瑞雪</v>
      </c>
      <c r="E900" s="7" t="str">
        <f t="shared" si="43"/>
        <v>女</v>
      </c>
    </row>
    <row r="901" spans="1:5" ht="30" customHeight="1">
      <c r="A901" s="6">
        <v>899</v>
      </c>
      <c r="B901" s="7" t="str">
        <f>"29802021051217592893479"</f>
        <v>29802021051217592893479</v>
      </c>
      <c r="C901" s="7" t="s">
        <v>13</v>
      </c>
      <c r="D901" s="7" t="str">
        <f>"王琴"</f>
        <v>王琴</v>
      </c>
      <c r="E901" s="7" t="str">
        <f t="shared" si="43"/>
        <v>女</v>
      </c>
    </row>
    <row r="902" spans="1:5" ht="30" customHeight="1">
      <c r="A902" s="6">
        <v>900</v>
      </c>
      <c r="B902" s="7" t="str">
        <f>"29802021051218252993528"</f>
        <v>29802021051218252993528</v>
      </c>
      <c r="C902" s="7" t="s">
        <v>13</v>
      </c>
      <c r="D902" s="7" t="str">
        <f>"魏丽婷"</f>
        <v>魏丽婷</v>
      </c>
      <c r="E902" s="7" t="str">
        <f t="shared" si="43"/>
        <v>女</v>
      </c>
    </row>
    <row r="903" spans="1:5" ht="30" customHeight="1">
      <c r="A903" s="6">
        <v>901</v>
      </c>
      <c r="B903" s="7" t="str">
        <f>"29802021051218263993529"</f>
        <v>29802021051218263993529</v>
      </c>
      <c r="C903" s="7" t="s">
        <v>13</v>
      </c>
      <c r="D903" s="7" t="str">
        <f>"林慧芳"</f>
        <v>林慧芳</v>
      </c>
      <c r="E903" s="7" t="str">
        <f t="shared" si="43"/>
        <v>女</v>
      </c>
    </row>
    <row r="904" spans="1:5" ht="30" customHeight="1">
      <c r="A904" s="6">
        <v>902</v>
      </c>
      <c r="B904" s="7" t="str">
        <f>"29802021051218284293530"</f>
        <v>29802021051218284293530</v>
      </c>
      <c r="C904" s="7" t="s">
        <v>13</v>
      </c>
      <c r="D904" s="7" t="str">
        <f>"薛秀乾"</f>
        <v>薛秀乾</v>
      </c>
      <c r="E904" s="7" t="str">
        <f t="shared" si="43"/>
        <v>女</v>
      </c>
    </row>
    <row r="905" spans="1:5" ht="30" customHeight="1">
      <c r="A905" s="6">
        <v>903</v>
      </c>
      <c r="B905" s="7" t="str">
        <f>"29802021051218424293562"</f>
        <v>29802021051218424293562</v>
      </c>
      <c r="C905" s="7" t="s">
        <v>13</v>
      </c>
      <c r="D905" s="7" t="str">
        <f>"苏莉莉"</f>
        <v>苏莉莉</v>
      </c>
      <c r="E905" s="7" t="str">
        <f t="shared" si="43"/>
        <v>女</v>
      </c>
    </row>
    <row r="906" spans="1:5" ht="30" customHeight="1">
      <c r="A906" s="6">
        <v>904</v>
      </c>
      <c r="B906" s="7" t="str">
        <f>"29802021051218543293582"</f>
        <v>29802021051218543293582</v>
      </c>
      <c r="C906" s="7" t="s">
        <v>13</v>
      </c>
      <c r="D906" s="7" t="str">
        <f>"潘容"</f>
        <v>潘容</v>
      </c>
      <c r="E906" s="7" t="str">
        <f t="shared" si="43"/>
        <v>女</v>
      </c>
    </row>
    <row r="907" spans="1:5" ht="30" customHeight="1">
      <c r="A907" s="6">
        <v>905</v>
      </c>
      <c r="B907" s="7" t="str">
        <f>"29802021051218595793587"</f>
        <v>29802021051218595793587</v>
      </c>
      <c r="C907" s="7" t="s">
        <v>13</v>
      </c>
      <c r="D907" s="7" t="str">
        <f>"王红棉"</f>
        <v>王红棉</v>
      </c>
      <c r="E907" s="7" t="str">
        <f t="shared" si="43"/>
        <v>女</v>
      </c>
    </row>
    <row r="908" spans="1:5" ht="30" customHeight="1">
      <c r="A908" s="6">
        <v>906</v>
      </c>
      <c r="B908" s="7" t="str">
        <f>"29802021051218595993588"</f>
        <v>29802021051218595993588</v>
      </c>
      <c r="C908" s="7" t="s">
        <v>13</v>
      </c>
      <c r="D908" s="7" t="str">
        <f>"王鑫花"</f>
        <v>王鑫花</v>
      </c>
      <c r="E908" s="7" t="str">
        <f t="shared" si="43"/>
        <v>女</v>
      </c>
    </row>
    <row r="909" spans="1:5" ht="30" customHeight="1">
      <c r="A909" s="6">
        <v>907</v>
      </c>
      <c r="B909" s="7" t="str">
        <f>"29802021051219074093602"</f>
        <v>29802021051219074093602</v>
      </c>
      <c r="C909" s="7" t="s">
        <v>13</v>
      </c>
      <c r="D909" s="7" t="str">
        <f>"陈玉兰"</f>
        <v>陈玉兰</v>
      </c>
      <c r="E909" s="7" t="str">
        <f t="shared" si="43"/>
        <v>女</v>
      </c>
    </row>
    <row r="910" spans="1:5" ht="30" customHeight="1">
      <c r="A910" s="6">
        <v>908</v>
      </c>
      <c r="B910" s="7" t="str">
        <f>"29802021051219440693666"</f>
        <v>29802021051219440693666</v>
      </c>
      <c r="C910" s="7" t="s">
        <v>13</v>
      </c>
      <c r="D910" s="7" t="str">
        <f>"陈亮"</f>
        <v>陈亮</v>
      </c>
      <c r="E910" s="7" t="str">
        <f>"男"</f>
        <v>男</v>
      </c>
    </row>
    <row r="911" spans="1:5" ht="30" customHeight="1">
      <c r="A911" s="6">
        <v>909</v>
      </c>
      <c r="B911" s="7" t="str">
        <f>"29802021051219452393669"</f>
        <v>29802021051219452393669</v>
      </c>
      <c r="C911" s="7" t="s">
        <v>13</v>
      </c>
      <c r="D911" s="7" t="str">
        <f>"李红慧"</f>
        <v>李红慧</v>
      </c>
      <c r="E911" s="7" t="str">
        <f aca="true" t="shared" si="44" ref="E911:E938">"女"</f>
        <v>女</v>
      </c>
    </row>
    <row r="912" spans="1:5" ht="30" customHeight="1">
      <c r="A912" s="6">
        <v>910</v>
      </c>
      <c r="B912" s="7" t="str">
        <f>"29802021051219453493670"</f>
        <v>29802021051219453493670</v>
      </c>
      <c r="C912" s="7" t="s">
        <v>13</v>
      </c>
      <c r="D912" s="7" t="str">
        <f>"王琼变"</f>
        <v>王琼变</v>
      </c>
      <c r="E912" s="7" t="str">
        <f t="shared" si="44"/>
        <v>女</v>
      </c>
    </row>
    <row r="913" spans="1:5" ht="30" customHeight="1">
      <c r="A913" s="6">
        <v>911</v>
      </c>
      <c r="B913" s="7" t="str">
        <f>"29802021051219564893687"</f>
        <v>29802021051219564893687</v>
      </c>
      <c r="C913" s="7" t="s">
        <v>13</v>
      </c>
      <c r="D913" s="7" t="str">
        <f>"付若晴"</f>
        <v>付若晴</v>
      </c>
      <c r="E913" s="7" t="str">
        <f t="shared" si="44"/>
        <v>女</v>
      </c>
    </row>
    <row r="914" spans="1:5" ht="30" customHeight="1">
      <c r="A914" s="6">
        <v>912</v>
      </c>
      <c r="B914" s="7" t="str">
        <f>"29802021051220023293702"</f>
        <v>29802021051220023293702</v>
      </c>
      <c r="C914" s="7" t="s">
        <v>13</v>
      </c>
      <c r="D914" s="7" t="str">
        <f>"黄奕琳"</f>
        <v>黄奕琳</v>
      </c>
      <c r="E914" s="7" t="str">
        <f t="shared" si="44"/>
        <v>女</v>
      </c>
    </row>
    <row r="915" spans="1:5" ht="30" customHeight="1">
      <c r="A915" s="6">
        <v>913</v>
      </c>
      <c r="B915" s="7" t="str">
        <f>"29802021051220152393726"</f>
        <v>29802021051220152393726</v>
      </c>
      <c r="C915" s="7" t="s">
        <v>13</v>
      </c>
      <c r="D915" s="7" t="str">
        <f>"谢亚花"</f>
        <v>谢亚花</v>
      </c>
      <c r="E915" s="7" t="str">
        <f t="shared" si="44"/>
        <v>女</v>
      </c>
    </row>
    <row r="916" spans="1:5" ht="30" customHeight="1">
      <c r="A916" s="6">
        <v>914</v>
      </c>
      <c r="B916" s="7" t="str">
        <f>"29802021051220160793728"</f>
        <v>29802021051220160793728</v>
      </c>
      <c r="C916" s="7" t="s">
        <v>13</v>
      </c>
      <c r="D916" s="7" t="str">
        <f>"王和香"</f>
        <v>王和香</v>
      </c>
      <c r="E916" s="7" t="str">
        <f t="shared" si="44"/>
        <v>女</v>
      </c>
    </row>
    <row r="917" spans="1:5" ht="30" customHeight="1">
      <c r="A917" s="6">
        <v>915</v>
      </c>
      <c r="B917" s="7" t="str">
        <f>"29802021051220195093738"</f>
        <v>29802021051220195093738</v>
      </c>
      <c r="C917" s="7" t="s">
        <v>13</v>
      </c>
      <c r="D917" s="7" t="str">
        <f>"高晓梦"</f>
        <v>高晓梦</v>
      </c>
      <c r="E917" s="7" t="str">
        <f t="shared" si="44"/>
        <v>女</v>
      </c>
    </row>
    <row r="918" spans="1:5" ht="30" customHeight="1">
      <c r="A918" s="6">
        <v>916</v>
      </c>
      <c r="B918" s="7" t="str">
        <f>"29802021051220231893748"</f>
        <v>29802021051220231893748</v>
      </c>
      <c r="C918" s="7" t="s">
        <v>13</v>
      </c>
      <c r="D918" s="7" t="str">
        <f>"吴海容"</f>
        <v>吴海容</v>
      </c>
      <c r="E918" s="7" t="str">
        <f t="shared" si="44"/>
        <v>女</v>
      </c>
    </row>
    <row r="919" spans="1:5" ht="30" customHeight="1">
      <c r="A919" s="6">
        <v>917</v>
      </c>
      <c r="B919" s="7" t="str">
        <f>"29802021051220392793788"</f>
        <v>29802021051220392793788</v>
      </c>
      <c r="C919" s="7" t="s">
        <v>13</v>
      </c>
      <c r="D919" s="7" t="str">
        <f>"曾萍"</f>
        <v>曾萍</v>
      </c>
      <c r="E919" s="7" t="str">
        <f t="shared" si="44"/>
        <v>女</v>
      </c>
    </row>
    <row r="920" spans="1:5" ht="30" customHeight="1">
      <c r="A920" s="6">
        <v>918</v>
      </c>
      <c r="B920" s="7" t="str">
        <f>"29802021051220483093805"</f>
        <v>29802021051220483093805</v>
      </c>
      <c r="C920" s="7" t="s">
        <v>13</v>
      </c>
      <c r="D920" s="7" t="str">
        <f>"何丽娜"</f>
        <v>何丽娜</v>
      </c>
      <c r="E920" s="7" t="str">
        <f t="shared" si="44"/>
        <v>女</v>
      </c>
    </row>
    <row r="921" spans="1:5" ht="30" customHeight="1">
      <c r="A921" s="6">
        <v>919</v>
      </c>
      <c r="B921" s="7" t="str">
        <f>"29802021051221021693840"</f>
        <v>29802021051221021693840</v>
      </c>
      <c r="C921" s="7" t="s">
        <v>13</v>
      </c>
      <c r="D921" s="7" t="str">
        <f>"郭学坤"</f>
        <v>郭学坤</v>
      </c>
      <c r="E921" s="7" t="str">
        <f t="shared" si="44"/>
        <v>女</v>
      </c>
    </row>
    <row r="922" spans="1:5" ht="30" customHeight="1">
      <c r="A922" s="6">
        <v>920</v>
      </c>
      <c r="B922" s="7" t="str">
        <f>"29802021051221032793844"</f>
        <v>29802021051221032793844</v>
      </c>
      <c r="C922" s="7" t="s">
        <v>13</v>
      </c>
      <c r="D922" s="7" t="str">
        <f>"文倩"</f>
        <v>文倩</v>
      </c>
      <c r="E922" s="7" t="str">
        <f t="shared" si="44"/>
        <v>女</v>
      </c>
    </row>
    <row r="923" spans="1:5" ht="30" customHeight="1">
      <c r="A923" s="6">
        <v>921</v>
      </c>
      <c r="B923" s="7" t="str">
        <f>"29802021051221032993845"</f>
        <v>29802021051221032993845</v>
      </c>
      <c r="C923" s="7" t="s">
        <v>13</v>
      </c>
      <c r="D923" s="7" t="str">
        <f>"郭伟伟"</f>
        <v>郭伟伟</v>
      </c>
      <c r="E923" s="7" t="str">
        <f t="shared" si="44"/>
        <v>女</v>
      </c>
    </row>
    <row r="924" spans="1:5" ht="30" customHeight="1">
      <c r="A924" s="6">
        <v>922</v>
      </c>
      <c r="B924" s="7" t="str">
        <f>"29802021051221145793874"</f>
        <v>29802021051221145793874</v>
      </c>
      <c r="C924" s="7" t="s">
        <v>13</v>
      </c>
      <c r="D924" s="7" t="str">
        <f>"岑美叶"</f>
        <v>岑美叶</v>
      </c>
      <c r="E924" s="7" t="str">
        <f t="shared" si="44"/>
        <v>女</v>
      </c>
    </row>
    <row r="925" spans="1:5" ht="30" customHeight="1">
      <c r="A925" s="6">
        <v>923</v>
      </c>
      <c r="B925" s="7" t="str">
        <f>"29802021051221174493882"</f>
        <v>29802021051221174493882</v>
      </c>
      <c r="C925" s="7" t="s">
        <v>13</v>
      </c>
      <c r="D925" s="7" t="str">
        <f>"唐传婷"</f>
        <v>唐传婷</v>
      </c>
      <c r="E925" s="7" t="str">
        <f t="shared" si="44"/>
        <v>女</v>
      </c>
    </row>
    <row r="926" spans="1:5" ht="30" customHeight="1">
      <c r="A926" s="6">
        <v>924</v>
      </c>
      <c r="B926" s="7" t="str">
        <f>"29802021051221421293948"</f>
        <v>29802021051221421293948</v>
      </c>
      <c r="C926" s="7" t="s">
        <v>13</v>
      </c>
      <c r="D926" s="7" t="str">
        <f>"吴可姣"</f>
        <v>吴可姣</v>
      </c>
      <c r="E926" s="7" t="str">
        <f t="shared" si="44"/>
        <v>女</v>
      </c>
    </row>
    <row r="927" spans="1:5" ht="30" customHeight="1">
      <c r="A927" s="6">
        <v>925</v>
      </c>
      <c r="B927" s="7" t="str">
        <f>"29802021051221442393952"</f>
        <v>29802021051221442393952</v>
      </c>
      <c r="C927" s="7" t="s">
        <v>13</v>
      </c>
      <c r="D927" s="7" t="str">
        <f>"李杏儿"</f>
        <v>李杏儿</v>
      </c>
      <c r="E927" s="7" t="str">
        <f t="shared" si="44"/>
        <v>女</v>
      </c>
    </row>
    <row r="928" spans="1:5" ht="30" customHeight="1">
      <c r="A928" s="6">
        <v>926</v>
      </c>
      <c r="B928" s="7" t="str">
        <f>"29802021051221530793976"</f>
        <v>29802021051221530793976</v>
      </c>
      <c r="C928" s="7" t="s">
        <v>13</v>
      </c>
      <c r="D928" s="7" t="str">
        <f>"洪玉妮"</f>
        <v>洪玉妮</v>
      </c>
      <c r="E928" s="7" t="str">
        <f t="shared" si="44"/>
        <v>女</v>
      </c>
    </row>
    <row r="929" spans="1:5" ht="30" customHeight="1">
      <c r="A929" s="6">
        <v>927</v>
      </c>
      <c r="B929" s="7" t="str">
        <f>"29802021051221571493987"</f>
        <v>29802021051221571493987</v>
      </c>
      <c r="C929" s="7" t="s">
        <v>13</v>
      </c>
      <c r="D929" s="7" t="str">
        <f>"卢张连"</f>
        <v>卢张连</v>
      </c>
      <c r="E929" s="7" t="str">
        <f t="shared" si="44"/>
        <v>女</v>
      </c>
    </row>
    <row r="930" spans="1:5" ht="30" customHeight="1">
      <c r="A930" s="6">
        <v>928</v>
      </c>
      <c r="B930" s="7" t="str">
        <f>"29802021051222231694053"</f>
        <v>29802021051222231694053</v>
      </c>
      <c r="C930" s="7" t="s">
        <v>13</v>
      </c>
      <c r="D930" s="7" t="str">
        <f>"陈婉芬"</f>
        <v>陈婉芬</v>
      </c>
      <c r="E930" s="7" t="str">
        <f t="shared" si="44"/>
        <v>女</v>
      </c>
    </row>
    <row r="931" spans="1:5" ht="30" customHeight="1">
      <c r="A931" s="6">
        <v>929</v>
      </c>
      <c r="B931" s="7" t="str">
        <f>"29802021051222390394076"</f>
        <v>29802021051222390394076</v>
      </c>
      <c r="C931" s="7" t="s">
        <v>13</v>
      </c>
      <c r="D931" s="7" t="str">
        <f>"胡正果"</f>
        <v>胡正果</v>
      </c>
      <c r="E931" s="7" t="str">
        <f t="shared" si="44"/>
        <v>女</v>
      </c>
    </row>
    <row r="932" spans="1:5" ht="30" customHeight="1">
      <c r="A932" s="6">
        <v>930</v>
      </c>
      <c r="B932" s="7" t="str">
        <f>"29802021051222565094121"</f>
        <v>29802021051222565094121</v>
      </c>
      <c r="C932" s="7" t="s">
        <v>13</v>
      </c>
      <c r="D932" s="7" t="str">
        <f>"陈春秀"</f>
        <v>陈春秀</v>
      </c>
      <c r="E932" s="7" t="str">
        <f t="shared" si="44"/>
        <v>女</v>
      </c>
    </row>
    <row r="933" spans="1:5" ht="30" customHeight="1">
      <c r="A933" s="6">
        <v>931</v>
      </c>
      <c r="B933" s="7" t="str">
        <f>"29802021051222595294132"</f>
        <v>29802021051222595294132</v>
      </c>
      <c r="C933" s="7" t="s">
        <v>13</v>
      </c>
      <c r="D933" s="7" t="str">
        <f>"廖春满"</f>
        <v>廖春满</v>
      </c>
      <c r="E933" s="7" t="str">
        <f t="shared" si="44"/>
        <v>女</v>
      </c>
    </row>
    <row r="934" spans="1:5" ht="30" customHeight="1">
      <c r="A934" s="6">
        <v>932</v>
      </c>
      <c r="B934" s="7" t="str">
        <f>"29802021051223032294139"</f>
        <v>29802021051223032294139</v>
      </c>
      <c r="C934" s="7" t="s">
        <v>13</v>
      </c>
      <c r="D934" s="7" t="str">
        <f>"詹美清"</f>
        <v>詹美清</v>
      </c>
      <c r="E934" s="7" t="str">
        <f t="shared" si="44"/>
        <v>女</v>
      </c>
    </row>
    <row r="935" spans="1:5" ht="30" customHeight="1">
      <c r="A935" s="6">
        <v>933</v>
      </c>
      <c r="B935" s="7" t="str">
        <f>"29802021051223204594170"</f>
        <v>29802021051223204594170</v>
      </c>
      <c r="C935" s="7" t="s">
        <v>13</v>
      </c>
      <c r="D935" s="7" t="str">
        <f>"陈英"</f>
        <v>陈英</v>
      </c>
      <c r="E935" s="7" t="str">
        <f t="shared" si="44"/>
        <v>女</v>
      </c>
    </row>
    <row r="936" spans="1:5" ht="30" customHeight="1">
      <c r="A936" s="6">
        <v>934</v>
      </c>
      <c r="B936" s="7" t="str">
        <f>"29802021051223541094210"</f>
        <v>29802021051223541094210</v>
      </c>
      <c r="C936" s="7" t="s">
        <v>13</v>
      </c>
      <c r="D936" s="7" t="str">
        <f>"黄晓莹"</f>
        <v>黄晓莹</v>
      </c>
      <c r="E936" s="7" t="str">
        <f t="shared" si="44"/>
        <v>女</v>
      </c>
    </row>
    <row r="937" spans="1:5" ht="30" customHeight="1">
      <c r="A937" s="6">
        <v>935</v>
      </c>
      <c r="B937" s="7" t="str">
        <f>"29802021051306500894258"</f>
        <v>29802021051306500894258</v>
      </c>
      <c r="C937" s="7" t="s">
        <v>13</v>
      </c>
      <c r="D937" s="7" t="str">
        <f>"王丽珍"</f>
        <v>王丽珍</v>
      </c>
      <c r="E937" s="7" t="str">
        <f t="shared" si="44"/>
        <v>女</v>
      </c>
    </row>
    <row r="938" spans="1:5" ht="30" customHeight="1">
      <c r="A938" s="6">
        <v>936</v>
      </c>
      <c r="B938" s="7" t="str">
        <f>"29802021051308191694298"</f>
        <v>29802021051308191694298</v>
      </c>
      <c r="C938" s="7" t="s">
        <v>13</v>
      </c>
      <c r="D938" s="7" t="str">
        <f>"符发琴"</f>
        <v>符发琴</v>
      </c>
      <c r="E938" s="7" t="str">
        <f t="shared" si="44"/>
        <v>女</v>
      </c>
    </row>
    <row r="939" spans="1:5" ht="30" customHeight="1">
      <c r="A939" s="6">
        <v>937</v>
      </c>
      <c r="B939" s="7" t="str">
        <f>"29802021051308292394324"</f>
        <v>29802021051308292394324</v>
      </c>
      <c r="C939" s="7" t="s">
        <v>13</v>
      </c>
      <c r="D939" s="7" t="str">
        <f>"冼能"</f>
        <v>冼能</v>
      </c>
      <c r="E939" s="7" t="str">
        <f>"男"</f>
        <v>男</v>
      </c>
    </row>
    <row r="940" spans="1:5" ht="30" customHeight="1">
      <c r="A940" s="6">
        <v>938</v>
      </c>
      <c r="B940" s="7" t="str">
        <f>"29802021051308344894333"</f>
        <v>29802021051308344894333</v>
      </c>
      <c r="C940" s="7" t="s">
        <v>13</v>
      </c>
      <c r="D940" s="7" t="str">
        <f>"陈欣"</f>
        <v>陈欣</v>
      </c>
      <c r="E940" s="7" t="str">
        <f>"女"</f>
        <v>女</v>
      </c>
    </row>
    <row r="941" spans="1:5" ht="30" customHeight="1">
      <c r="A941" s="6">
        <v>939</v>
      </c>
      <c r="B941" s="7" t="str">
        <f>"29802021051308424294347"</f>
        <v>29802021051308424294347</v>
      </c>
      <c r="C941" s="7" t="s">
        <v>13</v>
      </c>
      <c r="D941" s="7" t="str">
        <f>"符会蕊"</f>
        <v>符会蕊</v>
      </c>
      <c r="E941" s="7" t="str">
        <f>"女"</f>
        <v>女</v>
      </c>
    </row>
    <row r="942" spans="1:5" ht="30" customHeight="1">
      <c r="A942" s="6">
        <v>940</v>
      </c>
      <c r="B942" s="7" t="str">
        <f>"29802021051308474194357"</f>
        <v>29802021051308474194357</v>
      </c>
      <c r="C942" s="7" t="s">
        <v>13</v>
      </c>
      <c r="D942" s="7" t="str">
        <f>"温莉"</f>
        <v>温莉</v>
      </c>
      <c r="E942" s="7" t="str">
        <f>"女"</f>
        <v>女</v>
      </c>
    </row>
    <row r="943" spans="1:5" ht="30" customHeight="1">
      <c r="A943" s="6">
        <v>941</v>
      </c>
      <c r="B943" s="7" t="str">
        <f>"29802021051309100094420"</f>
        <v>29802021051309100094420</v>
      </c>
      <c r="C943" s="7" t="s">
        <v>13</v>
      </c>
      <c r="D943" s="7" t="str">
        <f>"邢嘉嘉"</f>
        <v>邢嘉嘉</v>
      </c>
      <c r="E943" s="7" t="str">
        <f>"女"</f>
        <v>女</v>
      </c>
    </row>
    <row r="944" spans="1:5" ht="30" customHeight="1">
      <c r="A944" s="6">
        <v>942</v>
      </c>
      <c r="B944" s="7" t="str">
        <f>"29802021051309242394464"</f>
        <v>29802021051309242394464</v>
      </c>
      <c r="C944" s="7" t="s">
        <v>13</v>
      </c>
      <c r="D944" s="7" t="str">
        <f>"翟宏柳"</f>
        <v>翟宏柳</v>
      </c>
      <c r="E944" s="7" t="str">
        <f>"女"</f>
        <v>女</v>
      </c>
    </row>
    <row r="945" spans="1:5" ht="30" customHeight="1">
      <c r="A945" s="6">
        <v>943</v>
      </c>
      <c r="B945" s="7" t="str">
        <f>"29802021051309322794485"</f>
        <v>29802021051309322794485</v>
      </c>
      <c r="C945" s="7" t="s">
        <v>13</v>
      </c>
      <c r="D945" s="7" t="str">
        <f>"王豪杰"</f>
        <v>王豪杰</v>
      </c>
      <c r="E945" s="7" t="str">
        <f>"男"</f>
        <v>男</v>
      </c>
    </row>
    <row r="946" spans="1:5" ht="30" customHeight="1">
      <c r="A946" s="6">
        <v>944</v>
      </c>
      <c r="B946" s="7" t="str">
        <f>"29802021051309571494552"</f>
        <v>29802021051309571494552</v>
      </c>
      <c r="C946" s="7" t="s">
        <v>13</v>
      </c>
      <c r="D946" s="7" t="str">
        <f>"叶兹帆"</f>
        <v>叶兹帆</v>
      </c>
      <c r="E946" s="7" t="str">
        <f>"女"</f>
        <v>女</v>
      </c>
    </row>
    <row r="947" spans="1:5" ht="30" customHeight="1">
      <c r="A947" s="6">
        <v>945</v>
      </c>
      <c r="B947" s="7" t="str">
        <f>"29802021051310130594599"</f>
        <v>29802021051310130594599</v>
      </c>
      <c r="C947" s="7" t="s">
        <v>13</v>
      </c>
      <c r="D947" s="7" t="str">
        <f>"黎焕堂"</f>
        <v>黎焕堂</v>
      </c>
      <c r="E947" s="7" t="str">
        <f>"男"</f>
        <v>男</v>
      </c>
    </row>
    <row r="948" spans="1:5" ht="30" customHeight="1">
      <c r="A948" s="6">
        <v>946</v>
      </c>
      <c r="B948" s="7" t="str">
        <f>"29802021051310195494620"</f>
        <v>29802021051310195494620</v>
      </c>
      <c r="C948" s="7" t="s">
        <v>13</v>
      </c>
      <c r="D948" s="7" t="str">
        <f>"陈梦婷"</f>
        <v>陈梦婷</v>
      </c>
      <c r="E948" s="7" t="str">
        <f aca="true" t="shared" si="45" ref="E948:E979">"女"</f>
        <v>女</v>
      </c>
    </row>
    <row r="949" spans="1:5" ht="30" customHeight="1">
      <c r="A949" s="6">
        <v>947</v>
      </c>
      <c r="B949" s="7" t="str">
        <f>"29802021051310364794678"</f>
        <v>29802021051310364794678</v>
      </c>
      <c r="C949" s="7" t="s">
        <v>13</v>
      </c>
      <c r="D949" s="7" t="str">
        <f>"洪恩娟"</f>
        <v>洪恩娟</v>
      </c>
      <c r="E949" s="7" t="str">
        <f t="shared" si="45"/>
        <v>女</v>
      </c>
    </row>
    <row r="950" spans="1:5" ht="30" customHeight="1">
      <c r="A950" s="6">
        <v>948</v>
      </c>
      <c r="B950" s="7" t="str">
        <f>"29802021051310415494698"</f>
        <v>29802021051310415494698</v>
      </c>
      <c r="C950" s="7" t="s">
        <v>13</v>
      </c>
      <c r="D950" s="7" t="str">
        <f>"王玉婷"</f>
        <v>王玉婷</v>
      </c>
      <c r="E950" s="7" t="str">
        <f t="shared" si="45"/>
        <v>女</v>
      </c>
    </row>
    <row r="951" spans="1:5" ht="30" customHeight="1">
      <c r="A951" s="6">
        <v>949</v>
      </c>
      <c r="B951" s="7" t="str">
        <f>"29802021051310464094716"</f>
        <v>29802021051310464094716</v>
      </c>
      <c r="C951" s="7" t="s">
        <v>13</v>
      </c>
      <c r="D951" s="7" t="str">
        <f>"吴金梅"</f>
        <v>吴金梅</v>
      </c>
      <c r="E951" s="7" t="str">
        <f t="shared" si="45"/>
        <v>女</v>
      </c>
    </row>
    <row r="952" spans="1:5" ht="30" customHeight="1">
      <c r="A952" s="6">
        <v>950</v>
      </c>
      <c r="B952" s="7" t="str">
        <f>"29802021051310574894755"</f>
        <v>29802021051310574894755</v>
      </c>
      <c r="C952" s="7" t="s">
        <v>13</v>
      </c>
      <c r="D952" s="7" t="str">
        <f>"郭丽静"</f>
        <v>郭丽静</v>
      </c>
      <c r="E952" s="7" t="str">
        <f t="shared" si="45"/>
        <v>女</v>
      </c>
    </row>
    <row r="953" spans="1:5" ht="30" customHeight="1">
      <c r="A953" s="6">
        <v>951</v>
      </c>
      <c r="B953" s="7" t="str">
        <f>"29802021051310590694759"</f>
        <v>29802021051310590694759</v>
      </c>
      <c r="C953" s="7" t="s">
        <v>13</v>
      </c>
      <c r="D953" s="7" t="str">
        <f>"曾瑞琳"</f>
        <v>曾瑞琳</v>
      </c>
      <c r="E953" s="7" t="str">
        <f t="shared" si="45"/>
        <v>女</v>
      </c>
    </row>
    <row r="954" spans="1:5" ht="30" customHeight="1">
      <c r="A954" s="6">
        <v>952</v>
      </c>
      <c r="B954" s="7" t="str">
        <f>"29802021051311024894774"</f>
        <v>29802021051311024894774</v>
      </c>
      <c r="C954" s="7" t="s">
        <v>13</v>
      </c>
      <c r="D954" s="7" t="str">
        <f>"简碧荣"</f>
        <v>简碧荣</v>
      </c>
      <c r="E954" s="7" t="str">
        <f t="shared" si="45"/>
        <v>女</v>
      </c>
    </row>
    <row r="955" spans="1:5" ht="30" customHeight="1">
      <c r="A955" s="6">
        <v>953</v>
      </c>
      <c r="B955" s="7" t="str">
        <f>"29802021051311062294786"</f>
        <v>29802021051311062294786</v>
      </c>
      <c r="C955" s="7" t="s">
        <v>13</v>
      </c>
      <c r="D955" s="7" t="str">
        <f>"邓德兰"</f>
        <v>邓德兰</v>
      </c>
      <c r="E955" s="7" t="str">
        <f t="shared" si="45"/>
        <v>女</v>
      </c>
    </row>
    <row r="956" spans="1:5" ht="30" customHeight="1">
      <c r="A956" s="6">
        <v>954</v>
      </c>
      <c r="B956" s="7" t="str">
        <f>"29802021051311325194875"</f>
        <v>29802021051311325194875</v>
      </c>
      <c r="C956" s="7" t="s">
        <v>13</v>
      </c>
      <c r="D956" s="7" t="str">
        <f>"刘小冰"</f>
        <v>刘小冰</v>
      </c>
      <c r="E956" s="7" t="str">
        <f t="shared" si="45"/>
        <v>女</v>
      </c>
    </row>
    <row r="957" spans="1:5" ht="30" customHeight="1">
      <c r="A957" s="6">
        <v>955</v>
      </c>
      <c r="B957" s="7" t="str">
        <f>"29802021051311361794886"</f>
        <v>29802021051311361794886</v>
      </c>
      <c r="C957" s="7" t="s">
        <v>13</v>
      </c>
      <c r="D957" s="7" t="str">
        <f>"陈灵妹"</f>
        <v>陈灵妹</v>
      </c>
      <c r="E957" s="7" t="str">
        <f t="shared" si="45"/>
        <v>女</v>
      </c>
    </row>
    <row r="958" spans="1:5" ht="30" customHeight="1">
      <c r="A958" s="6">
        <v>956</v>
      </c>
      <c r="B958" s="7" t="str">
        <f>"29802021051311430694897"</f>
        <v>29802021051311430694897</v>
      </c>
      <c r="C958" s="7" t="s">
        <v>13</v>
      </c>
      <c r="D958" s="7" t="str">
        <f>"苏凤妹"</f>
        <v>苏凤妹</v>
      </c>
      <c r="E958" s="7" t="str">
        <f t="shared" si="45"/>
        <v>女</v>
      </c>
    </row>
    <row r="959" spans="1:5" ht="30" customHeight="1">
      <c r="A959" s="6">
        <v>957</v>
      </c>
      <c r="B959" s="7" t="str">
        <f>"29802021051312082594952"</f>
        <v>29802021051312082594952</v>
      </c>
      <c r="C959" s="7" t="s">
        <v>13</v>
      </c>
      <c r="D959" s="7" t="str">
        <f>"田杉杉"</f>
        <v>田杉杉</v>
      </c>
      <c r="E959" s="7" t="str">
        <f t="shared" si="45"/>
        <v>女</v>
      </c>
    </row>
    <row r="960" spans="1:5" ht="30" customHeight="1">
      <c r="A960" s="6">
        <v>958</v>
      </c>
      <c r="B960" s="7" t="str">
        <f>"29802021051312201094978"</f>
        <v>29802021051312201094978</v>
      </c>
      <c r="C960" s="7" t="s">
        <v>13</v>
      </c>
      <c r="D960" s="7" t="str">
        <f>"曾红豆"</f>
        <v>曾红豆</v>
      </c>
      <c r="E960" s="7" t="str">
        <f t="shared" si="45"/>
        <v>女</v>
      </c>
    </row>
    <row r="961" spans="1:5" ht="30" customHeight="1">
      <c r="A961" s="6">
        <v>959</v>
      </c>
      <c r="B961" s="7" t="str">
        <f>"29802021051312372595008"</f>
        <v>29802021051312372595008</v>
      </c>
      <c r="C961" s="7" t="s">
        <v>13</v>
      </c>
      <c r="D961" s="7" t="str">
        <f>"陈玉岭"</f>
        <v>陈玉岭</v>
      </c>
      <c r="E961" s="7" t="str">
        <f t="shared" si="45"/>
        <v>女</v>
      </c>
    </row>
    <row r="962" spans="1:5" ht="30" customHeight="1">
      <c r="A962" s="6">
        <v>960</v>
      </c>
      <c r="B962" s="7" t="str">
        <f>"29802021051313021795042"</f>
        <v>29802021051313021795042</v>
      </c>
      <c r="C962" s="7" t="s">
        <v>13</v>
      </c>
      <c r="D962" s="7" t="str">
        <f>"陈芳慧"</f>
        <v>陈芳慧</v>
      </c>
      <c r="E962" s="7" t="str">
        <f t="shared" si="45"/>
        <v>女</v>
      </c>
    </row>
    <row r="963" spans="1:5" ht="30" customHeight="1">
      <c r="A963" s="6">
        <v>961</v>
      </c>
      <c r="B963" s="7" t="str">
        <f>"29802021051313122095058"</f>
        <v>29802021051313122095058</v>
      </c>
      <c r="C963" s="7" t="s">
        <v>13</v>
      </c>
      <c r="D963" s="7" t="str">
        <f>"陈媛菲"</f>
        <v>陈媛菲</v>
      </c>
      <c r="E963" s="7" t="str">
        <f t="shared" si="45"/>
        <v>女</v>
      </c>
    </row>
    <row r="964" spans="1:5" ht="30" customHeight="1">
      <c r="A964" s="6">
        <v>962</v>
      </c>
      <c r="B964" s="7" t="str">
        <f>"29802021051313450395106"</f>
        <v>29802021051313450395106</v>
      </c>
      <c r="C964" s="7" t="s">
        <v>13</v>
      </c>
      <c r="D964" s="7" t="str">
        <f>"黄桂花"</f>
        <v>黄桂花</v>
      </c>
      <c r="E964" s="7" t="str">
        <f t="shared" si="45"/>
        <v>女</v>
      </c>
    </row>
    <row r="965" spans="1:5" ht="30" customHeight="1">
      <c r="A965" s="6">
        <v>963</v>
      </c>
      <c r="B965" s="7" t="str">
        <f>"29802021051314454095213"</f>
        <v>29802021051314454095213</v>
      </c>
      <c r="C965" s="7" t="s">
        <v>13</v>
      </c>
      <c r="D965" s="7" t="str">
        <f>"黄秋月"</f>
        <v>黄秋月</v>
      </c>
      <c r="E965" s="7" t="str">
        <f t="shared" si="45"/>
        <v>女</v>
      </c>
    </row>
    <row r="966" spans="1:5" ht="30" customHeight="1">
      <c r="A966" s="6">
        <v>964</v>
      </c>
      <c r="B966" s="7" t="str">
        <f>"29802021051315002595246"</f>
        <v>29802021051315002595246</v>
      </c>
      <c r="C966" s="7" t="s">
        <v>13</v>
      </c>
      <c r="D966" s="7" t="str">
        <f>"陈玉雪"</f>
        <v>陈玉雪</v>
      </c>
      <c r="E966" s="7" t="str">
        <f t="shared" si="45"/>
        <v>女</v>
      </c>
    </row>
    <row r="967" spans="1:5" ht="30" customHeight="1">
      <c r="A967" s="6">
        <v>965</v>
      </c>
      <c r="B967" s="7" t="str">
        <f>"29802021051315022095251"</f>
        <v>29802021051315022095251</v>
      </c>
      <c r="C967" s="7" t="s">
        <v>13</v>
      </c>
      <c r="D967" s="7" t="str">
        <f>"郑惠丹"</f>
        <v>郑惠丹</v>
      </c>
      <c r="E967" s="7" t="str">
        <f t="shared" si="45"/>
        <v>女</v>
      </c>
    </row>
    <row r="968" spans="1:5" ht="30" customHeight="1">
      <c r="A968" s="6">
        <v>966</v>
      </c>
      <c r="B968" s="7" t="str">
        <f>"29802021051315200395296"</f>
        <v>29802021051315200395296</v>
      </c>
      <c r="C968" s="7" t="s">
        <v>13</v>
      </c>
      <c r="D968" s="7" t="str">
        <f>"吴梦思"</f>
        <v>吴梦思</v>
      </c>
      <c r="E968" s="7" t="str">
        <f t="shared" si="45"/>
        <v>女</v>
      </c>
    </row>
    <row r="969" spans="1:5" ht="30" customHeight="1">
      <c r="A969" s="6">
        <v>967</v>
      </c>
      <c r="B969" s="7" t="str">
        <f>"29802021051315222095303"</f>
        <v>29802021051315222095303</v>
      </c>
      <c r="C969" s="7" t="s">
        <v>13</v>
      </c>
      <c r="D969" s="7" t="str">
        <f>"文新瑶"</f>
        <v>文新瑶</v>
      </c>
      <c r="E969" s="7" t="str">
        <f t="shared" si="45"/>
        <v>女</v>
      </c>
    </row>
    <row r="970" spans="1:5" ht="30" customHeight="1">
      <c r="A970" s="6">
        <v>968</v>
      </c>
      <c r="B970" s="7" t="str">
        <f>"29802021051315280895314"</f>
        <v>29802021051315280895314</v>
      </c>
      <c r="C970" s="7" t="s">
        <v>13</v>
      </c>
      <c r="D970" s="7" t="str">
        <f>"陈玉珊"</f>
        <v>陈玉珊</v>
      </c>
      <c r="E970" s="7" t="str">
        <f t="shared" si="45"/>
        <v>女</v>
      </c>
    </row>
    <row r="971" spans="1:5" ht="30" customHeight="1">
      <c r="A971" s="6">
        <v>969</v>
      </c>
      <c r="B971" s="7" t="str">
        <f>"29802021051315424495350"</f>
        <v>29802021051315424495350</v>
      </c>
      <c r="C971" s="7" t="s">
        <v>13</v>
      </c>
      <c r="D971" s="7" t="str">
        <f>"麦惠群"</f>
        <v>麦惠群</v>
      </c>
      <c r="E971" s="7" t="str">
        <f t="shared" si="45"/>
        <v>女</v>
      </c>
    </row>
    <row r="972" spans="1:5" ht="30" customHeight="1">
      <c r="A972" s="6">
        <v>970</v>
      </c>
      <c r="B972" s="7" t="str">
        <f>"29802021051315454995362"</f>
        <v>29802021051315454995362</v>
      </c>
      <c r="C972" s="7" t="s">
        <v>13</v>
      </c>
      <c r="D972" s="7" t="str">
        <f>"杨晨"</f>
        <v>杨晨</v>
      </c>
      <c r="E972" s="7" t="str">
        <f t="shared" si="45"/>
        <v>女</v>
      </c>
    </row>
    <row r="973" spans="1:5" ht="30" customHeight="1">
      <c r="A973" s="6">
        <v>971</v>
      </c>
      <c r="B973" s="7" t="str">
        <f>"29802021051315523095376"</f>
        <v>29802021051315523095376</v>
      </c>
      <c r="C973" s="7" t="s">
        <v>13</v>
      </c>
      <c r="D973" s="7" t="str">
        <f>"林方媚"</f>
        <v>林方媚</v>
      </c>
      <c r="E973" s="7" t="str">
        <f t="shared" si="45"/>
        <v>女</v>
      </c>
    </row>
    <row r="974" spans="1:5" ht="30" customHeight="1">
      <c r="A974" s="6">
        <v>972</v>
      </c>
      <c r="B974" s="7" t="str">
        <f>"29802021051316023095403"</f>
        <v>29802021051316023095403</v>
      </c>
      <c r="C974" s="7" t="s">
        <v>13</v>
      </c>
      <c r="D974" s="7" t="str">
        <f>"林珏谷"</f>
        <v>林珏谷</v>
      </c>
      <c r="E974" s="7" t="str">
        <f t="shared" si="45"/>
        <v>女</v>
      </c>
    </row>
    <row r="975" spans="1:5" ht="30" customHeight="1">
      <c r="A975" s="6">
        <v>973</v>
      </c>
      <c r="B975" s="7" t="str">
        <f>"29802021051316080495418"</f>
        <v>29802021051316080495418</v>
      </c>
      <c r="C975" s="7" t="s">
        <v>13</v>
      </c>
      <c r="D975" s="7" t="str">
        <f>"陈兴莎"</f>
        <v>陈兴莎</v>
      </c>
      <c r="E975" s="7" t="str">
        <f t="shared" si="45"/>
        <v>女</v>
      </c>
    </row>
    <row r="976" spans="1:5" ht="30" customHeight="1">
      <c r="A976" s="6">
        <v>974</v>
      </c>
      <c r="B976" s="7" t="str">
        <f>"29802021051316202895452"</f>
        <v>29802021051316202895452</v>
      </c>
      <c r="C976" s="7" t="s">
        <v>13</v>
      </c>
      <c r="D976" s="7" t="str">
        <f>"陈少密"</f>
        <v>陈少密</v>
      </c>
      <c r="E976" s="7" t="str">
        <f t="shared" si="45"/>
        <v>女</v>
      </c>
    </row>
    <row r="977" spans="1:5" ht="30" customHeight="1">
      <c r="A977" s="6">
        <v>975</v>
      </c>
      <c r="B977" s="7" t="str">
        <f>"29802021051316255895470"</f>
        <v>29802021051316255895470</v>
      </c>
      <c r="C977" s="7" t="s">
        <v>13</v>
      </c>
      <c r="D977" s="7" t="str">
        <f>"范裕珠"</f>
        <v>范裕珠</v>
      </c>
      <c r="E977" s="7" t="str">
        <f t="shared" si="45"/>
        <v>女</v>
      </c>
    </row>
    <row r="978" spans="1:5" ht="30" customHeight="1">
      <c r="A978" s="6">
        <v>976</v>
      </c>
      <c r="B978" s="7" t="str">
        <f>"29802021051316355095491"</f>
        <v>29802021051316355095491</v>
      </c>
      <c r="C978" s="7" t="s">
        <v>13</v>
      </c>
      <c r="D978" s="7" t="str">
        <f>"陈盛兰"</f>
        <v>陈盛兰</v>
      </c>
      <c r="E978" s="7" t="str">
        <f t="shared" si="45"/>
        <v>女</v>
      </c>
    </row>
    <row r="979" spans="1:5" ht="30" customHeight="1">
      <c r="A979" s="6">
        <v>977</v>
      </c>
      <c r="B979" s="7" t="str">
        <f>"29802021051316394795498"</f>
        <v>29802021051316394795498</v>
      </c>
      <c r="C979" s="7" t="s">
        <v>13</v>
      </c>
      <c r="D979" s="7" t="str">
        <f>"李姝颐"</f>
        <v>李姝颐</v>
      </c>
      <c r="E979" s="7" t="str">
        <f t="shared" si="45"/>
        <v>女</v>
      </c>
    </row>
    <row r="980" spans="1:5" ht="30" customHeight="1">
      <c r="A980" s="6">
        <v>978</v>
      </c>
      <c r="B980" s="7" t="str">
        <f>"29802021051316471995512"</f>
        <v>29802021051316471995512</v>
      </c>
      <c r="C980" s="7" t="s">
        <v>13</v>
      </c>
      <c r="D980" s="7" t="str">
        <f>"王有东"</f>
        <v>王有东</v>
      </c>
      <c r="E980" s="7" t="str">
        <f>"男"</f>
        <v>男</v>
      </c>
    </row>
    <row r="981" spans="1:5" ht="30" customHeight="1">
      <c r="A981" s="6">
        <v>979</v>
      </c>
      <c r="B981" s="7" t="str">
        <f>"29802021051316533695527"</f>
        <v>29802021051316533695527</v>
      </c>
      <c r="C981" s="7" t="s">
        <v>13</v>
      </c>
      <c r="D981" s="7" t="str">
        <f>"符春美"</f>
        <v>符春美</v>
      </c>
      <c r="E981" s="7" t="str">
        <f aca="true" t="shared" si="46" ref="E981:E1009">"女"</f>
        <v>女</v>
      </c>
    </row>
    <row r="982" spans="1:5" ht="30" customHeight="1">
      <c r="A982" s="6">
        <v>980</v>
      </c>
      <c r="B982" s="7" t="str">
        <f>"29802021051316540195529"</f>
        <v>29802021051316540195529</v>
      </c>
      <c r="C982" s="7" t="s">
        <v>13</v>
      </c>
      <c r="D982" s="7" t="str">
        <f>"王会娜"</f>
        <v>王会娜</v>
      </c>
      <c r="E982" s="7" t="str">
        <f t="shared" si="46"/>
        <v>女</v>
      </c>
    </row>
    <row r="983" spans="1:5" ht="30" customHeight="1">
      <c r="A983" s="6">
        <v>981</v>
      </c>
      <c r="B983" s="7" t="str">
        <f>"29802021051317173695598"</f>
        <v>29802021051317173695598</v>
      </c>
      <c r="C983" s="7" t="s">
        <v>13</v>
      </c>
      <c r="D983" s="7" t="str">
        <f>"许芳园"</f>
        <v>许芳园</v>
      </c>
      <c r="E983" s="7" t="str">
        <f t="shared" si="46"/>
        <v>女</v>
      </c>
    </row>
    <row r="984" spans="1:5" ht="30" customHeight="1">
      <c r="A984" s="6">
        <v>982</v>
      </c>
      <c r="B984" s="7" t="str">
        <f>"29802021051317251895615"</f>
        <v>29802021051317251895615</v>
      </c>
      <c r="C984" s="7" t="s">
        <v>13</v>
      </c>
      <c r="D984" s="7" t="str">
        <f>"陈婆转"</f>
        <v>陈婆转</v>
      </c>
      <c r="E984" s="7" t="str">
        <f t="shared" si="46"/>
        <v>女</v>
      </c>
    </row>
    <row r="985" spans="1:5" ht="30" customHeight="1">
      <c r="A985" s="6">
        <v>983</v>
      </c>
      <c r="B985" s="7" t="str">
        <f>"29802021051317271495618"</f>
        <v>29802021051317271495618</v>
      </c>
      <c r="C985" s="7" t="s">
        <v>13</v>
      </c>
      <c r="D985" s="7" t="str">
        <f>"符秋婷"</f>
        <v>符秋婷</v>
      </c>
      <c r="E985" s="7" t="str">
        <f t="shared" si="46"/>
        <v>女</v>
      </c>
    </row>
    <row r="986" spans="1:5" ht="30" customHeight="1">
      <c r="A986" s="6">
        <v>984</v>
      </c>
      <c r="B986" s="7" t="str">
        <f>"29802021051317465495657"</f>
        <v>29802021051317465495657</v>
      </c>
      <c r="C986" s="7" t="s">
        <v>13</v>
      </c>
      <c r="D986" s="7" t="str">
        <f>"王小慧"</f>
        <v>王小慧</v>
      </c>
      <c r="E986" s="7" t="str">
        <f t="shared" si="46"/>
        <v>女</v>
      </c>
    </row>
    <row r="987" spans="1:5" ht="30" customHeight="1">
      <c r="A987" s="6">
        <v>985</v>
      </c>
      <c r="B987" s="7" t="str">
        <f>"29802021051318440295774"</f>
        <v>29802021051318440295774</v>
      </c>
      <c r="C987" s="7" t="s">
        <v>13</v>
      </c>
      <c r="D987" s="7" t="str">
        <f>"林杨"</f>
        <v>林杨</v>
      </c>
      <c r="E987" s="7" t="str">
        <f t="shared" si="46"/>
        <v>女</v>
      </c>
    </row>
    <row r="988" spans="1:5" ht="30" customHeight="1">
      <c r="A988" s="6">
        <v>986</v>
      </c>
      <c r="B988" s="7" t="str">
        <f>"29802021051318553695792"</f>
        <v>29802021051318553695792</v>
      </c>
      <c r="C988" s="7" t="s">
        <v>13</v>
      </c>
      <c r="D988" s="7" t="str">
        <f>"陈仕雪"</f>
        <v>陈仕雪</v>
      </c>
      <c r="E988" s="7" t="str">
        <f t="shared" si="46"/>
        <v>女</v>
      </c>
    </row>
    <row r="989" spans="1:5" ht="30" customHeight="1">
      <c r="A989" s="6">
        <v>987</v>
      </c>
      <c r="B989" s="7" t="str">
        <f>"29802021051319052795818"</f>
        <v>29802021051319052795818</v>
      </c>
      <c r="C989" s="7" t="s">
        <v>13</v>
      </c>
      <c r="D989" s="7" t="str">
        <f>"吴燕"</f>
        <v>吴燕</v>
      </c>
      <c r="E989" s="7" t="str">
        <f t="shared" si="46"/>
        <v>女</v>
      </c>
    </row>
    <row r="990" spans="1:5" ht="30" customHeight="1">
      <c r="A990" s="6">
        <v>988</v>
      </c>
      <c r="B990" s="7" t="str">
        <f>"29802021051319171195837"</f>
        <v>29802021051319171195837</v>
      </c>
      <c r="C990" s="7" t="s">
        <v>13</v>
      </c>
      <c r="D990" s="7" t="str">
        <f>"王晓翠"</f>
        <v>王晓翠</v>
      </c>
      <c r="E990" s="7" t="str">
        <f t="shared" si="46"/>
        <v>女</v>
      </c>
    </row>
    <row r="991" spans="1:5" ht="30" customHeight="1">
      <c r="A991" s="6">
        <v>989</v>
      </c>
      <c r="B991" s="7" t="str">
        <f>"29802021051319172195839"</f>
        <v>29802021051319172195839</v>
      </c>
      <c r="C991" s="7" t="s">
        <v>13</v>
      </c>
      <c r="D991" s="7" t="str">
        <f>"陈小慧"</f>
        <v>陈小慧</v>
      </c>
      <c r="E991" s="7" t="str">
        <f t="shared" si="46"/>
        <v>女</v>
      </c>
    </row>
    <row r="992" spans="1:5" ht="30" customHeight="1">
      <c r="A992" s="6">
        <v>990</v>
      </c>
      <c r="B992" s="7" t="str">
        <f>"29802021051319312095865"</f>
        <v>29802021051319312095865</v>
      </c>
      <c r="C992" s="7" t="s">
        <v>13</v>
      </c>
      <c r="D992" s="7" t="str">
        <f>"赵坤相"</f>
        <v>赵坤相</v>
      </c>
      <c r="E992" s="7" t="str">
        <f t="shared" si="46"/>
        <v>女</v>
      </c>
    </row>
    <row r="993" spans="1:5" ht="30" customHeight="1">
      <c r="A993" s="6">
        <v>991</v>
      </c>
      <c r="B993" s="7" t="str">
        <f>"29802021051319384295876"</f>
        <v>29802021051319384295876</v>
      </c>
      <c r="C993" s="7" t="s">
        <v>13</v>
      </c>
      <c r="D993" s="7" t="str">
        <f>"李文珍"</f>
        <v>李文珍</v>
      </c>
      <c r="E993" s="7" t="str">
        <f t="shared" si="46"/>
        <v>女</v>
      </c>
    </row>
    <row r="994" spans="1:5" ht="30" customHeight="1">
      <c r="A994" s="6">
        <v>992</v>
      </c>
      <c r="B994" s="7" t="str">
        <f>"29802021051319390195877"</f>
        <v>29802021051319390195877</v>
      </c>
      <c r="C994" s="7" t="s">
        <v>13</v>
      </c>
      <c r="D994" s="7" t="str">
        <f>"吴蔚燕"</f>
        <v>吴蔚燕</v>
      </c>
      <c r="E994" s="7" t="str">
        <f t="shared" si="46"/>
        <v>女</v>
      </c>
    </row>
    <row r="995" spans="1:5" ht="30" customHeight="1">
      <c r="A995" s="6">
        <v>993</v>
      </c>
      <c r="B995" s="7" t="str">
        <f>"29802021051319425495882"</f>
        <v>29802021051319425495882</v>
      </c>
      <c r="C995" s="7" t="s">
        <v>13</v>
      </c>
      <c r="D995" s="7" t="str">
        <f>"符有妹"</f>
        <v>符有妹</v>
      </c>
      <c r="E995" s="7" t="str">
        <f t="shared" si="46"/>
        <v>女</v>
      </c>
    </row>
    <row r="996" spans="1:5" ht="30" customHeight="1">
      <c r="A996" s="6">
        <v>994</v>
      </c>
      <c r="B996" s="7" t="str">
        <f>"29802021051319574695906"</f>
        <v>29802021051319574695906</v>
      </c>
      <c r="C996" s="7" t="s">
        <v>13</v>
      </c>
      <c r="D996" s="7" t="str">
        <f>"刘虹杏"</f>
        <v>刘虹杏</v>
      </c>
      <c r="E996" s="7" t="str">
        <f t="shared" si="46"/>
        <v>女</v>
      </c>
    </row>
    <row r="997" spans="1:5" ht="30" customHeight="1">
      <c r="A997" s="6">
        <v>995</v>
      </c>
      <c r="B997" s="7" t="str">
        <f>"29802021051320060395922"</f>
        <v>29802021051320060395922</v>
      </c>
      <c r="C997" s="7" t="s">
        <v>13</v>
      </c>
      <c r="D997" s="7" t="str">
        <f>"李莉芬"</f>
        <v>李莉芬</v>
      </c>
      <c r="E997" s="7" t="str">
        <f t="shared" si="46"/>
        <v>女</v>
      </c>
    </row>
    <row r="998" spans="1:5" ht="30" customHeight="1">
      <c r="A998" s="6">
        <v>996</v>
      </c>
      <c r="B998" s="7" t="str">
        <f>"29802021051320163695935"</f>
        <v>29802021051320163695935</v>
      </c>
      <c r="C998" s="7" t="s">
        <v>13</v>
      </c>
      <c r="D998" s="7" t="str">
        <f>"林启艳"</f>
        <v>林启艳</v>
      </c>
      <c r="E998" s="7" t="str">
        <f t="shared" si="46"/>
        <v>女</v>
      </c>
    </row>
    <row r="999" spans="1:5" ht="30" customHeight="1">
      <c r="A999" s="6">
        <v>997</v>
      </c>
      <c r="B999" s="7" t="str">
        <f>"29802021051320284295964"</f>
        <v>29802021051320284295964</v>
      </c>
      <c r="C999" s="7" t="s">
        <v>13</v>
      </c>
      <c r="D999" s="7" t="str">
        <f>"张娜"</f>
        <v>张娜</v>
      </c>
      <c r="E999" s="7" t="str">
        <f t="shared" si="46"/>
        <v>女</v>
      </c>
    </row>
    <row r="1000" spans="1:5" ht="30" customHeight="1">
      <c r="A1000" s="6">
        <v>998</v>
      </c>
      <c r="B1000" s="7" t="str">
        <f>"29802021051320384095984"</f>
        <v>29802021051320384095984</v>
      </c>
      <c r="C1000" s="7" t="s">
        <v>13</v>
      </c>
      <c r="D1000" s="7" t="str">
        <f>"陈小妹"</f>
        <v>陈小妹</v>
      </c>
      <c r="E1000" s="7" t="str">
        <f t="shared" si="46"/>
        <v>女</v>
      </c>
    </row>
    <row r="1001" spans="1:5" ht="30" customHeight="1">
      <c r="A1001" s="6">
        <v>999</v>
      </c>
      <c r="B1001" s="7" t="str">
        <f>"29802021051320391595985"</f>
        <v>29802021051320391595985</v>
      </c>
      <c r="C1001" s="7" t="s">
        <v>13</v>
      </c>
      <c r="D1001" s="7" t="str">
        <f>"钟金姐"</f>
        <v>钟金姐</v>
      </c>
      <c r="E1001" s="7" t="str">
        <f t="shared" si="46"/>
        <v>女</v>
      </c>
    </row>
    <row r="1002" spans="1:5" ht="30" customHeight="1">
      <c r="A1002" s="6">
        <v>1000</v>
      </c>
      <c r="B1002" s="7" t="str">
        <f>"29802021051320500696009"</f>
        <v>29802021051320500696009</v>
      </c>
      <c r="C1002" s="7" t="s">
        <v>13</v>
      </c>
      <c r="D1002" s="7" t="str">
        <f>"林梅"</f>
        <v>林梅</v>
      </c>
      <c r="E1002" s="7" t="str">
        <f t="shared" si="46"/>
        <v>女</v>
      </c>
    </row>
    <row r="1003" spans="1:5" ht="30" customHeight="1">
      <c r="A1003" s="6">
        <v>1001</v>
      </c>
      <c r="B1003" s="7" t="str">
        <f>"29802021051321010596029"</f>
        <v>29802021051321010596029</v>
      </c>
      <c r="C1003" s="7" t="s">
        <v>13</v>
      </c>
      <c r="D1003" s="7" t="str">
        <f>"苏锦霞"</f>
        <v>苏锦霞</v>
      </c>
      <c r="E1003" s="7" t="str">
        <f t="shared" si="46"/>
        <v>女</v>
      </c>
    </row>
    <row r="1004" spans="1:5" ht="30" customHeight="1">
      <c r="A1004" s="6">
        <v>1002</v>
      </c>
      <c r="B1004" s="7" t="str">
        <f>"29802021051321033596034"</f>
        <v>29802021051321033596034</v>
      </c>
      <c r="C1004" s="7" t="s">
        <v>13</v>
      </c>
      <c r="D1004" s="7" t="str">
        <f>"许环丁"</f>
        <v>许环丁</v>
      </c>
      <c r="E1004" s="7" t="str">
        <f t="shared" si="46"/>
        <v>女</v>
      </c>
    </row>
    <row r="1005" spans="1:5" ht="30" customHeight="1">
      <c r="A1005" s="6">
        <v>1003</v>
      </c>
      <c r="B1005" s="7" t="str">
        <f>"29802021051321214396064"</f>
        <v>29802021051321214396064</v>
      </c>
      <c r="C1005" s="7" t="s">
        <v>13</v>
      </c>
      <c r="D1005" s="7" t="str">
        <f>"何艳"</f>
        <v>何艳</v>
      </c>
      <c r="E1005" s="7" t="str">
        <f t="shared" si="46"/>
        <v>女</v>
      </c>
    </row>
    <row r="1006" spans="1:5" ht="30" customHeight="1">
      <c r="A1006" s="6">
        <v>1004</v>
      </c>
      <c r="B1006" s="7" t="str">
        <f>"29802021051321405796111"</f>
        <v>29802021051321405796111</v>
      </c>
      <c r="C1006" s="7" t="s">
        <v>13</v>
      </c>
      <c r="D1006" s="7" t="str">
        <f>"林钰"</f>
        <v>林钰</v>
      </c>
      <c r="E1006" s="7" t="str">
        <f t="shared" si="46"/>
        <v>女</v>
      </c>
    </row>
    <row r="1007" spans="1:5" ht="30" customHeight="1">
      <c r="A1007" s="6">
        <v>1005</v>
      </c>
      <c r="B1007" s="7" t="str">
        <f>"29802021051321443696129"</f>
        <v>29802021051321443696129</v>
      </c>
      <c r="C1007" s="7" t="s">
        <v>13</v>
      </c>
      <c r="D1007" s="7" t="str">
        <f>"曾月香"</f>
        <v>曾月香</v>
      </c>
      <c r="E1007" s="7" t="str">
        <f t="shared" si="46"/>
        <v>女</v>
      </c>
    </row>
    <row r="1008" spans="1:5" ht="30" customHeight="1">
      <c r="A1008" s="6">
        <v>1006</v>
      </c>
      <c r="B1008" s="7" t="str">
        <f>"29802021051321535596154"</f>
        <v>29802021051321535596154</v>
      </c>
      <c r="C1008" s="7" t="s">
        <v>13</v>
      </c>
      <c r="D1008" s="7" t="str">
        <f>"董爵玲"</f>
        <v>董爵玲</v>
      </c>
      <c r="E1008" s="7" t="str">
        <f t="shared" si="46"/>
        <v>女</v>
      </c>
    </row>
    <row r="1009" spans="1:5" ht="30" customHeight="1">
      <c r="A1009" s="6">
        <v>1007</v>
      </c>
      <c r="B1009" s="7" t="str">
        <f>"29802021051321593596165"</f>
        <v>29802021051321593596165</v>
      </c>
      <c r="C1009" s="7" t="s">
        <v>13</v>
      </c>
      <c r="D1009" s="7" t="str">
        <f>"何海珊"</f>
        <v>何海珊</v>
      </c>
      <c r="E1009" s="7" t="str">
        <f t="shared" si="46"/>
        <v>女</v>
      </c>
    </row>
    <row r="1010" spans="1:5" ht="30" customHeight="1">
      <c r="A1010" s="6">
        <v>1008</v>
      </c>
      <c r="B1010" s="7" t="str">
        <f>"29802021051322133296192"</f>
        <v>29802021051322133296192</v>
      </c>
      <c r="C1010" s="7" t="s">
        <v>13</v>
      </c>
      <c r="D1010" s="7" t="str">
        <f>"何仁辉"</f>
        <v>何仁辉</v>
      </c>
      <c r="E1010" s="7" t="str">
        <f>"男"</f>
        <v>男</v>
      </c>
    </row>
    <row r="1011" spans="1:5" ht="30" customHeight="1">
      <c r="A1011" s="6">
        <v>1009</v>
      </c>
      <c r="B1011" s="7" t="str">
        <f>"29802021051322153996202"</f>
        <v>29802021051322153996202</v>
      </c>
      <c r="C1011" s="7" t="s">
        <v>13</v>
      </c>
      <c r="D1011" s="7" t="str">
        <f>"林玉嘉"</f>
        <v>林玉嘉</v>
      </c>
      <c r="E1011" s="7" t="str">
        <f aca="true" t="shared" si="47" ref="E1011:E1021">"女"</f>
        <v>女</v>
      </c>
    </row>
    <row r="1012" spans="1:5" ht="30" customHeight="1">
      <c r="A1012" s="6">
        <v>1010</v>
      </c>
      <c r="B1012" s="7" t="str">
        <f>"29802021051322264696227"</f>
        <v>29802021051322264696227</v>
      </c>
      <c r="C1012" s="7" t="s">
        <v>13</v>
      </c>
      <c r="D1012" s="7" t="str">
        <f>"邓小芳"</f>
        <v>邓小芳</v>
      </c>
      <c r="E1012" s="7" t="str">
        <f t="shared" si="47"/>
        <v>女</v>
      </c>
    </row>
    <row r="1013" spans="1:5" ht="30" customHeight="1">
      <c r="A1013" s="6">
        <v>1011</v>
      </c>
      <c r="B1013" s="7" t="str">
        <f>"29802021051322400796264"</f>
        <v>29802021051322400796264</v>
      </c>
      <c r="C1013" s="7" t="s">
        <v>13</v>
      </c>
      <c r="D1013" s="7" t="str">
        <f>"黄晓佳"</f>
        <v>黄晓佳</v>
      </c>
      <c r="E1013" s="7" t="str">
        <f t="shared" si="47"/>
        <v>女</v>
      </c>
    </row>
    <row r="1014" spans="1:5" ht="30" customHeight="1">
      <c r="A1014" s="6">
        <v>1012</v>
      </c>
      <c r="B1014" s="7" t="str">
        <f>"29802021051322580196284"</f>
        <v>29802021051322580196284</v>
      </c>
      <c r="C1014" s="7" t="s">
        <v>13</v>
      </c>
      <c r="D1014" s="7" t="str">
        <f>"黎金丽"</f>
        <v>黎金丽</v>
      </c>
      <c r="E1014" s="7" t="str">
        <f t="shared" si="47"/>
        <v>女</v>
      </c>
    </row>
    <row r="1015" spans="1:5" ht="30" customHeight="1">
      <c r="A1015" s="6">
        <v>1013</v>
      </c>
      <c r="B1015" s="7" t="str">
        <f>"29802021051323033496294"</f>
        <v>29802021051323033496294</v>
      </c>
      <c r="C1015" s="7" t="s">
        <v>13</v>
      </c>
      <c r="D1015" s="7" t="str">
        <f>"黄婕"</f>
        <v>黄婕</v>
      </c>
      <c r="E1015" s="7" t="str">
        <f t="shared" si="47"/>
        <v>女</v>
      </c>
    </row>
    <row r="1016" spans="1:5" ht="30" customHeight="1">
      <c r="A1016" s="6">
        <v>1014</v>
      </c>
      <c r="B1016" s="7" t="str">
        <f>"29802021051323135896316"</f>
        <v>29802021051323135896316</v>
      </c>
      <c r="C1016" s="7" t="s">
        <v>13</v>
      </c>
      <c r="D1016" s="7" t="str">
        <f>"李专"</f>
        <v>李专</v>
      </c>
      <c r="E1016" s="7" t="str">
        <f t="shared" si="47"/>
        <v>女</v>
      </c>
    </row>
    <row r="1017" spans="1:5" ht="30" customHeight="1">
      <c r="A1017" s="6">
        <v>1015</v>
      </c>
      <c r="B1017" s="7" t="str">
        <f>"29802021051323210096326"</f>
        <v>29802021051323210096326</v>
      </c>
      <c r="C1017" s="7" t="s">
        <v>13</v>
      </c>
      <c r="D1017" s="7" t="str">
        <f>"王壮燕"</f>
        <v>王壮燕</v>
      </c>
      <c r="E1017" s="7" t="str">
        <f t="shared" si="47"/>
        <v>女</v>
      </c>
    </row>
    <row r="1018" spans="1:5" ht="30" customHeight="1">
      <c r="A1018" s="6">
        <v>1016</v>
      </c>
      <c r="B1018" s="7" t="str">
        <f>"29802021051323260096331"</f>
        <v>29802021051323260096331</v>
      </c>
      <c r="C1018" s="7" t="s">
        <v>13</v>
      </c>
      <c r="D1018" s="7" t="str">
        <f>"杨蕾"</f>
        <v>杨蕾</v>
      </c>
      <c r="E1018" s="7" t="str">
        <f t="shared" si="47"/>
        <v>女</v>
      </c>
    </row>
    <row r="1019" spans="1:5" ht="30" customHeight="1">
      <c r="A1019" s="6">
        <v>1017</v>
      </c>
      <c r="B1019" s="7" t="str">
        <f>"29802021051323302196337"</f>
        <v>29802021051323302196337</v>
      </c>
      <c r="C1019" s="7" t="s">
        <v>13</v>
      </c>
      <c r="D1019" s="7" t="str">
        <f>"张彩琴"</f>
        <v>张彩琴</v>
      </c>
      <c r="E1019" s="7" t="str">
        <f t="shared" si="47"/>
        <v>女</v>
      </c>
    </row>
    <row r="1020" spans="1:5" ht="30" customHeight="1">
      <c r="A1020" s="6">
        <v>1018</v>
      </c>
      <c r="B1020" s="7" t="str">
        <f>"29802021051400305496389"</f>
        <v>29802021051400305496389</v>
      </c>
      <c r="C1020" s="7" t="s">
        <v>13</v>
      </c>
      <c r="D1020" s="7" t="str">
        <f>"杜倩潼"</f>
        <v>杜倩潼</v>
      </c>
      <c r="E1020" s="7" t="str">
        <f t="shared" si="47"/>
        <v>女</v>
      </c>
    </row>
    <row r="1021" spans="1:5" ht="30" customHeight="1">
      <c r="A1021" s="6">
        <v>1019</v>
      </c>
      <c r="B1021" s="7" t="str">
        <f>"29802021051401543096407"</f>
        <v>29802021051401543096407</v>
      </c>
      <c r="C1021" s="7" t="s">
        <v>13</v>
      </c>
      <c r="D1021" s="7" t="str">
        <f>"王素南"</f>
        <v>王素南</v>
      </c>
      <c r="E1021" s="7" t="str">
        <f t="shared" si="47"/>
        <v>女</v>
      </c>
    </row>
    <row r="1022" spans="1:5" ht="30" customHeight="1">
      <c r="A1022" s="6">
        <v>1020</v>
      </c>
      <c r="B1022" s="7" t="str">
        <f>"29802021051408080796448"</f>
        <v>29802021051408080796448</v>
      </c>
      <c r="C1022" s="7" t="s">
        <v>13</v>
      </c>
      <c r="D1022" s="7" t="str">
        <f>"罗芳焯"</f>
        <v>罗芳焯</v>
      </c>
      <c r="E1022" s="7" t="str">
        <f>"男"</f>
        <v>男</v>
      </c>
    </row>
    <row r="1023" spans="1:5" ht="30" customHeight="1">
      <c r="A1023" s="6">
        <v>1021</v>
      </c>
      <c r="B1023" s="7" t="str">
        <f>"29802021051408121596450"</f>
        <v>29802021051408121596450</v>
      </c>
      <c r="C1023" s="7" t="s">
        <v>13</v>
      </c>
      <c r="D1023" s="7" t="str">
        <f>"林彦敏"</f>
        <v>林彦敏</v>
      </c>
      <c r="E1023" s="7" t="str">
        <f aca="true" t="shared" si="48" ref="E1023:E1044">"女"</f>
        <v>女</v>
      </c>
    </row>
    <row r="1024" spans="1:5" ht="30" customHeight="1">
      <c r="A1024" s="6">
        <v>1022</v>
      </c>
      <c r="B1024" s="7" t="str">
        <f>"29802021051408194396455"</f>
        <v>29802021051408194396455</v>
      </c>
      <c r="C1024" s="7" t="s">
        <v>13</v>
      </c>
      <c r="D1024" s="7" t="str">
        <f>"王春梅"</f>
        <v>王春梅</v>
      </c>
      <c r="E1024" s="7" t="str">
        <f t="shared" si="48"/>
        <v>女</v>
      </c>
    </row>
    <row r="1025" spans="1:5" ht="30" customHeight="1">
      <c r="A1025" s="6">
        <v>1023</v>
      </c>
      <c r="B1025" s="7" t="str">
        <f>"29802021051408294196469"</f>
        <v>29802021051408294196469</v>
      </c>
      <c r="C1025" s="7" t="s">
        <v>13</v>
      </c>
      <c r="D1025" s="7" t="str">
        <f>"王万柳"</f>
        <v>王万柳</v>
      </c>
      <c r="E1025" s="7" t="str">
        <f t="shared" si="48"/>
        <v>女</v>
      </c>
    </row>
    <row r="1026" spans="1:5" ht="30" customHeight="1">
      <c r="A1026" s="6">
        <v>1024</v>
      </c>
      <c r="B1026" s="7" t="str">
        <f>"29802021051408410296488"</f>
        <v>29802021051408410296488</v>
      </c>
      <c r="C1026" s="7" t="s">
        <v>13</v>
      </c>
      <c r="D1026" s="7" t="str">
        <f>"薛秋梅"</f>
        <v>薛秋梅</v>
      </c>
      <c r="E1026" s="7" t="str">
        <f t="shared" si="48"/>
        <v>女</v>
      </c>
    </row>
    <row r="1027" spans="1:5" ht="30" customHeight="1">
      <c r="A1027" s="6">
        <v>1025</v>
      </c>
      <c r="B1027" s="7" t="str">
        <f>"29802021051409380796599"</f>
        <v>29802021051409380796599</v>
      </c>
      <c r="C1027" s="7" t="s">
        <v>13</v>
      </c>
      <c r="D1027" s="7" t="str">
        <f>"翁书雪"</f>
        <v>翁书雪</v>
      </c>
      <c r="E1027" s="7" t="str">
        <f t="shared" si="48"/>
        <v>女</v>
      </c>
    </row>
    <row r="1028" spans="1:5" ht="30" customHeight="1">
      <c r="A1028" s="6">
        <v>1026</v>
      </c>
      <c r="B1028" s="7" t="str">
        <f>"29802021051409453396625"</f>
        <v>29802021051409453396625</v>
      </c>
      <c r="C1028" s="7" t="s">
        <v>13</v>
      </c>
      <c r="D1028" s="7" t="str">
        <f>"林秋枫"</f>
        <v>林秋枫</v>
      </c>
      <c r="E1028" s="7" t="str">
        <f t="shared" si="48"/>
        <v>女</v>
      </c>
    </row>
    <row r="1029" spans="1:5" ht="30" customHeight="1">
      <c r="A1029" s="6">
        <v>1027</v>
      </c>
      <c r="B1029" s="7" t="str">
        <f>"29802021051409472596631"</f>
        <v>29802021051409472596631</v>
      </c>
      <c r="C1029" s="7" t="s">
        <v>13</v>
      </c>
      <c r="D1029" s="7" t="str">
        <f>"黄小玲"</f>
        <v>黄小玲</v>
      </c>
      <c r="E1029" s="7" t="str">
        <f t="shared" si="48"/>
        <v>女</v>
      </c>
    </row>
    <row r="1030" spans="1:5" ht="30" customHeight="1">
      <c r="A1030" s="6">
        <v>1028</v>
      </c>
      <c r="B1030" s="7" t="str">
        <f>"29802021051410015796663"</f>
        <v>29802021051410015796663</v>
      </c>
      <c r="C1030" s="7" t="s">
        <v>13</v>
      </c>
      <c r="D1030" s="7" t="str">
        <f>"吴淑娇"</f>
        <v>吴淑娇</v>
      </c>
      <c r="E1030" s="7" t="str">
        <f t="shared" si="48"/>
        <v>女</v>
      </c>
    </row>
    <row r="1031" spans="1:5" ht="30" customHeight="1">
      <c r="A1031" s="6">
        <v>1029</v>
      </c>
      <c r="B1031" s="7" t="str">
        <f>"29802021051410150896696"</f>
        <v>29802021051410150896696</v>
      </c>
      <c r="C1031" s="7" t="s">
        <v>13</v>
      </c>
      <c r="D1031" s="7" t="str">
        <f>"唐志兰"</f>
        <v>唐志兰</v>
      </c>
      <c r="E1031" s="7" t="str">
        <f t="shared" si="48"/>
        <v>女</v>
      </c>
    </row>
    <row r="1032" spans="1:5" ht="30" customHeight="1">
      <c r="A1032" s="6">
        <v>1030</v>
      </c>
      <c r="B1032" s="7" t="str">
        <f>"29802021051410305696735"</f>
        <v>29802021051410305696735</v>
      </c>
      <c r="C1032" s="7" t="s">
        <v>13</v>
      </c>
      <c r="D1032" s="7" t="str">
        <f>"卢翠"</f>
        <v>卢翠</v>
      </c>
      <c r="E1032" s="7" t="str">
        <f t="shared" si="48"/>
        <v>女</v>
      </c>
    </row>
    <row r="1033" spans="1:5" ht="30" customHeight="1">
      <c r="A1033" s="6">
        <v>1031</v>
      </c>
      <c r="B1033" s="7" t="str">
        <f>"29802021051410493696768"</f>
        <v>29802021051410493696768</v>
      </c>
      <c r="C1033" s="7" t="s">
        <v>13</v>
      </c>
      <c r="D1033" s="7" t="str">
        <f>"陈宇莹"</f>
        <v>陈宇莹</v>
      </c>
      <c r="E1033" s="7" t="str">
        <f t="shared" si="48"/>
        <v>女</v>
      </c>
    </row>
    <row r="1034" spans="1:5" ht="30" customHeight="1">
      <c r="A1034" s="6">
        <v>1032</v>
      </c>
      <c r="B1034" s="7" t="str">
        <f>"29802021051410540096778"</f>
        <v>29802021051410540096778</v>
      </c>
      <c r="C1034" s="7" t="s">
        <v>13</v>
      </c>
      <c r="D1034" s="7" t="str">
        <f>"陈火琳"</f>
        <v>陈火琳</v>
      </c>
      <c r="E1034" s="7" t="str">
        <f t="shared" si="48"/>
        <v>女</v>
      </c>
    </row>
    <row r="1035" spans="1:5" ht="30" customHeight="1">
      <c r="A1035" s="6">
        <v>1033</v>
      </c>
      <c r="B1035" s="7" t="str">
        <f>"29802021051411051696811"</f>
        <v>29802021051411051696811</v>
      </c>
      <c r="C1035" s="7" t="s">
        <v>13</v>
      </c>
      <c r="D1035" s="7" t="str">
        <f>"陈菊"</f>
        <v>陈菊</v>
      </c>
      <c r="E1035" s="7" t="str">
        <f t="shared" si="48"/>
        <v>女</v>
      </c>
    </row>
    <row r="1036" spans="1:5" ht="30" customHeight="1">
      <c r="A1036" s="6">
        <v>1034</v>
      </c>
      <c r="B1036" s="7" t="str">
        <f>"29802021051411132596826"</f>
        <v>29802021051411132596826</v>
      </c>
      <c r="C1036" s="7" t="s">
        <v>13</v>
      </c>
      <c r="D1036" s="7" t="str">
        <f>"李肖玉"</f>
        <v>李肖玉</v>
      </c>
      <c r="E1036" s="7" t="str">
        <f t="shared" si="48"/>
        <v>女</v>
      </c>
    </row>
    <row r="1037" spans="1:5" ht="30" customHeight="1">
      <c r="A1037" s="6">
        <v>1035</v>
      </c>
      <c r="B1037" s="7" t="str">
        <f>"29802021051411142796829"</f>
        <v>29802021051411142796829</v>
      </c>
      <c r="C1037" s="7" t="s">
        <v>13</v>
      </c>
      <c r="D1037" s="7" t="str">
        <f>"吴小佳"</f>
        <v>吴小佳</v>
      </c>
      <c r="E1037" s="7" t="str">
        <f t="shared" si="48"/>
        <v>女</v>
      </c>
    </row>
    <row r="1038" spans="1:5" ht="30" customHeight="1">
      <c r="A1038" s="6">
        <v>1036</v>
      </c>
      <c r="B1038" s="7" t="str">
        <f>"29802021051411393696885"</f>
        <v>29802021051411393696885</v>
      </c>
      <c r="C1038" s="7" t="s">
        <v>13</v>
      </c>
      <c r="D1038" s="7" t="str">
        <f>"王川淇"</f>
        <v>王川淇</v>
      </c>
      <c r="E1038" s="7" t="str">
        <f t="shared" si="48"/>
        <v>女</v>
      </c>
    </row>
    <row r="1039" spans="1:5" ht="30" customHeight="1">
      <c r="A1039" s="6">
        <v>1037</v>
      </c>
      <c r="B1039" s="7" t="str">
        <f>"29802021051411543196910"</f>
        <v>29802021051411543196910</v>
      </c>
      <c r="C1039" s="7" t="s">
        <v>13</v>
      </c>
      <c r="D1039" s="7" t="str">
        <f>"朱美妃"</f>
        <v>朱美妃</v>
      </c>
      <c r="E1039" s="7" t="str">
        <f t="shared" si="48"/>
        <v>女</v>
      </c>
    </row>
    <row r="1040" spans="1:5" ht="30" customHeight="1">
      <c r="A1040" s="6">
        <v>1038</v>
      </c>
      <c r="B1040" s="7" t="str">
        <f>"29802021051412003396920"</f>
        <v>29802021051412003396920</v>
      </c>
      <c r="C1040" s="7" t="s">
        <v>13</v>
      </c>
      <c r="D1040" s="7" t="str">
        <f>"符秋艳"</f>
        <v>符秋艳</v>
      </c>
      <c r="E1040" s="7" t="str">
        <f t="shared" si="48"/>
        <v>女</v>
      </c>
    </row>
    <row r="1041" spans="1:5" ht="30" customHeight="1">
      <c r="A1041" s="6">
        <v>1039</v>
      </c>
      <c r="B1041" s="7" t="str">
        <f>"29802021051412163996960"</f>
        <v>29802021051412163996960</v>
      </c>
      <c r="C1041" s="7" t="s">
        <v>13</v>
      </c>
      <c r="D1041" s="7" t="str">
        <f>"薛晶乙"</f>
        <v>薛晶乙</v>
      </c>
      <c r="E1041" s="7" t="str">
        <f t="shared" si="48"/>
        <v>女</v>
      </c>
    </row>
    <row r="1042" spans="1:5" ht="30" customHeight="1">
      <c r="A1042" s="6">
        <v>1040</v>
      </c>
      <c r="B1042" s="7" t="str">
        <f>"29802021051412263896975"</f>
        <v>29802021051412263896975</v>
      </c>
      <c r="C1042" s="7" t="s">
        <v>13</v>
      </c>
      <c r="D1042" s="7" t="str">
        <f>"王康蜜"</f>
        <v>王康蜜</v>
      </c>
      <c r="E1042" s="7" t="str">
        <f t="shared" si="48"/>
        <v>女</v>
      </c>
    </row>
    <row r="1043" spans="1:5" ht="30" customHeight="1">
      <c r="A1043" s="6">
        <v>1041</v>
      </c>
      <c r="B1043" s="7" t="str">
        <f>"29802021051412363596992"</f>
        <v>29802021051412363596992</v>
      </c>
      <c r="C1043" s="7" t="s">
        <v>13</v>
      </c>
      <c r="D1043" s="7" t="str">
        <f>"王凤"</f>
        <v>王凤</v>
      </c>
      <c r="E1043" s="7" t="str">
        <f t="shared" si="48"/>
        <v>女</v>
      </c>
    </row>
    <row r="1044" spans="1:5" ht="30" customHeight="1">
      <c r="A1044" s="6">
        <v>1042</v>
      </c>
      <c r="B1044" s="7" t="str">
        <f>"29802021051412420197006"</f>
        <v>29802021051412420197006</v>
      </c>
      <c r="C1044" s="7" t="s">
        <v>13</v>
      </c>
      <c r="D1044" s="7" t="str">
        <f>"潘雨"</f>
        <v>潘雨</v>
      </c>
      <c r="E1044" s="7" t="str">
        <f t="shared" si="48"/>
        <v>女</v>
      </c>
    </row>
    <row r="1045" spans="1:5" ht="30" customHeight="1">
      <c r="A1045" s="6">
        <v>1043</v>
      </c>
      <c r="B1045" s="7" t="str">
        <f>"29802021051412595497040"</f>
        <v>29802021051412595497040</v>
      </c>
      <c r="C1045" s="7" t="s">
        <v>13</v>
      </c>
      <c r="D1045" s="7" t="str">
        <f>"吴启荣"</f>
        <v>吴启荣</v>
      </c>
      <c r="E1045" s="7" t="str">
        <f>"男"</f>
        <v>男</v>
      </c>
    </row>
    <row r="1046" spans="1:5" ht="30" customHeight="1">
      <c r="A1046" s="6">
        <v>1044</v>
      </c>
      <c r="B1046" s="7" t="str">
        <f>"29802021051413095697061"</f>
        <v>29802021051413095697061</v>
      </c>
      <c r="C1046" s="7" t="s">
        <v>13</v>
      </c>
      <c r="D1046" s="7" t="str">
        <f>"符玉舅"</f>
        <v>符玉舅</v>
      </c>
      <c r="E1046" s="7" t="str">
        <f aca="true" t="shared" si="49" ref="E1046:E1054">"女"</f>
        <v>女</v>
      </c>
    </row>
    <row r="1047" spans="1:5" ht="30" customHeight="1">
      <c r="A1047" s="6">
        <v>1045</v>
      </c>
      <c r="B1047" s="7" t="str">
        <f>"29802021051413105297065"</f>
        <v>29802021051413105297065</v>
      </c>
      <c r="C1047" s="7" t="s">
        <v>13</v>
      </c>
      <c r="D1047" s="7" t="str">
        <f>"石敏"</f>
        <v>石敏</v>
      </c>
      <c r="E1047" s="7" t="str">
        <f t="shared" si="49"/>
        <v>女</v>
      </c>
    </row>
    <row r="1048" spans="1:5" ht="30" customHeight="1">
      <c r="A1048" s="6">
        <v>1046</v>
      </c>
      <c r="B1048" s="7" t="str">
        <f>"29802021051413203797091"</f>
        <v>29802021051413203797091</v>
      </c>
      <c r="C1048" s="7" t="s">
        <v>13</v>
      </c>
      <c r="D1048" s="7" t="str">
        <f>"李亚珠"</f>
        <v>李亚珠</v>
      </c>
      <c r="E1048" s="7" t="str">
        <f t="shared" si="49"/>
        <v>女</v>
      </c>
    </row>
    <row r="1049" spans="1:5" ht="30" customHeight="1">
      <c r="A1049" s="6">
        <v>1047</v>
      </c>
      <c r="B1049" s="7" t="str">
        <f>"29802021051413224197095"</f>
        <v>29802021051413224197095</v>
      </c>
      <c r="C1049" s="7" t="s">
        <v>13</v>
      </c>
      <c r="D1049" s="7" t="str">
        <f>"张锡秀"</f>
        <v>张锡秀</v>
      </c>
      <c r="E1049" s="7" t="str">
        <f t="shared" si="49"/>
        <v>女</v>
      </c>
    </row>
    <row r="1050" spans="1:5" ht="30" customHeight="1">
      <c r="A1050" s="6">
        <v>1048</v>
      </c>
      <c r="B1050" s="7" t="str">
        <f>"29802021051413225897096"</f>
        <v>29802021051413225897096</v>
      </c>
      <c r="C1050" s="7" t="s">
        <v>13</v>
      </c>
      <c r="D1050" s="7" t="str">
        <f>"郑茜丹"</f>
        <v>郑茜丹</v>
      </c>
      <c r="E1050" s="7" t="str">
        <f t="shared" si="49"/>
        <v>女</v>
      </c>
    </row>
    <row r="1051" spans="1:5" ht="30" customHeight="1">
      <c r="A1051" s="6">
        <v>1049</v>
      </c>
      <c r="B1051" s="7" t="str">
        <f>"29802021051413421497128"</f>
        <v>29802021051413421497128</v>
      </c>
      <c r="C1051" s="7" t="s">
        <v>13</v>
      </c>
      <c r="D1051" s="7" t="str">
        <f>"梁富容"</f>
        <v>梁富容</v>
      </c>
      <c r="E1051" s="7" t="str">
        <f t="shared" si="49"/>
        <v>女</v>
      </c>
    </row>
    <row r="1052" spans="1:5" ht="30" customHeight="1">
      <c r="A1052" s="6">
        <v>1050</v>
      </c>
      <c r="B1052" s="7" t="str">
        <f>"29802021051413593297160"</f>
        <v>29802021051413593297160</v>
      </c>
      <c r="C1052" s="7" t="s">
        <v>13</v>
      </c>
      <c r="D1052" s="7" t="str">
        <f>"李佳滢"</f>
        <v>李佳滢</v>
      </c>
      <c r="E1052" s="7" t="str">
        <f t="shared" si="49"/>
        <v>女</v>
      </c>
    </row>
    <row r="1053" spans="1:5" ht="30" customHeight="1">
      <c r="A1053" s="6">
        <v>1051</v>
      </c>
      <c r="B1053" s="7" t="str">
        <f>"29802021051414025997166"</f>
        <v>29802021051414025997166</v>
      </c>
      <c r="C1053" s="7" t="s">
        <v>13</v>
      </c>
      <c r="D1053" s="7" t="str">
        <f>"方莹"</f>
        <v>方莹</v>
      </c>
      <c r="E1053" s="7" t="str">
        <f t="shared" si="49"/>
        <v>女</v>
      </c>
    </row>
    <row r="1054" spans="1:5" ht="30" customHeight="1">
      <c r="A1054" s="6">
        <v>1052</v>
      </c>
      <c r="B1054" s="7" t="str">
        <f>"29802021051414042397167"</f>
        <v>29802021051414042397167</v>
      </c>
      <c r="C1054" s="7" t="s">
        <v>13</v>
      </c>
      <c r="D1054" s="7" t="str">
        <f>"周晓红"</f>
        <v>周晓红</v>
      </c>
      <c r="E1054" s="7" t="str">
        <f t="shared" si="49"/>
        <v>女</v>
      </c>
    </row>
    <row r="1055" spans="1:5" ht="30" customHeight="1">
      <c r="A1055" s="6">
        <v>1053</v>
      </c>
      <c r="B1055" s="7" t="str">
        <f>"29802021051414113397172"</f>
        <v>29802021051414113397172</v>
      </c>
      <c r="C1055" s="7" t="s">
        <v>13</v>
      </c>
      <c r="D1055" s="7" t="str">
        <f>"蔡於良"</f>
        <v>蔡於良</v>
      </c>
      <c r="E1055" s="7" t="str">
        <f>"男"</f>
        <v>男</v>
      </c>
    </row>
    <row r="1056" spans="1:5" ht="30" customHeight="1">
      <c r="A1056" s="6">
        <v>1054</v>
      </c>
      <c r="B1056" s="7" t="str">
        <f>"29802021051414113497173"</f>
        <v>29802021051414113497173</v>
      </c>
      <c r="C1056" s="7" t="s">
        <v>13</v>
      </c>
      <c r="D1056" s="7" t="str">
        <f>"李爱蓉"</f>
        <v>李爱蓉</v>
      </c>
      <c r="E1056" s="7" t="str">
        <f>"女"</f>
        <v>女</v>
      </c>
    </row>
    <row r="1057" spans="1:5" ht="30" customHeight="1">
      <c r="A1057" s="6">
        <v>1055</v>
      </c>
      <c r="B1057" s="7" t="str">
        <f>"29802021051414245997196"</f>
        <v>29802021051414245997196</v>
      </c>
      <c r="C1057" s="7" t="s">
        <v>13</v>
      </c>
      <c r="D1057" s="7" t="str">
        <f>"徐娴"</f>
        <v>徐娴</v>
      </c>
      <c r="E1057" s="7" t="str">
        <f>"女"</f>
        <v>女</v>
      </c>
    </row>
    <row r="1058" spans="1:5" ht="30" customHeight="1">
      <c r="A1058" s="6">
        <v>1056</v>
      </c>
      <c r="B1058" s="7" t="str">
        <f>"29802021051414411097224"</f>
        <v>29802021051414411097224</v>
      </c>
      <c r="C1058" s="7" t="s">
        <v>13</v>
      </c>
      <c r="D1058" s="7" t="str">
        <f>"陈积敏"</f>
        <v>陈积敏</v>
      </c>
      <c r="E1058" s="7" t="str">
        <f>"女"</f>
        <v>女</v>
      </c>
    </row>
    <row r="1059" spans="1:5" ht="30" customHeight="1">
      <c r="A1059" s="6">
        <v>1057</v>
      </c>
      <c r="B1059" s="7" t="str">
        <f>"29802021051414541297245"</f>
        <v>29802021051414541297245</v>
      </c>
      <c r="C1059" s="7" t="s">
        <v>13</v>
      </c>
      <c r="D1059" s="7" t="str">
        <f>"王莹菁"</f>
        <v>王莹菁</v>
      </c>
      <c r="E1059" s="7" t="str">
        <f>"女"</f>
        <v>女</v>
      </c>
    </row>
    <row r="1060" spans="1:5" ht="30" customHeight="1">
      <c r="A1060" s="6">
        <v>1058</v>
      </c>
      <c r="B1060" s="7" t="str">
        <f>"29802021051415024497260"</f>
        <v>29802021051415024497260</v>
      </c>
      <c r="C1060" s="7" t="s">
        <v>13</v>
      </c>
      <c r="D1060" s="7" t="str">
        <f>"陈晓雄"</f>
        <v>陈晓雄</v>
      </c>
      <c r="E1060" s="7" t="str">
        <f>"男"</f>
        <v>男</v>
      </c>
    </row>
    <row r="1061" spans="1:5" ht="30" customHeight="1">
      <c r="A1061" s="6">
        <v>1059</v>
      </c>
      <c r="B1061" s="7" t="str">
        <f>"29802021051415150997284"</f>
        <v>29802021051415150997284</v>
      </c>
      <c r="C1061" s="7" t="s">
        <v>13</v>
      </c>
      <c r="D1061" s="7" t="str">
        <f>"张昌列"</f>
        <v>张昌列</v>
      </c>
      <c r="E1061" s="7" t="str">
        <f>"男"</f>
        <v>男</v>
      </c>
    </row>
    <row r="1062" spans="1:5" ht="30" customHeight="1">
      <c r="A1062" s="6">
        <v>1060</v>
      </c>
      <c r="B1062" s="7" t="str">
        <f>"29802021051415162797286"</f>
        <v>29802021051415162797286</v>
      </c>
      <c r="C1062" s="7" t="s">
        <v>13</v>
      </c>
      <c r="D1062" s="7" t="str">
        <f>"陈海玲"</f>
        <v>陈海玲</v>
      </c>
      <c r="E1062" s="7" t="str">
        <f>"女"</f>
        <v>女</v>
      </c>
    </row>
    <row r="1063" spans="1:5" ht="30" customHeight="1">
      <c r="A1063" s="6">
        <v>1061</v>
      </c>
      <c r="B1063" s="7" t="str">
        <f>"29802021051415304597335"</f>
        <v>29802021051415304597335</v>
      </c>
      <c r="C1063" s="7" t="s">
        <v>13</v>
      </c>
      <c r="D1063" s="7" t="str">
        <f>"吴坛慧"</f>
        <v>吴坛慧</v>
      </c>
      <c r="E1063" s="7" t="str">
        <f>"女"</f>
        <v>女</v>
      </c>
    </row>
    <row r="1064" spans="1:5" ht="30" customHeight="1">
      <c r="A1064" s="6">
        <v>1062</v>
      </c>
      <c r="B1064" s="7" t="str">
        <f>"29802021051415544697386"</f>
        <v>29802021051415544697386</v>
      </c>
      <c r="C1064" s="7" t="s">
        <v>13</v>
      </c>
      <c r="D1064" s="7" t="str">
        <f>"陈茂精"</f>
        <v>陈茂精</v>
      </c>
      <c r="E1064" s="7" t="str">
        <f>"男"</f>
        <v>男</v>
      </c>
    </row>
    <row r="1065" spans="1:5" ht="30" customHeight="1">
      <c r="A1065" s="6">
        <v>1063</v>
      </c>
      <c r="B1065" s="7" t="str">
        <f>"29802021051416330497489"</f>
        <v>29802021051416330497489</v>
      </c>
      <c r="C1065" s="7" t="s">
        <v>13</v>
      </c>
      <c r="D1065" s="7" t="str">
        <f>"吴晓君"</f>
        <v>吴晓君</v>
      </c>
      <c r="E1065" s="7" t="str">
        <f aca="true" t="shared" si="50" ref="E1065:E1128">"女"</f>
        <v>女</v>
      </c>
    </row>
    <row r="1066" spans="1:5" ht="30" customHeight="1">
      <c r="A1066" s="6">
        <v>1064</v>
      </c>
      <c r="B1066" s="7" t="str">
        <f>"29802021051416493197521"</f>
        <v>29802021051416493197521</v>
      </c>
      <c r="C1066" s="7" t="s">
        <v>13</v>
      </c>
      <c r="D1066" s="7" t="str">
        <f>"王传为"</f>
        <v>王传为</v>
      </c>
      <c r="E1066" s="7" t="str">
        <f t="shared" si="50"/>
        <v>女</v>
      </c>
    </row>
    <row r="1067" spans="1:5" ht="30" customHeight="1">
      <c r="A1067" s="6">
        <v>1065</v>
      </c>
      <c r="B1067" s="7" t="str">
        <f>"29802021051416530697532"</f>
        <v>29802021051416530697532</v>
      </c>
      <c r="C1067" s="7" t="s">
        <v>13</v>
      </c>
      <c r="D1067" s="7" t="str">
        <f>"夏奇琳"</f>
        <v>夏奇琳</v>
      </c>
      <c r="E1067" s="7" t="str">
        <f t="shared" si="50"/>
        <v>女</v>
      </c>
    </row>
    <row r="1068" spans="1:5" ht="30" customHeight="1">
      <c r="A1068" s="6">
        <v>1066</v>
      </c>
      <c r="B1068" s="7" t="str">
        <f>"29802021051416582197549"</f>
        <v>29802021051416582197549</v>
      </c>
      <c r="C1068" s="7" t="s">
        <v>13</v>
      </c>
      <c r="D1068" s="7" t="str">
        <f>"陈雪"</f>
        <v>陈雪</v>
      </c>
      <c r="E1068" s="7" t="str">
        <f t="shared" si="50"/>
        <v>女</v>
      </c>
    </row>
    <row r="1069" spans="1:5" ht="30" customHeight="1">
      <c r="A1069" s="6">
        <v>1067</v>
      </c>
      <c r="B1069" s="7" t="str">
        <f>"29802021051417011697557"</f>
        <v>29802021051417011697557</v>
      </c>
      <c r="C1069" s="7" t="s">
        <v>13</v>
      </c>
      <c r="D1069" s="7" t="str">
        <f>"邢云淋"</f>
        <v>邢云淋</v>
      </c>
      <c r="E1069" s="7" t="str">
        <f t="shared" si="50"/>
        <v>女</v>
      </c>
    </row>
    <row r="1070" spans="1:5" ht="30" customHeight="1">
      <c r="A1070" s="6">
        <v>1068</v>
      </c>
      <c r="B1070" s="7" t="str">
        <f>"29802021051417081597568"</f>
        <v>29802021051417081597568</v>
      </c>
      <c r="C1070" s="7" t="s">
        <v>13</v>
      </c>
      <c r="D1070" s="7" t="str">
        <f>"刘炎"</f>
        <v>刘炎</v>
      </c>
      <c r="E1070" s="7" t="str">
        <f t="shared" si="50"/>
        <v>女</v>
      </c>
    </row>
    <row r="1071" spans="1:5" ht="30" customHeight="1">
      <c r="A1071" s="6">
        <v>1069</v>
      </c>
      <c r="B1071" s="7" t="str">
        <f>"29802021051417142197579"</f>
        <v>29802021051417142197579</v>
      </c>
      <c r="C1071" s="7" t="s">
        <v>13</v>
      </c>
      <c r="D1071" s="7" t="str">
        <f>"魏薇"</f>
        <v>魏薇</v>
      </c>
      <c r="E1071" s="7" t="str">
        <f t="shared" si="50"/>
        <v>女</v>
      </c>
    </row>
    <row r="1072" spans="1:5" ht="30" customHeight="1">
      <c r="A1072" s="6">
        <v>1070</v>
      </c>
      <c r="B1072" s="7" t="str">
        <f>"29802021051417164397588"</f>
        <v>29802021051417164397588</v>
      </c>
      <c r="C1072" s="7" t="s">
        <v>13</v>
      </c>
      <c r="D1072" s="7" t="str">
        <f>"符青舒"</f>
        <v>符青舒</v>
      </c>
      <c r="E1072" s="7" t="str">
        <f t="shared" si="50"/>
        <v>女</v>
      </c>
    </row>
    <row r="1073" spans="1:5" ht="30" customHeight="1">
      <c r="A1073" s="6">
        <v>1071</v>
      </c>
      <c r="B1073" s="7" t="str">
        <f>"29802021051417192797596"</f>
        <v>29802021051417192797596</v>
      </c>
      <c r="C1073" s="7" t="s">
        <v>13</v>
      </c>
      <c r="D1073" s="7" t="str">
        <f>"何桂乾"</f>
        <v>何桂乾</v>
      </c>
      <c r="E1073" s="7" t="str">
        <f t="shared" si="50"/>
        <v>女</v>
      </c>
    </row>
    <row r="1074" spans="1:5" ht="30" customHeight="1">
      <c r="A1074" s="6">
        <v>1072</v>
      </c>
      <c r="B1074" s="7" t="str">
        <f>"29802021051417254597600"</f>
        <v>29802021051417254597600</v>
      </c>
      <c r="C1074" s="7" t="s">
        <v>13</v>
      </c>
      <c r="D1074" s="7" t="str">
        <f>"羊海珠"</f>
        <v>羊海珠</v>
      </c>
      <c r="E1074" s="7" t="str">
        <f t="shared" si="50"/>
        <v>女</v>
      </c>
    </row>
    <row r="1075" spans="1:5" ht="30" customHeight="1">
      <c r="A1075" s="6">
        <v>1073</v>
      </c>
      <c r="B1075" s="7" t="str">
        <f>"29802021051417295797608"</f>
        <v>29802021051417295797608</v>
      </c>
      <c r="C1075" s="7" t="s">
        <v>13</v>
      </c>
      <c r="D1075" s="7" t="str">
        <f>"倪佳鑫"</f>
        <v>倪佳鑫</v>
      </c>
      <c r="E1075" s="7" t="str">
        <f t="shared" si="50"/>
        <v>女</v>
      </c>
    </row>
    <row r="1076" spans="1:5" ht="30" customHeight="1">
      <c r="A1076" s="6">
        <v>1074</v>
      </c>
      <c r="B1076" s="7" t="str">
        <f>"29802021051417352797618"</f>
        <v>29802021051417352797618</v>
      </c>
      <c r="C1076" s="7" t="s">
        <v>13</v>
      </c>
      <c r="D1076" s="7" t="str">
        <f>"文秋"</f>
        <v>文秋</v>
      </c>
      <c r="E1076" s="7" t="str">
        <f t="shared" si="50"/>
        <v>女</v>
      </c>
    </row>
    <row r="1077" spans="1:5" ht="30" customHeight="1">
      <c r="A1077" s="6">
        <v>1075</v>
      </c>
      <c r="B1077" s="7" t="str">
        <f>"29802021051417411097624"</f>
        <v>29802021051417411097624</v>
      </c>
      <c r="C1077" s="7" t="s">
        <v>13</v>
      </c>
      <c r="D1077" s="7" t="str">
        <f>"罗嘉"</f>
        <v>罗嘉</v>
      </c>
      <c r="E1077" s="7" t="str">
        <f t="shared" si="50"/>
        <v>女</v>
      </c>
    </row>
    <row r="1078" spans="1:5" ht="30" customHeight="1">
      <c r="A1078" s="6">
        <v>1076</v>
      </c>
      <c r="B1078" s="7" t="str">
        <f>"29802021051417483097633"</f>
        <v>29802021051417483097633</v>
      </c>
      <c r="C1078" s="7" t="s">
        <v>13</v>
      </c>
      <c r="D1078" s="7" t="str">
        <f>"陈颖"</f>
        <v>陈颖</v>
      </c>
      <c r="E1078" s="7" t="str">
        <f t="shared" si="50"/>
        <v>女</v>
      </c>
    </row>
    <row r="1079" spans="1:5" ht="30" customHeight="1">
      <c r="A1079" s="6">
        <v>1077</v>
      </c>
      <c r="B1079" s="7" t="str">
        <f>"29802021051418121197678"</f>
        <v>29802021051418121197678</v>
      </c>
      <c r="C1079" s="7" t="s">
        <v>13</v>
      </c>
      <c r="D1079" s="7" t="str">
        <f>"周思萌"</f>
        <v>周思萌</v>
      </c>
      <c r="E1079" s="7" t="str">
        <f t="shared" si="50"/>
        <v>女</v>
      </c>
    </row>
    <row r="1080" spans="1:5" ht="30" customHeight="1">
      <c r="A1080" s="6">
        <v>1078</v>
      </c>
      <c r="B1080" s="7" t="str">
        <f>"29802021051418165797684"</f>
        <v>29802021051418165797684</v>
      </c>
      <c r="C1080" s="7" t="s">
        <v>13</v>
      </c>
      <c r="D1080" s="7" t="str">
        <f>"梁雁"</f>
        <v>梁雁</v>
      </c>
      <c r="E1080" s="7" t="str">
        <f t="shared" si="50"/>
        <v>女</v>
      </c>
    </row>
    <row r="1081" spans="1:5" ht="30" customHeight="1">
      <c r="A1081" s="6">
        <v>1079</v>
      </c>
      <c r="B1081" s="7" t="str">
        <f>"29802021051418383597722"</f>
        <v>29802021051418383597722</v>
      </c>
      <c r="C1081" s="7" t="s">
        <v>13</v>
      </c>
      <c r="D1081" s="7" t="str">
        <f>"陈理雲"</f>
        <v>陈理雲</v>
      </c>
      <c r="E1081" s="7" t="str">
        <f t="shared" si="50"/>
        <v>女</v>
      </c>
    </row>
    <row r="1082" spans="1:5" ht="30" customHeight="1">
      <c r="A1082" s="6">
        <v>1080</v>
      </c>
      <c r="B1082" s="7" t="str">
        <f>"29802021051418393897724"</f>
        <v>29802021051418393897724</v>
      </c>
      <c r="C1082" s="7" t="s">
        <v>13</v>
      </c>
      <c r="D1082" s="7" t="str">
        <f>"王利佳"</f>
        <v>王利佳</v>
      </c>
      <c r="E1082" s="7" t="str">
        <f t="shared" si="50"/>
        <v>女</v>
      </c>
    </row>
    <row r="1083" spans="1:5" ht="30" customHeight="1">
      <c r="A1083" s="6">
        <v>1081</v>
      </c>
      <c r="B1083" s="7" t="str">
        <f>"29802021051419272297794"</f>
        <v>29802021051419272297794</v>
      </c>
      <c r="C1083" s="7" t="s">
        <v>13</v>
      </c>
      <c r="D1083" s="7" t="str">
        <f>"王淑文"</f>
        <v>王淑文</v>
      </c>
      <c r="E1083" s="7" t="str">
        <f t="shared" si="50"/>
        <v>女</v>
      </c>
    </row>
    <row r="1084" spans="1:5" ht="30" customHeight="1">
      <c r="A1084" s="6">
        <v>1082</v>
      </c>
      <c r="B1084" s="7" t="str">
        <f>"29802021051419450097812"</f>
        <v>29802021051419450097812</v>
      </c>
      <c r="C1084" s="7" t="s">
        <v>13</v>
      </c>
      <c r="D1084" s="7" t="str">
        <f>"陈明颖"</f>
        <v>陈明颖</v>
      </c>
      <c r="E1084" s="7" t="str">
        <f t="shared" si="50"/>
        <v>女</v>
      </c>
    </row>
    <row r="1085" spans="1:5" ht="30" customHeight="1">
      <c r="A1085" s="6">
        <v>1083</v>
      </c>
      <c r="B1085" s="7" t="str">
        <f>"29802021051419512697821"</f>
        <v>29802021051419512697821</v>
      </c>
      <c r="C1085" s="7" t="s">
        <v>13</v>
      </c>
      <c r="D1085" s="7" t="str">
        <f>"羊永梅"</f>
        <v>羊永梅</v>
      </c>
      <c r="E1085" s="7" t="str">
        <f t="shared" si="50"/>
        <v>女</v>
      </c>
    </row>
    <row r="1086" spans="1:5" ht="30" customHeight="1">
      <c r="A1086" s="6">
        <v>1084</v>
      </c>
      <c r="B1086" s="7" t="str">
        <f>"29802021051420204397866"</f>
        <v>29802021051420204397866</v>
      </c>
      <c r="C1086" s="7" t="s">
        <v>13</v>
      </c>
      <c r="D1086" s="7" t="str">
        <f>"何尾月"</f>
        <v>何尾月</v>
      </c>
      <c r="E1086" s="7" t="str">
        <f t="shared" si="50"/>
        <v>女</v>
      </c>
    </row>
    <row r="1087" spans="1:5" ht="30" customHeight="1">
      <c r="A1087" s="6">
        <v>1085</v>
      </c>
      <c r="B1087" s="7" t="str">
        <f>"29802021051420265397876"</f>
        <v>29802021051420265397876</v>
      </c>
      <c r="C1087" s="7" t="s">
        <v>13</v>
      </c>
      <c r="D1087" s="7" t="str">
        <f>"邓美珊"</f>
        <v>邓美珊</v>
      </c>
      <c r="E1087" s="7" t="str">
        <f t="shared" si="50"/>
        <v>女</v>
      </c>
    </row>
    <row r="1088" spans="1:5" ht="30" customHeight="1">
      <c r="A1088" s="6">
        <v>1086</v>
      </c>
      <c r="B1088" s="7" t="str">
        <f>"29802021051420335597890"</f>
        <v>29802021051420335597890</v>
      </c>
      <c r="C1088" s="7" t="s">
        <v>13</v>
      </c>
      <c r="D1088" s="7" t="str">
        <f>"黄美佳"</f>
        <v>黄美佳</v>
      </c>
      <c r="E1088" s="7" t="str">
        <f t="shared" si="50"/>
        <v>女</v>
      </c>
    </row>
    <row r="1089" spans="1:5" ht="30" customHeight="1">
      <c r="A1089" s="6">
        <v>1087</v>
      </c>
      <c r="B1089" s="7" t="str">
        <f>"29802021051420575897928"</f>
        <v>29802021051420575897928</v>
      </c>
      <c r="C1089" s="7" t="s">
        <v>13</v>
      </c>
      <c r="D1089" s="7" t="str">
        <f>"王玲兰"</f>
        <v>王玲兰</v>
      </c>
      <c r="E1089" s="7" t="str">
        <f t="shared" si="50"/>
        <v>女</v>
      </c>
    </row>
    <row r="1090" spans="1:5" ht="30" customHeight="1">
      <c r="A1090" s="6">
        <v>1088</v>
      </c>
      <c r="B1090" s="7" t="str">
        <f>"29802021051421054097946"</f>
        <v>29802021051421054097946</v>
      </c>
      <c r="C1090" s="7" t="s">
        <v>13</v>
      </c>
      <c r="D1090" s="7" t="str">
        <f>"王娇婉"</f>
        <v>王娇婉</v>
      </c>
      <c r="E1090" s="7" t="str">
        <f t="shared" si="50"/>
        <v>女</v>
      </c>
    </row>
    <row r="1091" spans="1:5" ht="30" customHeight="1">
      <c r="A1091" s="6">
        <v>1089</v>
      </c>
      <c r="B1091" s="7" t="str">
        <f>"29802021051421060597947"</f>
        <v>29802021051421060597947</v>
      </c>
      <c r="C1091" s="7" t="s">
        <v>13</v>
      </c>
      <c r="D1091" s="7" t="str">
        <f>"李海娇"</f>
        <v>李海娇</v>
      </c>
      <c r="E1091" s="7" t="str">
        <f t="shared" si="50"/>
        <v>女</v>
      </c>
    </row>
    <row r="1092" spans="1:5" ht="30" customHeight="1">
      <c r="A1092" s="6">
        <v>1090</v>
      </c>
      <c r="B1092" s="7" t="str">
        <f>"29802021051421192997964"</f>
        <v>29802021051421192997964</v>
      </c>
      <c r="C1092" s="7" t="s">
        <v>13</v>
      </c>
      <c r="D1092" s="7" t="str">
        <f>"朱适春"</f>
        <v>朱适春</v>
      </c>
      <c r="E1092" s="7" t="str">
        <f t="shared" si="50"/>
        <v>女</v>
      </c>
    </row>
    <row r="1093" spans="1:5" ht="30" customHeight="1">
      <c r="A1093" s="6">
        <v>1091</v>
      </c>
      <c r="B1093" s="7" t="str">
        <f>"29802021051421232797973"</f>
        <v>29802021051421232797973</v>
      </c>
      <c r="C1093" s="7" t="s">
        <v>13</v>
      </c>
      <c r="D1093" s="7" t="str">
        <f>"陈新"</f>
        <v>陈新</v>
      </c>
      <c r="E1093" s="7" t="str">
        <f t="shared" si="50"/>
        <v>女</v>
      </c>
    </row>
    <row r="1094" spans="1:5" ht="30" customHeight="1">
      <c r="A1094" s="6">
        <v>1092</v>
      </c>
      <c r="B1094" s="7" t="str">
        <f>"29802021051421243297976"</f>
        <v>29802021051421243297976</v>
      </c>
      <c r="C1094" s="7" t="s">
        <v>13</v>
      </c>
      <c r="D1094" s="7" t="str">
        <f>"羊井爱"</f>
        <v>羊井爱</v>
      </c>
      <c r="E1094" s="7" t="str">
        <f t="shared" si="50"/>
        <v>女</v>
      </c>
    </row>
    <row r="1095" spans="1:5" ht="30" customHeight="1">
      <c r="A1095" s="6">
        <v>1093</v>
      </c>
      <c r="B1095" s="7" t="str">
        <f>"29802021051421245797978"</f>
        <v>29802021051421245797978</v>
      </c>
      <c r="C1095" s="7" t="s">
        <v>13</v>
      </c>
      <c r="D1095" s="7" t="str">
        <f>"曾恋鸿"</f>
        <v>曾恋鸿</v>
      </c>
      <c r="E1095" s="7" t="str">
        <f t="shared" si="50"/>
        <v>女</v>
      </c>
    </row>
    <row r="1096" spans="1:5" ht="30" customHeight="1">
      <c r="A1096" s="6">
        <v>1094</v>
      </c>
      <c r="B1096" s="7" t="str">
        <f>"29802021051421470098007"</f>
        <v>29802021051421470098007</v>
      </c>
      <c r="C1096" s="7" t="s">
        <v>13</v>
      </c>
      <c r="D1096" s="7" t="str">
        <f>"陶玲"</f>
        <v>陶玲</v>
      </c>
      <c r="E1096" s="7" t="str">
        <f t="shared" si="50"/>
        <v>女</v>
      </c>
    </row>
    <row r="1097" spans="1:5" ht="30" customHeight="1">
      <c r="A1097" s="6">
        <v>1095</v>
      </c>
      <c r="B1097" s="7" t="str">
        <f>"29802021051421483998014"</f>
        <v>29802021051421483998014</v>
      </c>
      <c r="C1097" s="7" t="s">
        <v>13</v>
      </c>
      <c r="D1097" s="7" t="str">
        <f>"佟海琪"</f>
        <v>佟海琪</v>
      </c>
      <c r="E1097" s="7" t="str">
        <f t="shared" si="50"/>
        <v>女</v>
      </c>
    </row>
    <row r="1098" spans="1:5" ht="30" customHeight="1">
      <c r="A1098" s="6">
        <v>1096</v>
      </c>
      <c r="B1098" s="7" t="str">
        <f>"29802021051421542898025"</f>
        <v>29802021051421542898025</v>
      </c>
      <c r="C1098" s="7" t="s">
        <v>13</v>
      </c>
      <c r="D1098" s="7" t="str">
        <f>"麦小菲"</f>
        <v>麦小菲</v>
      </c>
      <c r="E1098" s="7" t="str">
        <f t="shared" si="50"/>
        <v>女</v>
      </c>
    </row>
    <row r="1099" spans="1:5" ht="30" customHeight="1">
      <c r="A1099" s="6">
        <v>1097</v>
      </c>
      <c r="B1099" s="7" t="str">
        <f>"29802021051421544898027"</f>
        <v>29802021051421544898027</v>
      </c>
      <c r="C1099" s="7" t="s">
        <v>13</v>
      </c>
      <c r="D1099" s="7" t="str">
        <f>"吴姗姗"</f>
        <v>吴姗姗</v>
      </c>
      <c r="E1099" s="7" t="str">
        <f t="shared" si="50"/>
        <v>女</v>
      </c>
    </row>
    <row r="1100" spans="1:5" ht="30" customHeight="1">
      <c r="A1100" s="6">
        <v>1098</v>
      </c>
      <c r="B1100" s="7" t="str">
        <f>"29802021051422051898049"</f>
        <v>29802021051422051898049</v>
      </c>
      <c r="C1100" s="7" t="s">
        <v>13</v>
      </c>
      <c r="D1100" s="7" t="str">
        <f>"张达玲"</f>
        <v>张达玲</v>
      </c>
      <c r="E1100" s="7" t="str">
        <f t="shared" si="50"/>
        <v>女</v>
      </c>
    </row>
    <row r="1101" spans="1:5" ht="30" customHeight="1">
      <c r="A1101" s="6">
        <v>1099</v>
      </c>
      <c r="B1101" s="7" t="str">
        <f>"29802021051422224698085"</f>
        <v>29802021051422224698085</v>
      </c>
      <c r="C1101" s="7" t="s">
        <v>13</v>
      </c>
      <c r="D1101" s="7" t="str">
        <f>"吴初交"</f>
        <v>吴初交</v>
      </c>
      <c r="E1101" s="7" t="str">
        <f t="shared" si="50"/>
        <v>女</v>
      </c>
    </row>
    <row r="1102" spans="1:5" ht="30" customHeight="1">
      <c r="A1102" s="6">
        <v>1100</v>
      </c>
      <c r="B1102" s="7" t="str">
        <f>"29802021051422262198091"</f>
        <v>29802021051422262198091</v>
      </c>
      <c r="C1102" s="7" t="s">
        <v>13</v>
      </c>
      <c r="D1102" s="7" t="str">
        <f>"文常潭"</f>
        <v>文常潭</v>
      </c>
      <c r="E1102" s="7" t="str">
        <f t="shared" si="50"/>
        <v>女</v>
      </c>
    </row>
    <row r="1103" spans="1:5" ht="30" customHeight="1">
      <c r="A1103" s="6">
        <v>1101</v>
      </c>
      <c r="B1103" s="7" t="str">
        <f>"29802021051422374698113"</f>
        <v>29802021051422374698113</v>
      </c>
      <c r="C1103" s="7" t="s">
        <v>13</v>
      </c>
      <c r="D1103" s="7" t="str">
        <f>"殷芳"</f>
        <v>殷芳</v>
      </c>
      <c r="E1103" s="7" t="str">
        <f t="shared" si="50"/>
        <v>女</v>
      </c>
    </row>
    <row r="1104" spans="1:5" ht="30" customHeight="1">
      <c r="A1104" s="6">
        <v>1102</v>
      </c>
      <c r="B1104" s="7" t="str">
        <f>"29802021051422571898139"</f>
        <v>29802021051422571898139</v>
      </c>
      <c r="C1104" s="7" t="s">
        <v>13</v>
      </c>
      <c r="D1104" s="7" t="str">
        <f>"谭文"</f>
        <v>谭文</v>
      </c>
      <c r="E1104" s="7" t="str">
        <f t="shared" si="50"/>
        <v>女</v>
      </c>
    </row>
    <row r="1105" spans="1:5" ht="30" customHeight="1">
      <c r="A1105" s="6">
        <v>1103</v>
      </c>
      <c r="B1105" s="7" t="str">
        <f>"29802021051423175698172"</f>
        <v>29802021051423175698172</v>
      </c>
      <c r="C1105" s="7" t="s">
        <v>13</v>
      </c>
      <c r="D1105" s="7" t="str">
        <f>"邢敏"</f>
        <v>邢敏</v>
      </c>
      <c r="E1105" s="7" t="str">
        <f t="shared" si="50"/>
        <v>女</v>
      </c>
    </row>
    <row r="1106" spans="1:5" ht="30" customHeight="1">
      <c r="A1106" s="6">
        <v>1104</v>
      </c>
      <c r="B1106" s="7" t="str">
        <f>"29802021051423315598191"</f>
        <v>29802021051423315598191</v>
      </c>
      <c r="C1106" s="7" t="s">
        <v>13</v>
      </c>
      <c r="D1106" s="7" t="str">
        <f>"唐小珍"</f>
        <v>唐小珍</v>
      </c>
      <c r="E1106" s="7" t="str">
        <f t="shared" si="50"/>
        <v>女</v>
      </c>
    </row>
    <row r="1107" spans="1:5" ht="30" customHeight="1">
      <c r="A1107" s="6">
        <v>1105</v>
      </c>
      <c r="B1107" s="7" t="str">
        <f>"29802021051423320198192"</f>
        <v>29802021051423320198192</v>
      </c>
      <c r="C1107" s="7" t="s">
        <v>13</v>
      </c>
      <c r="D1107" s="7" t="str">
        <f>"张梦莹"</f>
        <v>张梦莹</v>
      </c>
      <c r="E1107" s="7" t="str">
        <f t="shared" si="50"/>
        <v>女</v>
      </c>
    </row>
    <row r="1108" spans="1:5" ht="30" customHeight="1">
      <c r="A1108" s="6">
        <v>1106</v>
      </c>
      <c r="B1108" s="7" t="str">
        <f>"29802021051423411598200"</f>
        <v>29802021051423411598200</v>
      </c>
      <c r="C1108" s="7" t="s">
        <v>13</v>
      </c>
      <c r="D1108" s="7" t="str">
        <f>"王丽红"</f>
        <v>王丽红</v>
      </c>
      <c r="E1108" s="7" t="str">
        <f t="shared" si="50"/>
        <v>女</v>
      </c>
    </row>
    <row r="1109" spans="1:5" ht="30" customHeight="1">
      <c r="A1109" s="6">
        <v>1107</v>
      </c>
      <c r="B1109" s="7" t="str">
        <f>"29802021051423460598206"</f>
        <v>29802021051423460598206</v>
      </c>
      <c r="C1109" s="7" t="s">
        <v>13</v>
      </c>
      <c r="D1109" s="7" t="str">
        <f>"陈洁"</f>
        <v>陈洁</v>
      </c>
      <c r="E1109" s="7" t="str">
        <f t="shared" si="50"/>
        <v>女</v>
      </c>
    </row>
    <row r="1110" spans="1:5" ht="30" customHeight="1">
      <c r="A1110" s="6">
        <v>1108</v>
      </c>
      <c r="B1110" s="7" t="str">
        <f>"29802021051423475398208"</f>
        <v>29802021051423475398208</v>
      </c>
      <c r="C1110" s="7" t="s">
        <v>13</v>
      </c>
      <c r="D1110" s="7" t="str">
        <f>"蔡冠婷"</f>
        <v>蔡冠婷</v>
      </c>
      <c r="E1110" s="7" t="str">
        <f t="shared" si="50"/>
        <v>女</v>
      </c>
    </row>
    <row r="1111" spans="1:5" ht="30" customHeight="1">
      <c r="A1111" s="6">
        <v>1109</v>
      </c>
      <c r="B1111" s="7" t="str">
        <f>"29802021051500013998229"</f>
        <v>29802021051500013998229</v>
      </c>
      <c r="C1111" s="7" t="s">
        <v>13</v>
      </c>
      <c r="D1111" s="7" t="str">
        <f>"庄淑红"</f>
        <v>庄淑红</v>
      </c>
      <c r="E1111" s="7" t="str">
        <f t="shared" si="50"/>
        <v>女</v>
      </c>
    </row>
    <row r="1112" spans="1:5" ht="30" customHeight="1">
      <c r="A1112" s="6">
        <v>1110</v>
      </c>
      <c r="B1112" s="7" t="str">
        <f>"29802021051500040598230"</f>
        <v>29802021051500040598230</v>
      </c>
      <c r="C1112" s="7" t="s">
        <v>13</v>
      </c>
      <c r="D1112" s="7" t="str">
        <f>"辛夏丹"</f>
        <v>辛夏丹</v>
      </c>
      <c r="E1112" s="7" t="str">
        <f t="shared" si="50"/>
        <v>女</v>
      </c>
    </row>
    <row r="1113" spans="1:5" ht="30" customHeight="1">
      <c r="A1113" s="6">
        <v>1111</v>
      </c>
      <c r="B1113" s="7" t="str">
        <f>"29802021051500062298233"</f>
        <v>29802021051500062298233</v>
      </c>
      <c r="C1113" s="7" t="s">
        <v>13</v>
      </c>
      <c r="D1113" s="7" t="str">
        <f>"李振霖"</f>
        <v>李振霖</v>
      </c>
      <c r="E1113" s="7" t="str">
        <f t="shared" si="50"/>
        <v>女</v>
      </c>
    </row>
    <row r="1114" spans="1:5" ht="30" customHeight="1">
      <c r="A1114" s="6">
        <v>1112</v>
      </c>
      <c r="B1114" s="7" t="str">
        <f>"29802021051500150398244"</f>
        <v>29802021051500150398244</v>
      </c>
      <c r="C1114" s="7" t="s">
        <v>13</v>
      </c>
      <c r="D1114" s="7" t="str">
        <f>"谢光霞"</f>
        <v>谢光霞</v>
      </c>
      <c r="E1114" s="7" t="str">
        <f t="shared" si="50"/>
        <v>女</v>
      </c>
    </row>
    <row r="1115" spans="1:5" ht="30" customHeight="1">
      <c r="A1115" s="6">
        <v>1113</v>
      </c>
      <c r="B1115" s="7" t="str">
        <f>"29802021051501141498271"</f>
        <v>29802021051501141498271</v>
      </c>
      <c r="C1115" s="7" t="s">
        <v>13</v>
      </c>
      <c r="D1115" s="7" t="str">
        <f>"陈泰润"</f>
        <v>陈泰润</v>
      </c>
      <c r="E1115" s="7" t="str">
        <f t="shared" si="50"/>
        <v>女</v>
      </c>
    </row>
    <row r="1116" spans="1:5" ht="30" customHeight="1">
      <c r="A1116" s="6">
        <v>1114</v>
      </c>
      <c r="B1116" s="7" t="str">
        <f>"29802021051502000698280"</f>
        <v>29802021051502000698280</v>
      </c>
      <c r="C1116" s="7" t="s">
        <v>13</v>
      </c>
      <c r="D1116" s="7" t="str">
        <f>"符梦云"</f>
        <v>符梦云</v>
      </c>
      <c r="E1116" s="7" t="str">
        <f t="shared" si="50"/>
        <v>女</v>
      </c>
    </row>
    <row r="1117" spans="1:5" ht="30" customHeight="1">
      <c r="A1117" s="6">
        <v>1115</v>
      </c>
      <c r="B1117" s="7" t="str">
        <f>"29802021051503391998289"</f>
        <v>29802021051503391998289</v>
      </c>
      <c r="C1117" s="7" t="s">
        <v>13</v>
      </c>
      <c r="D1117" s="7" t="str">
        <f>"钟远丽"</f>
        <v>钟远丽</v>
      </c>
      <c r="E1117" s="7" t="str">
        <f t="shared" si="50"/>
        <v>女</v>
      </c>
    </row>
    <row r="1118" spans="1:5" ht="30" customHeight="1">
      <c r="A1118" s="6">
        <v>1116</v>
      </c>
      <c r="B1118" s="7" t="str">
        <f>"29802021051505122298294"</f>
        <v>29802021051505122298294</v>
      </c>
      <c r="C1118" s="7" t="s">
        <v>13</v>
      </c>
      <c r="D1118" s="7" t="str">
        <f>"郑萍"</f>
        <v>郑萍</v>
      </c>
      <c r="E1118" s="7" t="str">
        <f t="shared" si="50"/>
        <v>女</v>
      </c>
    </row>
    <row r="1119" spans="1:5" ht="30" customHeight="1">
      <c r="A1119" s="6">
        <v>1117</v>
      </c>
      <c r="B1119" s="7" t="str">
        <f>"29802021051506491698298"</f>
        <v>29802021051506491698298</v>
      </c>
      <c r="C1119" s="7" t="s">
        <v>13</v>
      </c>
      <c r="D1119" s="7" t="str">
        <f>"郑春敏"</f>
        <v>郑春敏</v>
      </c>
      <c r="E1119" s="7" t="str">
        <f t="shared" si="50"/>
        <v>女</v>
      </c>
    </row>
    <row r="1120" spans="1:5" ht="30" customHeight="1">
      <c r="A1120" s="6">
        <v>1118</v>
      </c>
      <c r="B1120" s="7" t="str">
        <f>"29802021051507431998305"</f>
        <v>29802021051507431998305</v>
      </c>
      <c r="C1120" s="7" t="s">
        <v>13</v>
      </c>
      <c r="D1120" s="7" t="str">
        <f>"羊文秋"</f>
        <v>羊文秋</v>
      </c>
      <c r="E1120" s="7" t="str">
        <f t="shared" si="50"/>
        <v>女</v>
      </c>
    </row>
    <row r="1121" spans="1:5" ht="30" customHeight="1">
      <c r="A1121" s="6">
        <v>1119</v>
      </c>
      <c r="B1121" s="7" t="str">
        <f>"29802021051507460198307"</f>
        <v>29802021051507460198307</v>
      </c>
      <c r="C1121" s="7" t="s">
        <v>13</v>
      </c>
      <c r="D1121" s="7" t="str">
        <f>"庞三妹"</f>
        <v>庞三妹</v>
      </c>
      <c r="E1121" s="7" t="str">
        <f t="shared" si="50"/>
        <v>女</v>
      </c>
    </row>
    <row r="1122" spans="1:5" ht="30" customHeight="1">
      <c r="A1122" s="6">
        <v>1120</v>
      </c>
      <c r="B1122" s="7" t="str">
        <f>"29802021051508500298342"</f>
        <v>29802021051508500298342</v>
      </c>
      <c r="C1122" s="7" t="s">
        <v>13</v>
      </c>
      <c r="D1122" s="7" t="str">
        <f>"符玉婷"</f>
        <v>符玉婷</v>
      </c>
      <c r="E1122" s="7" t="str">
        <f t="shared" si="50"/>
        <v>女</v>
      </c>
    </row>
    <row r="1123" spans="1:5" ht="30" customHeight="1">
      <c r="A1123" s="6">
        <v>1121</v>
      </c>
      <c r="B1123" s="7" t="str">
        <f>"29802021051509161198369"</f>
        <v>29802021051509161198369</v>
      </c>
      <c r="C1123" s="7" t="s">
        <v>13</v>
      </c>
      <c r="D1123" s="7" t="str">
        <f>"何晓玲"</f>
        <v>何晓玲</v>
      </c>
      <c r="E1123" s="7" t="str">
        <f t="shared" si="50"/>
        <v>女</v>
      </c>
    </row>
    <row r="1124" spans="1:5" ht="30" customHeight="1">
      <c r="A1124" s="6">
        <v>1122</v>
      </c>
      <c r="B1124" s="7" t="str">
        <f>"29802021051509274998380"</f>
        <v>29802021051509274998380</v>
      </c>
      <c r="C1124" s="7" t="s">
        <v>13</v>
      </c>
      <c r="D1124" s="7" t="str">
        <f>"王愿"</f>
        <v>王愿</v>
      </c>
      <c r="E1124" s="7" t="str">
        <f t="shared" si="50"/>
        <v>女</v>
      </c>
    </row>
    <row r="1125" spans="1:5" ht="30" customHeight="1">
      <c r="A1125" s="6">
        <v>1123</v>
      </c>
      <c r="B1125" s="7" t="str">
        <f>"29802021051509280498381"</f>
        <v>29802021051509280498381</v>
      </c>
      <c r="C1125" s="7" t="s">
        <v>13</v>
      </c>
      <c r="D1125" s="7" t="str">
        <f>"吴元碧"</f>
        <v>吴元碧</v>
      </c>
      <c r="E1125" s="7" t="str">
        <f t="shared" si="50"/>
        <v>女</v>
      </c>
    </row>
    <row r="1126" spans="1:5" ht="30" customHeight="1">
      <c r="A1126" s="6">
        <v>1124</v>
      </c>
      <c r="B1126" s="7" t="str">
        <f>"29802021051509324598387"</f>
        <v>29802021051509324598387</v>
      </c>
      <c r="C1126" s="7" t="s">
        <v>13</v>
      </c>
      <c r="D1126" s="7" t="str">
        <f>"黄秀容"</f>
        <v>黄秀容</v>
      </c>
      <c r="E1126" s="7" t="str">
        <f t="shared" si="50"/>
        <v>女</v>
      </c>
    </row>
    <row r="1127" spans="1:5" ht="30" customHeight="1">
      <c r="A1127" s="6">
        <v>1125</v>
      </c>
      <c r="B1127" s="7" t="str">
        <f>"29802021051509511898411"</f>
        <v>29802021051509511898411</v>
      </c>
      <c r="C1127" s="7" t="s">
        <v>13</v>
      </c>
      <c r="D1127" s="7" t="str">
        <f>"云天静"</f>
        <v>云天静</v>
      </c>
      <c r="E1127" s="7" t="str">
        <f t="shared" si="50"/>
        <v>女</v>
      </c>
    </row>
    <row r="1128" spans="1:5" ht="30" customHeight="1">
      <c r="A1128" s="6">
        <v>1126</v>
      </c>
      <c r="B1128" s="7" t="str">
        <f>"29802021051510055198433"</f>
        <v>29802021051510055198433</v>
      </c>
      <c r="C1128" s="7" t="s">
        <v>13</v>
      </c>
      <c r="D1128" s="7" t="str">
        <f>"陈兰英"</f>
        <v>陈兰英</v>
      </c>
      <c r="E1128" s="7" t="str">
        <f t="shared" si="50"/>
        <v>女</v>
      </c>
    </row>
    <row r="1129" spans="1:5" ht="30" customHeight="1">
      <c r="A1129" s="6">
        <v>1127</v>
      </c>
      <c r="B1129" s="7" t="str">
        <f>"29802021051510223198456"</f>
        <v>29802021051510223198456</v>
      </c>
      <c r="C1129" s="7" t="s">
        <v>13</v>
      </c>
      <c r="D1129" s="7" t="str">
        <f>"刘泽华"</f>
        <v>刘泽华</v>
      </c>
      <c r="E1129" s="7" t="str">
        <f>"男"</f>
        <v>男</v>
      </c>
    </row>
    <row r="1130" spans="1:5" ht="30" customHeight="1">
      <c r="A1130" s="6">
        <v>1128</v>
      </c>
      <c r="B1130" s="7" t="str">
        <f>"29802021051510324498476"</f>
        <v>29802021051510324498476</v>
      </c>
      <c r="C1130" s="7" t="s">
        <v>13</v>
      </c>
      <c r="D1130" s="7" t="str">
        <f>"冯培兰"</f>
        <v>冯培兰</v>
      </c>
      <c r="E1130" s="7" t="str">
        <f>"女"</f>
        <v>女</v>
      </c>
    </row>
    <row r="1131" spans="1:5" ht="30" customHeight="1">
      <c r="A1131" s="6">
        <v>1129</v>
      </c>
      <c r="B1131" s="7" t="str">
        <f>"29802021051510462598508"</f>
        <v>29802021051510462598508</v>
      </c>
      <c r="C1131" s="7" t="s">
        <v>13</v>
      </c>
      <c r="D1131" s="7" t="str">
        <f>"单思维"</f>
        <v>单思维</v>
      </c>
      <c r="E1131" s="7" t="str">
        <f>"女"</f>
        <v>女</v>
      </c>
    </row>
    <row r="1132" spans="1:5" ht="30" customHeight="1">
      <c r="A1132" s="6">
        <v>1130</v>
      </c>
      <c r="B1132" s="7" t="str">
        <f>"29802021051510505798521"</f>
        <v>29802021051510505798521</v>
      </c>
      <c r="C1132" s="7" t="s">
        <v>13</v>
      </c>
      <c r="D1132" s="7" t="str">
        <f>"陈彦先"</f>
        <v>陈彦先</v>
      </c>
      <c r="E1132" s="7" t="str">
        <f>"男"</f>
        <v>男</v>
      </c>
    </row>
    <row r="1133" spans="1:5" ht="30" customHeight="1">
      <c r="A1133" s="6">
        <v>1131</v>
      </c>
      <c r="B1133" s="7" t="str">
        <f>"29802021051510522798524"</f>
        <v>29802021051510522798524</v>
      </c>
      <c r="C1133" s="7" t="s">
        <v>13</v>
      </c>
      <c r="D1133" s="7" t="str">
        <f>"蓝春燕"</f>
        <v>蓝春燕</v>
      </c>
      <c r="E1133" s="7" t="str">
        <f aca="true" t="shared" si="51" ref="E1133:E1155">"女"</f>
        <v>女</v>
      </c>
    </row>
    <row r="1134" spans="1:5" ht="30" customHeight="1">
      <c r="A1134" s="6">
        <v>1132</v>
      </c>
      <c r="B1134" s="7" t="str">
        <f>"29802021051511153898561"</f>
        <v>29802021051511153898561</v>
      </c>
      <c r="C1134" s="7" t="s">
        <v>13</v>
      </c>
      <c r="D1134" s="7" t="str">
        <f>"万兴柳"</f>
        <v>万兴柳</v>
      </c>
      <c r="E1134" s="7" t="str">
        <f t="shared" si="51"/>
        <v>女</v>
      </c>
    </row>
    <row r="1135" spans="1:5" ht="30" customHeight="1">
      <c r="A1135" s="6">
        <v>1133</v>
      </c>
      <c r="B1135" s="7" t="str">
        <f>"29802021051511215398572"</f>
        <v>29802021051511215398572</v>
      </c>
      <c r="C1135" s="7" t="s">
        <v>13</v>
      </c>
      <c r="D1135" s="7" t="str">
        <f>"符轩荟"</f>
        <v>符轩荟</v>
      </c>
      <c r="E1135" s="7" t="str">
        <f t="shared" si="51"/>
        <v>女</v>
      </c>
    </row>
    <row r="1136" spans="1:5" ht="30" customHeight="1">
      <c r="A1136" s="6">
        <v>1134</v>
      </c>
      <c r="B1136" s="7" t="str">
        <f>"29802021051511450998607"</f>
        <v>29802021051511450998607</v>
      </c>
      <c r="C1136" s="7" t="s">
        <v>13</v>
      </c>
      <c r="D1136" s="7" t="str">
        <f>"陈玉蝶"</f>
        <v>陈玉蝶</v>
      </c>
      <c r="E1136" s="7" t="str">
        <f t="shared" si="51"/>
        <v>女</v>
      </c>
    </row>
    <row r="1137" spans="1:5" ht="30" customHeight="1">
      <c r="A1137" s="6">
        <v>1135</v>
      </c>
      <c r="B1137" s="7" t="str">
        <f>"29802021051511471198612"</f>
        <v>29802021051511471198612</v>
      </c>
      <c r="C1137" s="7" t="s">
        <v>13</v>
      </c>
      <c r="D1137" s="7" t="str">
        <f>"符士月"</f>
        <v>符士月</v>
      </c>
      <c r="E1137" s="7" t="str">
        <f t="shared" si="51"/>
        <v>女</v>
      </c>
    </row>
    <row r="1138" spans="1:5" ht="30" customHeight="1">
      <c r="A1138" s="6">
        <v>1136</v>
      </c>
      <c r="B1138" s="7" t="str">
        <f>"29802021051511480398615"</f>
        <v>29802021051511480398615</v>
      </c>
      <c r="C1138" s="7" t="s">
        <v>13</v>
      </c>
      <c r="D1138" s="7" t="str">
        <f>"梁承凤"</f>
        <v>梁承凤</v>
      </c>
      <c r="E1138" s="7" t="str">
        <f t="shared" si="51"/>
        <v>女</v>
      </c>
    </row>
    <row r="1139" spans="1:5" ht="30" customHeight="1">
      <c r="A1139" s="6">
        <v>1137</v>
      </c>
      <c r="B1139" s="7" t="str">
        <f>"29802021051512065298648"</f>
        <v>29802021051512065298648</v>
      </c>
      <c r="C1139" s="7" t="s">
        <v>13</v>
      </c>
      <c r="D1139" s="7" t="str">
        <f>"吴延娥"</f>
        <v>吴延娥</v>
      </c>
      <c r="E1139" s="7" t="str">
        <f t="shared" si="51"/>
        <v>女</v>
      </c>
    </row>
    <row r="1140" spans="1:5" ht="30" customHeight="1">
      <c r="A1140" s="6">
        <v>1138</v>
      </c>
      <c r="B1140" s="7" t="str">
        <f>"29802021051512131898659"</f>
        <v>29802021051512131898659</v>
      </c>
      <c r="C1140" s="7" t="s">
        <v>13</v>
      </c>
      <c r="D1140" s="7" t="str">
        <f>"郑虹"</f>
        <v>郑虹</v>
      </c>
      <c r="E1140" s="7" t="str">
        <f t="shared" si="51"/>
        <v>女</v>
      </c>
    </row>
    <row r="1141" spans="1:5" ht="30" customHeight="1">
      <c r="A1141" s="6">
        <v>1139</v>
      </c>
      <c r="B1141" s="7" t="str">
        <f>"29802021051512252998682"</f>
        <v>29802021051512252998682</v>
      </c>
      <c r="C1141" s="7" t="s">
        <v>13</v>
      </c>
      <c r="D1141" s="7" t="str">
        <f>"符绿梅"</f>
        <v>符绿梅</v>
      </c>
      <c r="E1141" s="7" t="str">
        <f t="shared" si="51"/>
        <v>女</v>
      </c>
    </row>
    <row r="1142" spans="1:5" ht="30" customHeight="1">
      <c r="A1142" s="6">
        <v>1140</v>
      </c>
      <c r="B1142" s="7" t="str">
        <f>"29802021051512263598683"</f>
        <v>29802021051512263598683</v>
      </c>
      <c r="C1142" s="7" t="s">
        <v>13</v>
      </c>
      <c r="D1142" s="7" t="str">
        <f>"吴珊珊"</f>
        <v>吴珊珊</v>
      </c>
      <c r="E1142" s="7" t="str">
        <f t="shared" si="51"/>
        <v>女</v>
      </c>
    </row>
    <row r="1143" spans="1:5" ht="30" customHeight="1">
      <c r="A1143" s="6">
        <v>1141</v>
      </c>
      <c r="B1143" s="7" t="str">
        <f>"29802021051512582698729"</f>
        <v>29802021051512582698729</v>
      </c>
      <c r="C1143" s="7" t="s">
        <v>13</v>
      </c>
      <c r="D1143" s="7" t="str">
        <f>"麦慧晶"</f>
        <v>麦慧晶</v>
      </c>
      <c r="E1143" s="7" t="str">
        <f t="shared" si="51"/>
        <v>女</v>
      </c>
    </row>
    <row r="1144" spans="1:5" ht="30" customHeight="1">
      <c r="A1144" s="6">
        <v>1142</v>
      </c>
      <c r="B1144" s="7" t="str">
        <f>"29802021051513144498751"</f>
        <v>29802021051513144498751</v>
      </c>
      <c r="C1144" s="7" t="s">
        <v>13</v>
      </c>
      <c r="D1144" s="7" t="str">
        <f>"余荣琴"</f>
        <v>余荣琴</v>
      </c>
      <c r="E1144" s="7" t="str">
        <f t="shared" si="51"/>
        <v>女</v>
      </c>
    </row>
    <row r="1145" spans="1:5" ht="30" customHeight="1">
      <c r="A1145" s="6">
        <v>1143</v>
      </c>
      <c r="B1145" s="7" t="str">
        <f>"29802021051513354298790"</f>
        <v>29802021051513354298790</v>
      </c>
      <c r="C1145" s="7" t="s">
        <v>13</v>
      </c>
      <c r="D1145" s="7" t="str">
        <f>"王莹莹"</f>
        <v>王莹莹</v>
      </c>
      <c r="E1145" s="7" t="str">
        <f t="shared" si="51"/>
        <v>女</v>
      </c>
    </row>
    <row r="1146" spans="1:5" ht="30" customHeight="1">
      <c r="A1146" s="6">
        <v>1144</v>
      </c>
      <c r="B1146" s="7" t="str">
        <f>"29802021051513410598800"</f>
        <v>29802021051513410598800</v>
      </c>
      <c r="C1146" s="7" t="s">
        <v>13</v>
      </c>
      <c r="D1146" s="7" t="str">
        <f>"叶美玲"</f>
        <v>叶美玲</v>
      </c>
      <c r="E1146" s="7" t="str">
        <f t="shared" si="51"/>
        <v>女</v>
      </c>
    </row>
    <row r="1147" spans="1:5" ht="30" customHeight="1">
      <c r="A1147" s="6">
        <v>1145</v>
      </c>
      <c r="B1147" s="7" t="str">
        <f>"29802021051513424798802"</f>
        <v>29802021051513424798802</v>
      </c>
      <c r="C1147" s="7" t="s">
        <v>13</v>
      </c>
      <c r="D1147" s="7" t="str">
        <f>"王冬玲"</f>
        <v>王冬玲</v>
      </c>
      <c r="E1147" s="7" t="str">
        <f t="shared" si="51"/>
        <v>女</v>
      </c>
    </row>
    <row r="1148" spans="1:5" ht="30" customHeight="1">
      <c r="A1148" s="6">
        <v>1146</v>
      </c>
      <c r="B1148" s="7" t="str">
        <f>"29802021051513431398805"</f>
        <v>29802021051513431398805</v>
      </c>
      <c r="C1148" s="7" t="s">
        <v>13</v>
      </c>
      <c r="D1148" s="7" t="str">
        <f>"李欣欣"</f>
        <v>李欣欣</v>
      </c>
      <c r="E1148" s="7" t="str">
        <f t="shared" si="51"/>
        <v>女</v>
      </c>
    </row>
    <row r="1149" spans="1:5" ht="30" customHeight="1">
      <c r="A1149" s="6">
        <v>1147</v>
      </c>
      <c r="B1149" s="7" t="str">
        <f>"29802021051513563998823"</f>
        <v>29802021051513563998823</v>
      </c>
      <c r="C1149" s="7" t="s">
        <v>13</v>
      </c>
      <c r="D1149" s="7" t="str">
        <f>"赵爱花"</f>
        <v>赵爱花</v>
      </c>
      <c r="E1149" s="7" t="str">
        <f t="shared" si="51"/>
        <v>女</v>
      </c>
    </row>
    <row r="1150" spans="1:5" ht="30" customHeight="1">
      <c r="A1150" s="6">
        <v>1148</v>
      </c>
      <c r="B1150" s="7" t="str">
        <f>"29802021051513582298828"</f>
        <v>29802021051513582298828</v>
      </c>
      <c r="C1150" s="7" t="s">
        <v>13</v>
      </c>
      <c r="D1150" s="7" t="str">
        <f>"方雅婷"</f>
        <v>方雅婷</v>
      </c>
      <c r="E1150" s="7" t="str">
        <f t="shared" si="51"/>
        <v>女</v>
      </c>
    </row>
    <row r="1151" spans="1:5" ht="30" customHeight="1">
      <c r="A1151" s="6">
        <v>1149</v>
      </c>
      <c r="B1151" s="7" t="str">
        <f>"29802021051514082198839"</f>
        <v>29802021051514082198839</v>
      </c>
      <c r="C1151" s="7" t="s">
        <v>13</v>
      </c>
      <c r="D1151" s="7" t="str">
        <f>"羊晶鑫"</f>
        <v>羊晶鑫</v>
      </c>
      <c r="E1151" s="7" t="str">
        <f t="shared" si="51"/>
        <v>女</v>
      </c>
    </row>
    <row r="1152" spans="1:5" ht="30" customHeight="1">
      <c r="A1152" s="6">
        <v>1150</v>
      </c>
      <c r="B1152" s="7" t="str">
        <f>"29802021051514124998848"</f>
        <v>29802021051514124998848</v>
      </c>
      <c r="C1152" s="7" t="s">
        <v>13</v>
      </c>
      <c r="D1152" s="7" t="str">
        <f>"司徒慧敏"</f>
        <v>司徒慧敏</v>
      </c>
      <c r="E1152" s="7" t="str">
        <f t="shared" si="51"/>
        <v>女</v>
      </c>
    </row>
    <row r="1153" spans="1:5" ht="30" customHeight="1">
      <c r="A1153" s="6">
        <v>1151</v>
      </c>
      <c r="B1153" s="7" t="str">
        <f>"29802021051514161598850"</f>
        <v>29802021051514161598850</v>
      </c>
      <c r="C1153" s="7" t="s">
        <v>13</v>
      </c>
      <c r="D1153" s="7" t="str">
        <f>"羊柳"</f>
        <v>羊柳</v>
      </c>
      <c r="E1153" s="7" t="str">
        <f t="shared" si="51"/>
        <v>女</v>
      </c>
    </row>
    <row r="1154" spans="1:5" ht="30" customHeight="1">
      <c r="A1154" s="6">
        <v>1152</v>
      </c>
      <c r="B1154" s="7" t="str">
        <f>"29802021051514182598854"</f>
        <v>29802021051514182598854</v>
      </c>
      <c r="C1154" s="7" t="s">
        <v>13</v>
      </c>
      <c r="D1154" s="7" t="str">
        <f>"林梅雪"</f>
        <v>林梅雪</v>
      </c>
      <c r="E1154" s="7" t="str">
        <f t="shared" si="51"/>
        <v>女</v>
      </c>
    </row>
    <row r="1155" spans="1:5" ht="30" customHeight="1">
      <c r="A1155" s="6">
        <v>1153</v>
      </c>
      <c r="B1155" s="7" t="str">
        <f>"29802021051514193898857"</f>
        <v>29802021051514193898857</v>
      </c>
      <c r="C1155" s="7" t="s">
        <v>13</v>
      </c>
      <c r="D1155" s="7" t="str">
        <f>"倪靓"</f>
        <v>倪靓</v>
      </c>
      <c r="E1155" s="7" t="str">
        <f t="shared" si="51"/>
        <v>女</v>
      </c>
    </row>
    <row r="1156" spans="1:5" ht="30" customHeight="1">
      <c r="A1156" s="6">
        <v>1154</v>
      </c>
      <c r="B1156" s="7" t="str">
        <f>"29802021051514203198859"</f>
        <v>29802021051514203198859</v>
      </c>
      <c r="C1156" s="7" t="s">
        <v>13</v>
      </c>
      <c r="D1156" s="7" t="str">
        <f>"张艺"</f>
        <v>张艺</v>
      </c>
      <c r="E1156" s="7" t="str">
        <f>"男"</f>
        <v>男</v>
      </c>
    </row>
    <row r="1157" spans="1:5" ht="30" customHeight="1">
      <c r="A1157" s="6">
        <v>1155</v>
      </c>
      <c r="B1157" s="7" t="str">
        <f>"29802021051514254598867"</f>
        <v>29802021051514254598867</v>
      </c>
      <c r="C1157" s="7" t="s">
        <v>13</v>
      </c>
      <c r="D1157" s="7" t="str">
        <f>"莫壮颖"</f>
        <v>莫壮颖</v>
      </c>
      <c r="E1157" s="7" t="str">
        <f aca="true" t="shared" si="52" ref="E1157:E1164">"女"</f>
        <v>女</v>
      </c>
    </row>
    <row r="1158" spans="1:5" ht="30" customHeight="1">
      <c r="A1158" s="6">
        <v>1156</v>
      </c>
      <c r="B1158" s="7" t="str">
        <f>"29802021051514324298873"</f>
        <v>29802021051514324298873</v>
      </c>
      <c r="C1158" s="7" t="s">
        <v>13</v>
      </c>
      <c r="D1158" s="7" t="str">
        <f>"麦坚慧"</f>
        <v>麦坚慧</v>
      </c>
      <c r="E1158" s="7" t="str">
        <f t="shared" si="52"/>
        <v>女</v>
      </c>
    </row>
    <row r="1159" spans="1:5" ht="30" customHeight="1">
      <c r="A1159" s="6">
        <v>1157</v>
      </c>
      <c r="B1159" s="7" t="str">
        <f>"29802021051514351998879"</f>
        <v>29802021051514351998879</v>
      </c>
      <c r="C1159" s="7" t="s">
        <v>13</v>
      </c>
      <c r="D1159" s="7" t="str">
        <f>"蔡惠"</f>
        <v>蔡惠</v>
      </c>
      <c r="E1159" s="7" t="str">
        <f t="shared" si="52"/>
        <v>女</v>
      </c>
    </row>
    <row r="1160" spans="1:5" ht="30" customHeight="1">
      <c r="A1160" s="6">
        <v>1158</v>
      </c>
      <c r="B1160" s="7" t="str">
        <f>"29802021051514481098902"</f>
        <v>29802021051514481098902</v>
      </c>
      <c r="C1160" s="7" t="s">
        <v>13</v>
      </c>
      <c r="D1160" s="7" t="str">
        <f>"李雪艳"</f>
        <v>李雪艳</v>
      </c>
      <c r="E1160" s="7" t="str">
        <f t="shared" si="52"/>
        <v>女</v>
      </c>
    </row>
    <row r="1161" spans="1:5" ht="30" customHeight="1">
      <c r="A1161" s="6">
        <v>1159</v>
      </c>
      <c r="B1161" s="7" t="str">
        <f>"29802021051515014598927"</f>
        <v>29802021051515014598927</v>
      </c>
      <c r="C1161" s="7" t="s">
        <v>13</v>
      </c>
      <c r="D1161" s="7" t="str">
        <f>"周姗姗"</f>
        <v>周姗姗</v>
      </c>
      <c r="E1161" s="7" t="str">
        <f t="shared" si="52"/>
        <v>女</v>
      </c>
    </row>
    <row r="1162" spans="1:5" ht="30" customHeight="1">
      <c r="A1162" s="6">
        <v>1160</v>
      </c>
      <c r="B1162" s="7" t="str">
        <f>"29802021051515032598931"</f>
        <v>29802021051515032598931</v>
      </c>
      <c r="C1162" s="7" t="s">
        <v>13</v>
      </c>
      <c r="D1162" s="7" t="str">
        <f>"杨敏"</f>
        <v>杨敏</v>
      </c>
      <c r="E1162" s="7" t="str">
        <f t="shared" si="52"/>
        <v>女</v>
      </c>
    </row>
    <row r="1163" spans="1:5" ht="30" customHeight="1">
      <c r="A1163" s="6">
        <v>1161</v>
      </c>
      <c r="B1163" s="7" t="str">
        <f>"29802021051515052898936"</f>
        <v>29802021051515052898936</v>
      </c>
      <c r="C1163" s="7" t="s">
        <v>13</v>
      </c>
      <c r="D1163" s="7" t="str">
        <f>"陈慧怡"</f>
        <v>陈慧怡</v>
      </c>
      <c r="E1163" s="7" t="str">
        <f t="shared" si="52"/>
        <v>女</v>
      </c>
    </row>
    <row r="1164" spans="1:5" ht="30" customHeight="1">
      <c r="A1164" s="6">
        <v>1162</v>
      </c>
      <c r="B1164" s="7" t="str">
        <f>"29802021051515082998941"</f>
        <v>29802021051515082998941</v>
      </c>
      <c r="C1164" s="7" t="s">
        <v>13</v>
      </c>
      <c r="D1164" s="7" t="str">
        <f>"黄陈梅"</f>
        <v>黄陈梅</v>
      </c>
      <c r="E1164" s="7" t="str">
        <f t="shared" si="52"/>
        <v>女</v>
      </c>
    </row>
    <row r="1165" spans="1:5" ht="30" customHeight="1">
      <c r="A1165" s="6">
        <v>1163</v>
      </c>
      <c r="B1165" s="7" t="str">
        <f>"29802021051515282398978"</f>
        <v>29802021051515282398978</v>
      </c>
      <c r="C1165" s="7" t="s">
        <v>13</v>
      </c>
      <c r="D1165" s="7" t="str">
        <f>"陈健海"</f>
        <v>陈健海</v>
      </c>
      <c r="E1165" s="7" t="str">
        <f>"男"</f>
        <v>男</v>
      </c>
    </row>
    <row r="1166" spans="1:5" ht="30" customHeight="1">
      <c r="A1166" s="6">
        <v>1164</v>
      </c>
      <c r="B1166" s="7" t="str">
        <f>"29802021050908013580470"</f>
        <v>29802021050908013580470</v>
      </c>
      <c r="C1166" s="7" t="s">
        <v>14</v>
      </c>
      <c r="D1166" s="7" t="str">
        <f>"文喜蓝"</f>
        <v>文喜蓝</v>
      </c>
      <c r="E1166" s="7" t="str">
        <f aca="true" t="shared" si="53" ref="E1166:E1171">"女"</f>
        <v>女</v>
      </c>
    </row>
    <row r="1167" spans="1:5" ht="30" customHeight="1">
      <c r="A1167" s="6">
        <v>1165</v>
      </c>
      <c r="B1167" s="7" t="str">
        <f>"29802021050909260480598"</f>
        <v>29802021050909260480598</v>
      </c>
      <c r="C1167" s="7" t="s">
        <v>14</v>
      </c>
      <c r="D1167" s="7" t="str">
        <f>"刘秀艳"</f>
        <v>刘秀艳</v>
      </c>
      <c r="E1167" s="7" t="str">
        <f t="shared" si="53"/>
        <v>女</v>
      </c>
    </row>
    <row r="1168" spans="1:5" ht="30" customHeight="1">
      <c r="A1168" s="6">
        <v>1166</v>
      </c>
      <c r="B1168" s="7" t="str">
        <f>"29802021050909560680660"</f>
        <v>29802021050909560680660</v>
      </c>
      <c r="C1168" s="7" t="s">
        <v>14</v>
      </c>
      <c r="D1168" s="7" t="str">
        <f>"洪露雨"</f>
        <v>洪露雨</v>
      </c>
      <c r="E1168" s="7" t="str">
        <f t="shared" si="53"/>
        <v>女</v>
      </c>
    </row>
    <row r="1169" spans="1:5" ht="30" customHeight="1">
      <c r="A1169" s="6">
        <v>1167</v>
      </c>
      <c r="B1169" s="7" t="str">
        <f>"29802021050909572280665"</f>
        <v>29802021050909572280665</v>
      </c>
      <c r="C1169" s="7" t="s">
        <v>14</v>
      </c>
      <c r="D1169" s="7" t="str">
        <f>"王丽恩"</f>
        <v>王丽恩</v>
      </c>
      <c r="E1169" s="7" t="str">
        <f t="shared" si="53"/>
        <v>女</v>
      </c>
    </row>
    <row r="1170" spans="1:5" ht="30" customHeight="1">
      <c r="A1170" s="6">
        <v>1168</v>
      </c>
      <c r="B1170" s="7" t="str">
        <f>"29802021050910223280724"</f>
        <v>29802021050910223280724</v>
      </c>
      <c r="C1170" s="7" t="s">
        <v>14</v>
      </c>
      <c r="D1170" s="7" t="str">
        <f>"邢卡市"</f>
        <v>邢卡市</v>
      </c>
      <c r="E1170" s="7" t="str">
        <f t="shared" si="53"/>
        <v>女</v>
      </c>
    </row>
    <row r="1171" spans="1:5" ht="30" customHeight="1">
      <c r="A1171" s="6">
        <v>1169</v>
      </c>
      <c r="B1171" s="7" t="str">
        <f>"29802021050910323580743"</f>
        <v>29802021050910323580743</v>
      </c>
      <c r="C1171" s="7" t="s">
        <v>14</v>
      </c>
      <c r="D1171" s="7" t="str">
        <f>"陈雯"</f>
        <v>陈雯</v>
      </c>
      <c r="E1171" s="7" t="str">
        <f t="shared" si="53"/>
        <v>女</v>
      </c>
    </row>
    <row r="1172" spans="1:5" ht="30" customHeight="1">
      <c r="A1172" s="6">
        <v>1170</v>
      </c>
      <c r="B1172" s="7" t="str">
        <f>"29802021050910405680761"</f>
        <v>29802021050910405680761</v>
      </c>
      <c r="C1172" s="7" t="s">
        <v>14</v>
      </c>
      <c r="D1172" s="7" t="str">
        <f>"王啟仲"</f>
        <v>王啟仲</v>
      </c>
      <c r="E1172" s="7" t="str">
        <f>"男"</f>
        <v>男</v>
      </c>
    </row>
    <row r="1173" spans="1:5" ht="30" customHeight="1">
      <c r="A1173" s="6">
        <v>1171</v>
      </c>
      <c r="B1173" s="7" t="str">
        <f>"29802021050910534880788"</f>
        <v>29802021050910534880788</v>
      </c>
      <c r="C1173" s="7" t="s">
        <v>14</v>
      </c>
      <c r="D1173" s="7" t="str">
        <f>"唐惠雯"</f>
        <v>唐惠雯</v>
      </c>
      <c r="E1173" s="7" t="str">
        <f aca="true" t="shared" si="54" ref="E1173:E1186">"女"</f>
        <v>女</v>
      </c>
    </row>
    <row r="1174" spans="1:5" ht="30" customHeight="1">
      <c r="A1174" s="6">
        <v>1172</v>
      </c>
      <c r="B1174" s="7" t="str">
        <f>"29802021050910551580793"</f>
        <v>29802021050910551580793</v>
      </c>
      <c r="C1174" s="7" t="s">
        <v>14</v>
      </c>
      <c r="D1174" s="7" t="str">
        <f>"黄雪岩"</f>
        <v>黄雪岩</v>
      </c>
      <c r="E1174" s="7" t="str">
        <f t="shared" si="54"/>
        <v>女</v>
      </c>
    </row>
    <row r="1175" spans="1:5" ht="30" customHeight="1">
      <c r="A1175" s="6">
        <v>1173</v>
      </c>
      <c r="B1175" s="7" t="str">
        <f>"29802021050913084281017"</f>
        <v>29802021050913084281017</v>
      </c>
      <c r="C1175" s="7" t="s">
        <v>14</v>
      </c>
      <c r="D1175" s="7" t="str">
        <f>"黄秋霜"</f>
        <v>黄秋霜</v>
      </c>
      <c r="E1175" s="7" t="str">
        <f t="shared" si="54"/>
        <v>女</v>
      </c>
    </row>
    <row r="1176" spans="1:5" ht="30" customHeight="1">
      <c r="A1176" s="6">
        <v>1174</v>
      </c>
      <c r="B1176" s="7" t="str">
        <f>"29802021050913093581019"</f>
        <v>29802021050913093581019</v>
      </c>
      <c r="C1176" s="7" t="s">
        <v>14</v>
      </c>
      <c r="D1176" s="7" t="str">
        <f>"闵素净"</f>
        <v>闵素净</v>
      </c>
      <c r="E1176" s="7" t="str">
        <f t="shared" si="54"/>
        <v>女</v>
      </c>
    </row>
    <row r="1177" spans="1:5" ht="30" customHeight="1">
      <c r="A1177" s="6">
        <v>1175</v>
      </c>
      <c r="B1177" s="7" t="str">
        <f>"29802021050913275081046"</f>
        <v>29802021050913275081046</v>
      </c>
      <c r="C1177" s="7" t="s">
        <v>14</v>
      </c>
      <c r="D1177" s="7" t="str">
        <f>"符玫"</f>
        <v>符玫</v>
      </c>
      <c r="E1177" s="7" t="str">
        <f t="shared" si="54"/>
        <v>女</v>
      </c>
    </row>
    <row r="1178" spans="1:5" ht="30" customHeight="1">
      <c r="A1178" s="6">
        <v>1176</v>
      </c>
      <c r="B1178" s="7" t="str">
        <f>"29802021050914551881168"</f>
        <v>29802021050914551881168</v>
      </c>
      <c r="C1178" s="7" t="s">
        <v>14</v>
      </c>
      <c r="D1178" s="7" t="str">
        <f>"陈春玲"</f>
        <v>陈春玲</v>
      </c>
      <c r="E1178" s="7" t="str">
        <f t="shared" si="54"/>
        <v>女</v>
      </c>
    </row>
    <row r="1179" spans="1:5" ht="30" customHeight="1">
      <c r="A1179" s="6">
        <v>1177</v>
      </c>
      <c r="B1179" s="7" t="str">
        <f>"29802021050916115181302"</f>
        <v>29802021050916115181302</v>
      </c>
      <c r="C1179" s="7" t="s">
        <v>14</v>
      </c>
      <c r="D1179" s="7" t="str">
        <f>"容鸿珊"</f>
        <v>容鸿珊</v>
      </c>
      <c r="E1179" s="7" t="str">
        <f t="shared" si="54"/>
        <v>女</v>
      </c>
    </row>
    <row r="1180" spans="1:5" ht="30" customHeight="1">
      <c r="A1180" s="6">
        <v>1178</v>
      </c>
      <c r="B1180" s="7" t="str">
        <f>"29802021050916215481319"</f>
        <v>29802021050916215481319</v>
      </c>
      <c r="C1180" s="7" t="s">
        <v>14</v>
      </c>
      <c r="D1180" s="7" t="str">
        <f>"曹艳"</f>
        <v>曹艳</v>
      </c>
      <c r="E1180" s="7" t="str">
        <f t="shared" si="54"/>
        <v>女</v>
      </c>
    </row>
    <row r="1181" spans="1:5" ht="30" customHeight="1">
      <c r="A1181" s="6">
        <v>1179</v>
      </c>
      <c r="B1181" s="7" t="str">
        <f>"29802021050916263681327"</f>
        <v>29802021050916263681327</v>
      </c>
      <c r="C1181" s="7" t="s">
        <v>14</v>
      </c>
      <c r="D1181" s="7" t="str">
        <f>"王钰卿"</f>
        <v>王钰卿</v>
      </c>
      <c r="E1181" s="7" t="str">
        <f t="shared" si="54"/>
        <v>女</v>
      </c>
    </row>
    <row r="1182" spans="1:5" ht="30" customHeight="1">
      <c r="A1182" s="6">
        <v>1180</v>
      </c>
      <c r="B1182" s="7" t="str">
        <f>"29802021050918040181548"</f>
        <v>29802021050918040181548</v>
      </c>
      <c r="C1182" s="7" t="s">
        <v>14</v>
      </c>
      <c r="D1182" s="7" t="str">
        <f>"陈欣玫"</f>
        <v>陈欣玫</v>
      </c>
      <c r="E1182" s="7" t="str">
        <f t="shared" si="54"/>
        <v>女</v>
      </c>
    </row>
    <row r="1183" spans="1:5" ht="30" customHeight="1">
      <c r="A1183" s="6">
        <v>1181</v>
      </c>
      <c r="B1183" s="7" t="str">
        <f>"29802021050918485381639"</f>
        <v>29802021050918485381639</v>
      </c>
      <c r="C1183" s="7" t="s">
        <v>14</v>
      </c>
      <c r="D1183" s="7" t="str">
        <f>"吉微"</f>
        <v>吉微</v>
      </c>
      <c r="E1183" s="7" t="str">
        <f t="shared" si="54"/>
        <v>女</v>
      </c>
    </row>
    <row r="1184" spans="1:5" ht="30" customHeight="1">
      <c r="A1184" s="6">
        <v>1182</v>
      </c>
      <c r="B1184" s="7" t="str">
        <f>"29802021050919425981727"</f>
        <v>29802021050919425981727</v>
      </c>
      <c r="C1184" s="7" t="s">
        <v>14</v>
      </c>
      <c r="D1184" s="7" t="str">
        <f>"容倩健"</f>
        <v>容倩健</v>
      </c>
      <c r="E1184" s="7" t="str">
        <f t="shared" si="54"/>
        <v>女</v>
      </c>
    </row>
    <row r="1185" spans="1:5" ht="30" customHeight="1">
      <c r="A1185" s="6">
        <v>1183</v>
      </c>
      <c r="B1185" s="7" t="str">
        <f>"29802021050921262781958"</f>
        <v>29802021050921262781958</v>
      </c>
      <c r="C1185" s="7" t="s">
        <v>14</v>
      </c>
      <c r="D1185" s="7" t="str">
        <f>"黄永裕"</f>
        <v>黄永裕</v>
      </c>
      <c r="E1185" s="7" t="str">
        <f t="shared" si="54"/>
        <v>女</v>
      </c>
    </row>
    <row r="1186" spans="1:5" ht="30" customHeight="1">
      <c r="A1186" s="6">
        <v>1184</v>
      </c>
      <c r="B1186" s="7" t="str">
        <f>"29802021050922011982058"</f>
        <v>29802021050922011982058</v>
      </c>
      <c r="C1186" s="7" t="s">
        <v>14</v>
      </c>
      <c r="D1186" s="7" t="str">
        <f>"黄方灵"</f>
        <v>黄方灵</v>
      </c>
      <c r="E1186" s="7" t="str">
        <f t="shared" si="54"/>
        <v>女</v>
      </c>
    </row>
    <row r="1187" spans="1:5" ht="30" customHeight="1">
      <c r="A1187" s="6">
        <v>1185</v>
      </c>
      <c r="B1187" s="7" t="str">
        <f>"29802021050923293982247"</f>
        <v>29802021050923293982247</v>
      </c>
      <c r="C1187" s="7" t="s">
        <v>14</v>
      </c>
      <c r="D1187" s="7" t="str">
        <f>"蔡云飞"</f>
        <v>蔡云飞</v>
      </c>
      <c r="E1187" s="7" t="str">
        <f>"男"</f>
        <v>男</v>
      </c>
    </row>
    <row r="1188" spans="1:5" ht="30" customHeight="1">
      <c r="A1188" s="6">
        <v>1186</v>
      </c>
      <c r="B1188" s="7" t="str">
        <f>"29802021051000115882297"</f>
        <v>29802021051000115882297</v>
      </c>
      <c r="C1188" s="7" t="s">
        <v>14</v>
      </c>
      <c r="D1188" s="7" t="str">
        <f>"蒋荟芳"</f>
        <v>蒋荟芳</v>
      </c>
      <c r="E1188" s="7" t="str">
        <f aca="true" t="shared" si="55" ref="E1188:E1207">"女"</f>
        <v>女</v>
      </c>
    </row>
    <row r="1189" spans="1:5" ht="30" customHeight="1">
      <c r="A1189" s="6">
        <v>1187</v>
      </c>
      <c r="B1189" s="7" t="str">
        <f>"29802021051007470982373"</f>
        <v>29802021051007470982373</v>
      </c>
      <c r="C1189" s="7" t="s">
        <v>14</v>
      </c>
      <c r="D1189" s="7" t="str">
        <f>"王婉媛"</f>
        <v>王婉媛</v>
      </c>
      <c r="E1189" s="7" t="str">
        <f t="shared" si="55"/>
        <v>女</v>
      </c>
    </row>
    <row r="1190" spans="1:5" ht="30" customHeight="1">
      <c r="A1190" s="6">
        <v>1188</v>
      </c>
      <c r="B1190" s="7" t="str">
        <f>"29802021051008085082416"</f>
        <v>29802021051008085082416</v>
      </c>
      <c r="C1190" s="7" t="s">
        <v>14</v>
      </c>
      <c r="D1190" s="7" t="str">
        <f>"林高茹"</f>
        <v>林高茹</v>
      </c>
      <c r="E1190" s="7" t="str">
        <f t="shared" si="55"/>
        <v>女</v>
      </c>
    </row>
    <row r="1191" spans="1:5" ht="30" customHeight="1">
      <c r="A1191" s="6">
        <v>1189</v>
      </c>
      <c r="B1191" s="7" t="str">
        <f>"29802021051008313082508"</f>
        <v>29802021051008313082508</v>
      </c>
      <c r="C1191" s="7" t="s">
        <v>14</v>
      </c>
      <c r="D1191" s="7" t="str">
        <f>"刘静"</f>
        <v>刘静</v>
      </c>
      <c r="E1191" s="7" t="str">
        <f t="shared" si="55"/>
        <v>女</v>
      </c>
    </row>
    <row r="1192" spans="1:5" ht="30" customHeight="1">
      <c r="A1192" s="6">
        <v>1190</v>
      </c>
      <c r="B1192" s="7" t="str">
        <f>"29802021051008473182615"</f>
        <v>29802021051008473182615</v>
      </c>
      <c r="C1192" s="7" t="s">
        <v>14</v>
      </c>
      <c r="D1192" s="7" t="str">
        <f>"刘丹丹"</f>
        <v>刘丹丹</v>
      </c>
      <c r="E1192" s="7" t="str">
        <f t="shared" si="55"/>
        <v>女</v>
      </c>
    </row>
    <row r="1193" spans="1:5" ht="30" customHeight="1">
      <c r="A1193" s="6">
        <v>1191</v>
      </c>
      <c r="B1193" s="7" t="str">
        <f>"29802021051009093182840"</f>
        <v>29802021051009093182840</v>
      </c>
      <c r="C1193" s="7" t="s">
        <v>14</v>
      </c>
      <c r="D1193" s="7" t="str">
        <f>"胡丹"</f>
        <v>胡丹</v>
      </c>
      <c r="E1193" s="7" t="str">
        <f t="shared" si="55"/>
        <v>女</v>
      </c>
    </row>
    <row r="1194" spans="1:5" ht="30" customHeight="1">
      <c r="A1194" s="6">
        <v>1192</v>
      </c>
      <c r="B1194" s="7" t="str">
        <f>"29802021051009141882904"</f>
        <v>29802021051009141882904</v>
      </c>
      <c r="C1194" s="7" t="s">
        <v>14</v>
      </c>
      <c r="D1194" s="7" t="str">
        <f>"韦蕾蕾"</f>
        <v>韦蕾蕾</v>
      </c>
      <c r="E1194" s="7" t="str">
        <f t="shared" si="55"/>
        <v>女</v>
      </c>
    </row>
    <row r="1195" spans="1:5" ht="30" customHeight="1">
      <c r="A1195" s="6">
        <v>1193</v>
      </c>
      <c r="B1195" s="7" t="str">
        <f>"29802021051009310783104"</f>
        <v>29802021051009310783104</v>
      </c>
      <c r="C1195" s="7" t="s">
        <v>14</v>
      </c>
      <c r="D1195" s="7" t="str">
        <f>"黄小敏"</f>
        <v>黄小敏</v>
      </c>
      <c r="E1195" s="7" t="str">
        <f t="shared" si="55"/>
        <v>女</v>
      </c>
    </row>
    <row r="1196" spans="1:5" ht="30" customHeight="1">
      <c r="A1196" s="6">
        <v>1194</v>
      </c>
      <c r="B1196" s="7" t="str">
        <f>"29802021051009420483215"</f>
        <v>29802021051009420483215</v>
      </c>
      <c r="C1196" s="7" t="s">
        <v>14</v>
      </c>
      <c r="D1196" s="7" t="str">
        <f>"陈杨玲"</f>
        <v>陈杨玲</v>
      </c>
      <c r="E1196" s="7" t="str">
        <f t="shared" si="55"/>
        <v>女</v>
      </c>
    </row>
    <row r="1197" spans="1:5" ht="30" customHeight="1">
      <c r="A1197" s="6">
        <v>1195</v>
      </c>
      <c r="B1197" s="7" t="str">
        <f>"29802021051009515783316"</f>
        <v>29802021051009515783316</v>
      </c>
      <c r="C1197" s="7" t="s">
        <v>14</v>
      </c>
      <c r="D1197" s="7" t="str">
        <f>"黄燕卡"</f>
        <v>黄燕卡</v>
      </c>
      <c r="E1197" s="7" t="str">
        <f t="shared" si="55"/>
        <v>女</v>
      </c>
    </row>
    <row r="1198" spans="1:5" ht="30" customHeight="1">
      <c r="A1198" s="6">
        <v>1196</v>
      </c>
      <c r="B1198" s="7" t="str">
        <f>"29802021051010121883555"</f>
        <v>29802021051010121883555</v>
      </c>
      <c r="C1198" s="7" t="s">
        <v>14</v>
      </c>
      <c r="D1198" s="7" t="str">
        <f>"陈小婷"</f>
        <v>陈小婷</v>
      </c>
      <c r="E1198" s="7" t="str">
        <f t="shared" si="55"/>
        <v>女</v>
      </c>
    </row>
    <row r="1199" spans="1:5" ht="30" customHeight="1">
      <c r="A1199" s="6">
        <v>1197</v>
      </c>
      <c r="B1199" s="7" t="str">
        <f>"29802021051010150283592"</f>
        <v>29802021051010150283592</v>
      </c>
      <c r="C1199" s="7" t="s">
        <v>14</v>
      </c>
      <c r="D1199" s="7" t="str">
        <f>"林燕妮"</f>
        <v>林燕妮</v>
      </c>
      <c r="E1199" s="7" t="str">
        <f t="shared" si="55"/>
        <v>女</v>
      </c>
    </row>
    <row r="1200" spans="1:5" ht="30" customHeight="1">
      <c r="A1200" s="6">
        <v>1198</v>
      </c>
      <c r="B1200" s="7" t="str">
        <f>"29802021051010194683661"</f>
        <v>29802021051010194683661</v>
      </c>
      <c r="C1200" s="7" t="s">
        <v>14</v>
      </c>
      <c r="D1200" s="7" t="str">
        <f>"黎娟娟"</f>
        <v>黎娟娟</v>
      </c>
      <c r="E1200" s="7" t="str">
        <f t="shared" si="55"/>
        <v>女</v>
      </c>
    </row>
    <row r="1201" spans="1:5" ht="30" customHeight="1">
      <c r="A1201" s="6">
        <v>1199</v>
      </c>
      <c r="B1201" s="7" t="str">
        <f>"29802021051010214283689"</f>
        <v>29802021051010214283689</v>
      </c>
      <c r="C1201" s="7" t="s">
        <v>14</v>
      </c>
      <c r="D1201" s="7" t="str">
        <f>"符霞萍"</f>
        <v>符霞萍</v>
      </c>
      <c r="E1201" s="7" t="str">
        <f t="shared" si="55"/>
        <v>女</v>
      </c>
    </row>
    <row r="1202" spans="1:5" ht="30" customHeight="1">
      <c r="A1202" s="6">
        <v>1200</v>
      </c>
      <c r="B1202" s="7" t="str">
        <f>"29802021051010230283712"</f>
        <v>29802021051010230283712</v>
      </c>
      <c r="C1202" s="7" t="s">
        <v>14</v>
      </c>
      <c r="D1202" s="7" t="str">
        <f>"王秋萍"</f>
        <v>王秋萍</v>
      </c>
      <c r="E1202" s="7" t="str">
        <f t="shared" si="55"/>
        <v>女</v>
      </c>
    </row>
    <row r="1203" spans="1:5" ht="30" customHeight="1">
      <c r="A1203" s="6">
        <v>1201</v>
      </c>
      <c r="B1203" s="7" t="str">
        <f>"29802021051010301183798"</f>
        <v>29802021051010301183798</v>
      </c>
      <c r="C1203" s="7" t="s">
        <v>14</v>
      </c>
      <c r="D1203" s="7" t="str">
        <f>"周芳娇"</f>
        <v>周芳娇</v>
      </c>
      <c r="E1203" s="7" t="str">
        <f t="shared" si="55"/>
        <v>女</v>
      </c>
    </row>
    <row r="1204" spans="1:5" ht="30" customHeight="1">
      <c r="A1204" s="6">
        <v>1202</v>
      </c>
      <c r="B1204" s="7" t="str">
        <f>"29802021051010305083806"</f>
        <v>29802021051010305083806</v>
      </c>
      <c r="C1204" s="7" t="s">
        <v>14</v>
      </c>
      <c r="D1204" s="7" t="str">
        <f>"符美瑶"</f>
        <v>符美瑶</v>
      </c>
      <c r="E1204" s="7" t="str">
        <f t="shared" si="55"/>
        <v>女</v>
      </c>
    </row>
    <row r="1205" spans="1:5" ht="30" customHeight="1">
      <c r="A1205" s="6">
        <v>1203</v>
      </c>
      <c r="B1205" s="7" t="str">
        <f>"29802021051010305783809"</f>
        <v>29802021051010305783809</v>
      </c>
      <c r="C1205" s="7" t="s">
        <v>14</v>
      </c>
      <c r="D1205" s="7" t="str">
        <f>"羊青霞"</f>
        <v>羊青霞</v>
      </c>
      <c r="E1205" s="7" t="str">
        <f t="shared" si="55"/>
        <v>女</v>
      </c>
    </row>
    <row r="1206" spans="1:5" ht="30" customHeight="1">
      <c r="A1206" s="6">
        <v>1204</v>
      </c>
      <c r="B1206" s="7" t="str">
        <f>"29802021051010345183854"</f>
        <v>29802021051010345183854</v>
      </c>
      <c r="C1206" s="7" t="s">
        <v>14</v>
      </c>
      <c r="D1206" s="7" t="str">
        <f>"董佳佳"</f>
        <v>董佳佳</v>
      </c>
      <c r="E1206" s="7" t="str">
        <f t="shared" si="55"/>
        <v>女</v>
      </c>
    </row>
    <row r="1207" spans="1:5" ht="30" customHeight="1">
      <c r="A1207" s="6">
        <v>1205</v>
      </c>
      <c r="B1207" s="7" t="str">
        <f>"29802021051010390083905"</f>
        <v>29802021051010390083905</v>
      </c>
      <c r="C1207" s="7" t="s">
        <v>14</v>
      </c>
      <c r="D1207" s="7" t="str">
        <f>"张燕慧"</f>
        <v>张燕慧</v>
      </c>
      <c r="E1207" s="7" t="str">
        <f t="shared" si="55"/>
        <v>女</v>
      </c>
    </row>
    <row r="1208" spans="1:5" ht="30" customHeight="1">
      <c r="A1208" s="6">
        <v>1206</v>
      </c>
      <c r="B1208" s="7" t="str">
        <f>"29802021051010411383928"</f>
        <v>29802021051010411383928</v>
      </c>
      <c r="C1208" s="7" t="s">
        <v>14</v>
      </c>
      <c r="D1208" s="7" t="str">
        <f>"刘照关"</f>
        <v>刘照关</v>
      </c>
      <c r="E1208" s="7" t="str">
        <f>"男"</f>
        <v>男</v>
      </c>
    </row>
    <row r="1209" spans="1:5" ht="30" customHeight="1">
      <c r="A1209" s="6">
        <v>1207</v>
      </c>
      <c r="B1209" s="7" t="str">
        <f>"29802021051010441383967"</f>
        <v>29802021051010441383967</v>
      </c>
      <c r="C1209" s="7" t="s">
        <v>14</v>
      </c>
      <c r="D1209" s="7" t="str">
        <f>"高倩"</f>
        <v>高倩</v>
      </c>
      <c r="E1209" s="7" t="str">
        <f>"女"</f>
        <v>女</v>
      </c>
    </row>
    <row r="1210" spans="1:5" ht="30" customHeight="1">
      <c r="A1210" s="6">
        <v>1208</v>
      </c>
      <c r="B1210" s="7" t="str">
        <f>"29802021051010555784081"</f>
        <v>29802021051010555784081</v>
      </c>
      <c r="C1210" s="7" t="s">
        <v>14</v>
      </c>
      <c r="D1210" s="7" t="str">
        <f>"符文晶"</f>
        <v>符文晶</v>
      </c>
      <c r="E1210" s="7" t="str">
        <f>"女"</f>
        <v>女</v>
      </c>
    </row>
    <row r="1211" spans="1:5" ht="30" customHeight="1">
      <c r="A1211" s="6">
        <v>1209</v>
      </c>
      <c r="B1211" s="7" t="str">
        <f>"29802021051011013984138"</f>
        <v>29802021051011013984138</v>
      </c>
      <c r="C1211" s="7" t="s">
        <v>14</v>
      </c>
      <c r="D1211" s="7" t="str">
        <f>"胡小灿"</f>
        <v>胡小灿</v>
      </c>
      <c r="E1211" s="7" t="str">
        <f>"女"</f>
        <v>女</v>
      </c>
    </row>
    <row r="1212" spans="1:5" ht="30" customHeight="1">
      <c r="A1212" s="6">
        <v>1210</v>
      </c>
      <c r="B1212" s="7" t="str">
        <f>"29802021051011075484192"</f>
        <v>29802021051011075484192</v>
      </c>
      <c r="C1212" s="7" t="s">
        <v>14</v>
      </c>
      <c r="D1212" s="7" t="str">
        <f>"高喜红"</f>
        <v>高喜红</v>
      </c>
      <c r="E1212" s="7" t="str">
        <f>"女"</f>
        <v>女</v>
      </c>
    </row>
    <row r="1213" spans="1:5" ht="30" customHeight="1">
      <c r="A1213" s="6">
        <v>1211</v>
      </c>
      <c r="B1213" s="7" t="str">
        <f>"29802021051011184584296"</f>
        <v>29802021051011184584296</v>
      </c>
      <c r="C1213" s="7" t="s">
        <v>14</v>
      </c>
      <c r="D1213" s="7" t="str">
        <f>"陈小芳"</f>
        <v>陈小芳</v>
      </c>
      <c r="E1213" s="7" t="str">
        <f>"女"</f>
        <v>女</v>
      </c>
    </row>
    <row r="1214" spans="1:5" ht="30" customHeight="1">
      <c r="A1214" s="6">
        <v>1212</v>
      </c>
      <c r="B1214" s="7" t="str">
        <f>"29802021051011341084417"</f>
        <v>29802021051011341084417</v>
      </c>
      <c r="C1214" s="7" t="s">
        <v>14</v>
      </c>
      <c r="D1214" s="7" t="str">
        <f>"符运松"</f>
        <v>符运松</v>
      </c>
      <c r="E1214" s="7" t="str">
        <f>"男"</f>
        <v>男</v>
      </c>
    </row>
    <row r="1215" spans="1:5" ht="30" customHeight="1">
      <c r="A1215" s="6">
        <v>1213</v>
      </c>
      <c r="B1215" s="7" t="str">
        <f>"29802021051011472884503"</f>
        <v>29802021051011472884503</v>
      </c>
      <c r="C1215" s="7" t="s">
        <v>14</v>
      </c>
      <c r="D1215" s="7" t="str">
        <f>"谢运春"</f>
        <v>谢运春</v>
      </c>
      <c r="E1215" s="7" t="str">
        <f aca="true" t="shared" si="56" ref="E1215:E1224">"女"</f>
        <v>女</v>
      </c>
    </row>
    <row r="1216" spans="1:5" ht="30" customHeight="1">
      <c r="A1216" s="6">
        <v>1214</v>
      </c>
      <c r="B1216" s="7" t="str">
        <f>"29802021051011520284526"</f>
        <v>29802021051011520284526</v>
      </c>
      <c r="C1216" s="7" t="s">
        <v>14</v>
      </c>
      <c r="D1216" s="7" t="str">
        <f>"吉琼娟"</f>
        <v>吉琼娟</v>
      </c>
      <c r="E1216" s="7" t="str">
        <f t="shared" si="56"/>
        <v>女</v>
      </c>
    </row>
    <row r="1217" spans="1:5" ht="30" customHeight="1">
      <c r="A1217" s="6">
        <v>1215</v>
      </c>
      <c r="B1217" s="7" t="str">
        <f>"29802021051011533384532"</f>
        <v>29802021051011533384532</v>
      </c>
      <c r="C1217" s="7" t="s">
        <v>14</v>
      </c>
      <c r="D1217" s="7" t="str">
        <f>"刘申申"</f>
        <v>刘申申</v>
      </c>
      <c r="E1217" s="7" t="str">
        <f t="shared" si="56"/>
        <v>女</v>
      </c>
    </row>
    <row r="1218" spans="1:5" ht="30" customHeight="1">
      <c r="A1218" s="6">
        <v>1216</v>
      </c>
      <c r="B1218" s="7" t="str">
        <f>"29802021051012220784682"</f>
        <v>29802021051012220784682</v>
      </c>
      <c r="C1218" s="7" t="s">
        <v>14</v>
      </c>
      <c r="D1218" s="7" t="str">
        <f>"符慧主"</f>
        <v>符慧主</v>
      </c>
      <c r="E1218" s="7" t="str">
        <f t="shared" si="56"/>
        <v>女</v>
      </c>
    </row>
    <row r="1219" spans="1:5" ht="30" customHeight="1">
      <c r="A1219" s="6">
        <v>1217</v>
      </c>
      <c r="B1219" s="7" t="str">
        <f>"29802021051012413284814"</f>
        <v>29802021051012413284814</v>
      </c>
      <c r="C1219" s="7" t="s">
        <v>14</v>
      </c>
      <c r="D1219" s="7" t="str">
        <f>"李菲菲"</f>
        <v>李菲菲</v>
      </c>
      <c r="E1219" s="7" t="str">
        <f t="shared" si="56"/>
        <v>女</v>
      </c>
    </row>
    <row r="1220" spans="1:5" ht="30" customHeight="1">
      <c r="A1220" s="6">
        <v>1218</v>
      </c>
      <c r="B1220" s="7" t="str">
        <f>"29802021051012592384918"</f>
        <v>29802021051012592384918</v>
      </c>
      <c r="C1220" s="7" t="s">
        <v>14</v>
      </c>
      <c r="D1220" s="7" t="str">
        <f>"吉少科"</f>
        <v>吉少科</v>
      </c>
      <c r="E1220" s="7" t="str">
        <f t="shared" si="56"/>
        <v>女</v>
      </c>
    </row>
    <row r="1221" spans="1:5" ht="30" customHeight="1">
      <c r="A1221" s="6">
        <v>1219</v>
      </c>
      <c r="B1221" s="7" t="str">
        <f>"29802021051015000985502"</f>
        <v>29802021051015000985502</v>
      </c>
      <c r="C1221" s="7" t="s">
        <v>14</v>
      </c>
      <c r="D1221" s="7" t="str">
        <f>"胡丽萍"</f>
        <v>胡丽萍</v>
      </c>
      <c r="E1221" s="7" t="str">
        <f t="shared" si="56"/>
        <v>女</v>
      </c>
    </row>
    <row r="1222" spans="1:5" ht="30" customHeight="1">
      <c r="A1222" s="6">
        <v>1220</v>
      </c>
      <c r="B1222" s="7" t="str">
        <f>"29802021051015180485619"</f>
        <v>29802021051015180485619</v>
      </c>
      <c r="C1222" s="7" t="s">
        <v>14</v>
      </c>
      <c r="D1222" s="7" t="str">
        <f>"邓玉娜"</f>
        <v>邓玉娜</v>
      </c>
      <c r="E1222" s="7" t="str">
        <f t="shared" si="56"/>
        <v>女</v>
      </c>
    </row>
    <row r="1223" spans="1:5" ht="30" customHeight="1">
      <c r="A1223" s="6">
        <v>1221</v>
      </c>
      <c r="B1223" s="7" t="str">
        <f>"29802021051015193085632"</f>
        <v>29802021051015193085632</v>
      </c>
      <c r="C1223" s="7" t="s">
        <v>14</v>
      </c>
      <c r="D1223" s="7" t="str">
        <f>"陈慧霞"</f>
        <v>陈慧霞</v>
      </c>
      <c r="E1223" s="7" t="str">
        <f t="shared" si="56"/>
        <v>女</v>
      </c>
    </row>
    <row r="1224" spans="1:5" ht="30" customHeight="1">
      <c r="A1224" s="6">
        <v>1222</v>
      </c>
      <c r="B1224" s="7" t="str">
        <f>"29802021051015234185669"</f>
        <v>29802021051015234185669</v>
      </c>
      <c r="C1224" s="7" t="s">
        <v>14</v>
      </c>
      <c r="D1224" s="7" t="str">
        <f>"符丽悦"</f>
        <v>符丽悦</v>
      </c>
      <c r="E1224" s="7" t="str">
        <f t="shared" si="56"/>
        <v>女</v>
      </c>
    </row>
    <row r="1225" spans="1:5" ht="30" customHeight="1">
      <c r="A1225" s="6">
        <v>1223</v>
      </c>
      <c r="B1225" s="7" t="str">
        <f>"29802021051015294885704"</f>
        <v>29802021051015294885704</v>
      </c>
      <c r="C1225" s="7" t="s">
        <v>14</v>
      </c>
      <c r="D1225" s="7" t="str">
        <f>"符乃仁"</f>
        <v>符乃仁</v>
      </c>
      <c r="E1225" s="7" t="str">
        <f>"男"</f>
        <v>男</v>
      </c>
    </row>
    <row r="1226" spans="1:5" ht="30" customHeight="1">
      <c r="A1226" s="6">
        <v>1224</v>
      </c>
      <c r="B1226" s="7" t="str">
        <f>"29802021051015530285881"</f>
        <v>29802021051015530285881</v>
      </c>
      <c r="C1226" s="7" t="s">
        <v>14</v>
      </c>
      <c r="D1226" s="7" t="str">
        <f>"麦晓星"</f>
        <v>麦晓星</v>
      </c>
      <c r="E1226" s="7" t="str">
        <f>"女"</f>
        <v>女</v>
      </c>
    </row>
    <row r="1227" spans="1:5" ht="30" customHeight="1">
      <c r="A1227" s="6">
        <v>1225</v>
      </c>
      <c r="B1227" s="7" t="str">
        <f>"29802021051015561485903"</f>
        <v>29802021051015561485903</v>
      </c>
      <c r="C1227" s="7" t="s">
        <v>14</v>
      </c>
      <c r="D1227" s="7" t="str">
        <f>"蒋歆"</f>
        <v>蒋歆</v>
      </c>
      <c r="E1227" s="7" t="str">
        <f>"女"</f>
        <v>女</v>
      </c>
    </row>
    <row r="1228" spans="1:5" ht="30" customHeight="1">
      <c r="A1228" s="6">
        <v>1226</v>
      </c>
      <c r="B1228" s="7" t="str">
        <f>"29802021051015573085911"</f>
        <v>29802021051015573085911</v>
      </c>
      <c r="C1228" s="7" t="s">
        <v>14</v>
      </c>
      <c r="D1228" s="7" t="str">
        <f>"李延坤"</f>
        <v>李延坤</v>
      </c>
      <c r="E1228" s="7" t="str">
        <f>"女"</f>
        <v>女</v>
      </c>
    </row>
    <row r="1229" spans="1:5" ht="30" customHeight="1">
      <c r="A1229" s="6">
        <v>1227</v>
      </c>
      <c r="B1229" s="7" t="str">
        <f>"29802021051016115686004"</f>
        <v>29802021051016115686004</v>
      </c>
      <c r="C1229" s="7" t="s">
        <v>14</v>
      </c>
      <c r="D1229" s="7" t="str">
        <f>"黄以民"</f>
        <v>黄以民</v>
      </c>
      <c r="E1229" s="7" t="str">
        <f>"男"</f>
        <v>男</v>
      </c>
    </row>
    <row r="1230" spans="1:5" ht="30" customHeight="1">
      <c r="A1230" s="6">
        <v>1228</v>
      </c>
      <c r="B1230" s="7" t="str">
        <f>"29802021051016193886063"</f>
        <v>29802021051016193886063</v>
      </c>
      <c r="C1230" s="7" t="s">
        <v>14</v>
      </c>
      <c r="D1230" s="7" t="str">
        <f>"胡丽"</f>
        <v>胡丽</v>
      </c>
      <c r="E1230" s="7" t="str">
        <f>"女"</f>
        <v>女</v>
      </c>
    </row>
    <row r="1231" spans="1:5" ht="30" customHeight="1">
      <c r="A1231" s="6">
        <v>1229</v>
      </c>
      <c r="B1231" s="7" t="str">
        <f>"29802021051016211586071"</f>
        <v>29802021051016211586071</v>
      </c>
      <c r="C1231" s="7" t="s">
        <v>14</v>
      </c>
      <c r="D1231" s="7" t="str">
        <f>"赖嘉琪"</f>
        <v>赖嘉琪</v>
      </c>
      <c r="E1231" s="7" t="str">
        <f>"女"</f>
        <v>女</v>
      </c>
    </row>
    <row r="1232" spans="1:5" ht="30" customHeight="1">
      <c r="A1232" s="6">
        <v>1230</v>
      </c>
      <c r="B1232" s="7" t="str">
        <f>"29802021051016223686088"</f>
        <v>29802021051016223686088</v>
      </c>
      <c r="C1232" s="7" t="s">
        <v>14</v>
      </c>
      <c r="D1232" s="7" t="str">
        <f>"卓翠妹"</f>
        <v>卓翠妹</v>
      </c>
      <c r="E1232" s="7" t="str">
        <f>"女"</f>
        <v>女</v>
      </c>
    </row>
    <row r="1233" spans="1:5" ht="30" customHeight="1">
      <c r="A1233" s="6">
        <v>1231</v>
      </c>
      <c r="B1233" s="7" t="str">
        <f>"29802021051016225386090"</f>
        <v>29802021051016225386090</v>
      </c>
      <c r="C1233" s="7" t="s">
        <v>14</v>
      </c>
      <c r="D1233" s="7" t="str">
        <f>"吉春"</f>
        <v>吉春</v>
      </c>
      <c r="E1233" s="7" t="str">
        <f>"女"</f>
        <v>女</v>
      </c>
    </row>
    <row r="1234" spans="1:5" ht="30" customHeight="1">
      <c r="A1234" s="6">
        <v>1232</v>
      </c>
      <c r="B1234" s="7" t="str">
        <f>"29802021051016395486213"</f>
        <v>29802021051016395486213</v>
      </c>
      <c r="C1234" s="7" t="s">
        <v>14</v>
      </c>
      <c r="D1234" s="7" t="str">
        <f>"唐空"</f>
        <v>唐空</v>
      </c>
      <c r="E1234" s="7" t="str">
        <f>"女"</f>
        <v>女</v>
      </c>
    </row>
    <row r="1235" spans="1:5" ht="30" customHeight="1">
      <c r="A1235" s="6">
        <v>1233</v>
      </c>
      <c r="B1235" s="7" t="str">
        <f>"29802021051016404586219"</f>
        <v>29802021051016404586219</v>
      </c>
      <c r="C1235" s="7" t="s">
        <v>14</v>
      </c>
      <c r="D1235" s="7" t="str">
        <f>"黄才智"</f>
        <v>黄才智</v>
      </c>
      <c r="E1235" s="7" t="str">
        <f>"男"</f>
        <v>男</v>
      </c>
    </row>
    <row r="1236" spans="1:5" ht="30" customHeight="1">
      <c r="A1236" s="6">
        <v>1234</v>
      </c>
      <c r="B1236" s="7" t="str">
        <f>"29802021051016452786264"</f>
        <v>29802021051016452786264</v>
      </c>
      <c r="C1236" s="7" t="s">
        <v>14</v>
      </c>
      <c r="D1236" s="7" t="str">
        <f>"邢亚群"</f>
        <v>邢亚群</v>
      </c>
      <c r="E1236" s="7" t="str">
        <f aca="true" t="shared" si="57" ref="E1236:E1247">"女"</f>
        <v>女</v>
      </c>
    </row>
    <row r="1237" spans="1:5" ht="30" customHeight="1">
      <c r="A1237" s="6">
        <v>1235</v>
      </c>
      <c r="B1237" s="7" t="str">
        <f>"29802021051017115186418"</f>
        <v>29802021051017115186418</v>
      </c>
      <c r="C1237" s="7" t="s">
        <v>14</v>
      </c>
      <c r="D1237" s="7" t="str">
        <f>"董朝孟"</f>
        <v>董朝孟</v>
      </c>
      <c r="E1237" s="7" t="str">
        <f t="shared" si="57"/>
        <v>女</v>
      </c>
    </row>
    <row r="1238" spans="1:5" ht="30" customHeight="1">
      <c r="A1238" s="6">
        <v>1236</v>
      </c>
      <c r="B1238" s="7" t="str">
        <f>"29802021051017270686498"</f>
        <v>29802021051017270686498</v>
      </c>
      <c r="C1238" s="7" t="s">
        <v>14</v>
      </c>
      <c r="D1238" s="7" t="str">
        <f>"卢芳珍"</f>
        <v>卢芳珍</v>
      </c>
      <c r="E1238" s="7" t="str">
        <f t="shared" si="57"/>
        <v>女</v>
      </c>
    </row>
    <row r="1239" spans="1:5" ht="30" customHeight="1">
      <c r="A1239" s="6">
        <v>1237</v>
      </c>
      <c r="B1239" s="7" t="str">
        <f>"29802021051017330686526"</f>
        <v>29802021051017330686526</v>
      </c>
      <c r="C1239" s="7" t="s">
        <v>14</v>
      </c>
      <c r="D1239" s="7" t="str">
        <f>"李姿"</f>
        <v>李姿</v>
      </c>
      <c r="E1239" s="7" t="str">
        <f t="shared" si="57"/>
        <v>女</v>
      </c>
    </row>
    <row r="1240" spans="1:5" ht="30" customHeight="1">
      <c r="A1240" s="6">
        <v>1238</v>
      </c>
      <c r="B1240" s="7" t="str">
        <f>"29802021051017331286529"</f>
        <v>29802021051017331286529</v>
      </c>
      <c r="C1240" s="7" t="s">
        <v>14</v>
      </c>
      <c r="D1240" s="7" t="str">
        <f>"李亮"</f>
        <v>李亮</v>
      </c>
      <c r="E1240" s="7" t="str">
        <f t="shared" si="57"/>
        <v>女</v>
      </c>
    </row>
    <row r="1241" spans="1:5" ht="30" customHeight="1">
      <c r="A1241" s="6">
        <v>1239</v>
      </c>
      <c r="B1241" s="7" t="str">
        <f>"29802021051019455987108"</f>
        <v>29802021051019455987108</v>
      </c>
      <c r="C1241" s="7" t="s">
        <v>14</v>
      </c>
      <c r="D1241" s="7" t="str">
        <f>"黄梓枫"</f>
        <v>黄梓枫</v>
      </c>
      <c r="E1241" s="7" t="str">
        <f t="shared" si="57"/>
        <v>女</v>
      </c>
    </row>
    <row r="1242" spans="1:5" ht="30" customHeight="1">
      <c r="A1242" s="6">
        <v>1240</v>
      </c>
      <c r="B1242" s="7" t="str">
        <f>"29802021051019495687126"</f>
        <v>29802021051019495687126</v>
      </c>
      <c r="C1242" s="7" t="s">
        <v>14</v>
      </c>
      <c r="D1242" s="7" t="str">
        <f>"陈红如"</f>
        <v>陈红如</v>
      </c>
      <c r="E1242" s="7" t="str">
        <f t="shared" si="57"/>
        <v>女</v>
      </c>
    </row>
    <row r="1243" spans="1:5" ht="30" customHeight="1">
      <c r="A1243" s="6">
        <v>1241</v>
      </c>
      <c r="B1243" s="7" t="str">
        <f>"29802021051019501687129"</f>
        <v>29802021051019501687129</v>
      </c>
      <c r="C1243" s="7" t="s">
        <v>14</v>
      </c>
      <c r="D1243" s="7" t="str">
        <f>"卢少婧"</f>
        <v>卢少婧</v>
      </c>
      <c r="E1243" s="7" t="str">
        <f t="shared" si="57"/>
        <v>女</v>
      </c>
    </row>
    <row r="1244" spans="1:5" ht="30" customHeight="1">
      <c r="A1244" s="6">
        <v>1242</v>
      </c>
      <c r="B1244" s="7" t="str">
        <f>"29802021051019512887134"</f>
        <v>29802021051019512887134</v>
      </c>
      <c r="C1244" s="7" t="s">
        <v>14</v>
      </c>
      <c r="D1244" s="7" t="str">
        <f>"李天书"</f>
        <v>李天书</v>
      </c>
      <c r="E1244" s="7" t="str">
        <f t="shared" si="57"/>
        <v>女</v>
      </c>
    </row>
    <row r="1245" spans="1:5" ht="30" customHeight="1">
      <c r="A1245" s="6">
        <v>1243</v>
      </c>
      <c r="B1245" s="7" t="str">
        <f>"29802021051019534487148"</f>
        <v>29802021051019534487148</v>
      </c>
      <c r="C1245" s="7" t="s">
        <v>14</v>
      </c>
      <c r="D1245" s="7" t="str">
        <f>"王传玉"</f>
        <v>王传玉</v>
      </c>
      <c r="E1245" s="7" t="str">
        <f t="shared" si="57"/>
        <v>女</v>
      </c>
    </row>
    <row r="1246" spans="1:5" ht="30" customHeight="1">
      <c r="A1246" s="6">
        <v>1244</v>
      </c>
      <c r="B1246" s="7" t="str">
        <f>"29802021051020164887262"</f>
        <v>29802021051020164887262</v>
      </c>
      <c r="C1246" s="7" t="s">
        <v>14</v>
      </c>
      <c r="D1246" s="7" t="str">
        <f>"陈安怡"</f>
        <v>陈安怡</v>
      </c>
      <c r="E1246" s="7" t="str">
        <f t="shared" si="57"/>
        <v>女</v>
      </c>
    </row>
    <row r="1247" spans="1:5" ht="30" customHeight="1">
      <c r="A1247" s="6">
        <v>1245</v>
      </c>
      <c r="B1247" s="7" t="str">
        <f>"29802021051020341387328"</f>
        <v>29802021051020341387328</v>
      </c>
      <c r="C1247" s="7" t="s">
        <v>14</v>
      </c>
      <c r="D1247" s="7" t="str">
        <f>"符卓花"</f>
        <v>符卓花</v>
      </c>
      <c r="E1247" s="7" t="str">
        <f t="shared" si="57"/>
        <v>女</v>
      </c>
    </row>
    <row r="1248" spans="1:5" ht="30" customHeight="1">
      <c r="A1248" s="6">
        <v>1246</v>
      </c>
      <c r="B1248" s="7" t="str">
        <f>"29802021051020364787338"</f>
        <v>29802021051020364787338</v>
      </c>
      <c r="C1248" s="7" t="s">
        <v>14</v>
      </c>
      <c r="D1248" s="7" t="str">
        <f>"盘腾斌"</f>
        <v>盘腾斌</v>
      </c>
      <c r="E1248" s="7" t="str">
        <f>"男"</f>
        <v>男</v>
      </c>
    </row>
    <row r="1249" spans="1:5" ht="30" customHeight="1">
      <c r="A1249" s="6">
        <v>1247</v>
      </c>
      <c r="B1249" s="7" t="str">
        <f>"29802021051020424787362"</f>
        <v>29802021051020424787362</v>
      </c>
      <c r="C1249" s="7" t="s">
        <v>14</v>
      </c>
      <c r="D1249" s="7" t="str">
        <f>"吕续梅"</f>
        <v>吕续梅</v>
      </c>
      <c r="E1249" s="7" t="str">
        <f>"女"</f>
        <v>女</v>
      </c>
    </row>
    <row r="1250" spans="1:5" ht="30" customHeight="1">
      <c r="A1250" s="6">
        <v>1248</v>
      </c>
      <c r="B1250" s="7" t="str">
        <f>"29802021051020451187369"</f>
        <v>29802021051020451187369</v>
      </c>
      <c r="C1250" s="7" t="s">
        <v>14</v>
      </c>
      <c r="D1250" s="7" t="str">
        <f>"江琪琪"</f>
        <v>江琪琪</v>
      </c>
      <c r="E1250" s="7" t="str">
        <f>"女"</f>
        <v>女</v>
      </c>
    </row>
    <row r="1251" spans="1:5" ht="30" customHeight="1">
      <c r="A1251" s="6">
        <v>1249</v>
      </c>
      <c r="B1251" s="7" t="str">
        <f>"29802021051020480387385"</f>
        <v>29802021051020480387385</v>
      </c>
      <c r="C1251" s="7" t="s">
        <v>14</v>
      </c>
      <c r="D1251" s="7" t="str">
        <f>"陈盛区"</f>
        <v>陈盛区</v>
      </c>
      <c r="E1251" s="7" t="str">
        <f>"男"</f>
        <v>男</v>
      </c>
    </row>
    <row r="1252" spans="1:5" ht="30" customHeight="1">
      <c r="A1252" s="6">
        <v>1250</v>
      </c>
      <c r="B1252" s="7" t="str">
        <f>"29802021051020524787409"</f>
        <v>29802021051020524787409</v>
      </c>
      <c r="C1252" s="7" t="s">
        <v>14</v>
      </c>
      <c r="D1252" s="7" t="str">
        <f>"黄小凡"</f>
        <v>黄小凡</v>
      </c>
      <c r="E1252" s="7" t="str">
        <f aca="true" t="shared" si="58" ref="E1252:E1276">"女"</f>
        <v>女</v>
      </c>
    </row>
    <row r="1253" spans="1:5" ht="30" customHeight="1">
      <c r="A1253" s="6">
        <v>1251</v>
      </c>
      <c r="B1253" s="7" t="str">
        <f>"29802021051020525487410"</f>
        <v>29802021051020525487410</v>
      </c>
      <c r="C1253" s="7" t="s">
        <v>14</v>
      </c>
      <c r="D1253" s="7" t="str">
        <f>"陈李妹"</f>
        <v>陈李妹</v>
      </c>
      <c r="E1253" s="7" t="str">
        <f t="shared" si="58"/>
        <v>女</v>
      </c>
    </row>
    <row r="1254" spans="1:5" ht="30" customHeight="1">
      <c r="A1254" s="6">
        <v>1252</v>
      </c>
      <c r="B1254" s="7" t="str">
        <f>"29802021051020533987416"</f>
        <v>29802021051020533987416</v>
      </c>
      <c r="C1254" s="7" t="s">
        <v>14</v>
      </c>
      <c r="D1254" s="7" t="str">
        <f>"陈琪"</f>
        <v>陈琪</v>
      </c>
      <c r="E1254" s="7" t="str">
        <f t="shared" si="58"/>
        <v>女</v>
      </c>
    </row>
    <row r="1255" spans="1:5" ht="30" customHeight="1">
      <c r="A1255" s="6">
        <v>1253</v>
      </c>
      <c r="B1255" s="7" t="str">
        <f>"29802021051020544187419"</f>
        <v>29802021051020544187419</v>
      </c>
      <c r="C1255" s="7" t="s">
        <v>14</v>
      </c>
      <c r="D1255" s="7" t="str">
        <f>"刘海霞"</f>
        <v>刘海霞</v>
      </c>
      <c r="E1255" s="7" t="str">
        <f t="shared" si="58"/>
        <v>女</v>
      </c>
    </row>
    <row r="1256" spans="1:5" ht="30" customHeight="1">
      <c r="A1256" s="6">
        <v>1254</v>
      </c>
      <c r="B1256" s="7" t="str">
        <f>"29802021051020581287432"</f>
        <v>29802021051020581287432</v>
      </c>
      <c r="C1256" s="7" t="s">
        <v>14</v>
      </c>
      <c r="D1256" s="7" t="str">
        <f>"邓雪菲"</f>
        <v>邓雪菲</v>
      </c>
      <c r="E1256" s="7" t="str">
        <f t="shared" si="58"/>
        <v>女</v>
      </c>
    </row>
    <row r="1257" spans="1:5" ht="30" customHeight="1">
      <c r="A1257" s="6">
        <v>1255</v>
      </c>
      <c r="B1257" s="7" t="str">
        <f>"29802021051021042287450"</f>
        <v>29802021051021042287450</v>
      </c>
      <c r="C1257" s="7" t="s">
        <v>14</v>
      </c>
      <c r="D1257" s="7" t="str">
        <f>"石小康"</f>
        <v>石小康</v>
      </c>
      <c r="E1257" s="7" t="str">
        <f t="shared" si="58"/>
        <v>女</v>
      </c>
    </row>
    <row r="1258" spans="1:5" ht="30" customHeight="1">
      <c r="A1258" s="6">
        <v>1256</v>
      </c>
      <c r="B1258" s="7" t="str">
        <f>"29802021051021310787573"</f>
        <v>29802021051021310787573</v>
      </c>
      <c r="C1258" s="7" t="s">
        <v>14</v>
      </c>
      <c r="D1258" s="7" t="str">
        <f>"周楠"</f>
        <v>周楠</v>
      </c>
      <c r="E1258" s="7" t="str">
        <f t="shared" si="58"/>
        <v>女</v>
      </c>
    </row>
    <row r="1259" spans="1:5" ht="30" customHeight="1">
      <c r="A1259" s="6">
        <v>1257</v>
      </c>
      <c r="B1259" s="7" t="str">
        <f>"29802021051021340087590"</f>
        <v>29802021051021340087590</v>
      </c>
      <c r="C1259" s="7" t="s">
        <v>14</v>
      </c>
      <c r="D1259" s="7" t="str">
        <f>"胡婷婷"</f>
        <v>胡婷婷</v>
      </c>
      <c r="E1259" s="7" t="str">
        <f t="shared" si="58"/>
        <v>女</v>
      </c>
    </row>
    <row r="1260" spans="1:5" ht="30" customHeight="1">
      <c r="A1260" s="6">
        <v>1258</v>
      </c>
      <c r="B1260" s="7" t="str">
        <f>"29802021051022190187809"</f>
        <v>29802021051022190187809</v>
      </c>
      <c r="C1260" s="7" t="s">
        <v>14</v>
      </c>
      <c r="D1260" s="7" t="str">
        <f>"张莎"</f>
        <v>张莎</v>
      </c>
      <c r="E1260" s="7" t="str">
        <f t="shared" si="58"/>
        <v>女</v>
      </c>
    </row>
    <row r="1261" spans="1:5" ht="30" customHeight="1">
      <c r="A1261" s="6">
        <v>1259</v>
      </c>
      <c r="B1261" s="7" t="str">
        <f>"29802021051100505988152"</f>
        <v>29802021051100505988152</v>
      </c>
      <c r="C1261" s="7" t="s">
        <v>14</v>
      </c>
      <c r="D1261" s="7" t="str">
        <f>"梅丽景"</f>
        <v>梅丽景</v>
      </c>
      <c r="E1261" s="7" t="str">
        <f t="shared" si="58"/>
        <v>女</v>
      </c>
    </row>
    <row r="1262" spans="1:5" ht="30" customHeight="1">
      <c r="A1262" s="6">
        <v>1260</v>
      </c>
      <c r="B1262" s="7" t="str">
        <f>"29802021051108130988248"</f>
        <v>29802021051108130988248</v>
      </c>
      <c r="C1262" s="7" t="s">
        <v>14</v>
      </c>
      <c r="D1262" s="7" t="str">
        <f>"刘亚强"</f>
        <v>刘亚强</v>
      </c>
      <c r="E1262" s="7" t="str">
        <f t="shared" si="58"/>
        <v>女</v>
      </c>
    </row>
    <row r="1263" spans="1:5" ht="30" customHeight="1">
      <c r="A1263" s="6">
        <v>1261</v>
      </c>
      <c r="B1263" s="7" t="str">
        <f>"29802021051108140288251"</f>
        <v>29802021051108140288251</v>
      </c>
      <c r="C1263" s="7" t="s">
        <v>14</v>
      </c>
      <c r="D1263" s="7" t="str">
        <f>"蒲健楠"</f>
        <v>蒲健楠</v>
      </c>
      <c r="E1263" s="7" t="str">
        <f t="shared" si="58"/>
        <v>女</v>
      </c>
    </row>
    <row r="1264" spans="1:5" ht="30" customHeight="1">
      <c r="A1264" s="6">
        <v>1262</v>
      </c>
      <c r="B1264" s="7" t="str">
        <f>"29802021051109035688426"</f>
        <v>29802021051109035688426</v>
      </c>
      <c r="C1264" s="7" t="s">
        <v>14</v>
      </c>
      <c r="D1264" s="7" t="str">
        <f>"刘莉莉"</f>
        <v>刘莉莉</v>
      </c>
      <c r="E1264" s="7" t="str">
        <f t="shared" si="58"/>
        <v>女</v>
      </c>
    </row>
    <row r="1265" spans="1:5" ht="30" customHeight="1">
      <c r="A1265" s="6">
        <v>1263</v>
      </c>
      <c r="B1265" s="7" t="str">
        <f>"29802021051109070488443"</f>
        <v>29802021051109070488443</v>
      </c>
      <c r="C1265" s="7" t="s">
        <v>14</v>
      </c>
      <c r="D1265" s="7" t="str">
        <f>"陈秋菊"</f>
        <v>陈秋菊</v>
      </c>
      <c r="E1265" s="7" t="str">
        <f t="shared" si="58"/>
        <v>女</v>
      </c>
    </row>
    <row r="1266" spans="1:5" ht="30" customHeight="1">
      <c r="A1266" s="6">
        <v>1264</v>
      </c>
      <c r="B1266" s="7" t="str">
        <f>"29802021051109153188483"</f>
        <v>29802021051109153188483</v>
      </c>
      <c r="C1266" s="7" t="s">
        <v>14</v>
      </c>
      <c r="D1266" s="7" t="str">
        <f>"张丽情"</f>
        <v>张丽情</v>
      </c>
      <c r="E1266" s="7" t="str">
        <f t="shared" si="58"/>
        <v>女</v>
      </c>
    </row>
    <row r="1267" spans="1:5" ht="30" customHeight="1">
      <c r="A1267" s="6">
        <v>1265</v>
      </c>
      <c r="B1267" s="7" t="str">
        <f>"29802021051109550388668"</f>
        <v>29802021051109550388668</v>
      </c>
      <c r="C1267" s="7" t="s">
        <v>14</v>
      </c>
      <c r="D1267" s="7" t="str">
        <f>"陈玉丹"</f>
        <v>陈玉丹</v>
      </c>
      <c r="E1267" s="7" t="str">
        <f t="shared" si="58"/>
        <v>女</v>
      </c>
    </row>
    <row r="1268" spans="1:5" ht="30" customHeight="1">
      <c r="A1268" s="6">
        <v>1266</v>
      </c>
      <c r="B1268" s="7" t="str">
        <f>"29802021051109554688674"</f>
        <v>29802021051109554688674</v>
      </c>
      <c r="C1268" s="7" t="s">
        <v>14</v>
      </c>
      <c r="D1268" s="7" t="str">
        <f>"符小芳"</f>
        <v>符小芳</v>
      </c>
      <c r="E1268" s="7" t="str">
        <f t="shared" si="58"/>
        <v>女</v>
      </c>
    </row>
    <row r="1269" spans="1:5" ht="30" customHeight="1">
      <c r="A1269" s="6">
        <v>1267</v>
      </c>
      <c r="B1269" s="7" t="str">
        <f>"29802021051110234088817"</f>
        <v>29802021051110234088817</v>
      </c>
      <c r="C1269" s="7" t="s">
        <v>14</v>
      </c>
      <c r="D1269" s="7" t="str">
        <f>"林妮乐"</f>
        <v>林妮乐</v>
      </c>
      <c r="E1269" s="7" t="str">
        <f t="shared" si="58"/>
        <v>女</v>
      </c>
    </row>
    <row r="1270" spans="1:5" ht="30" customHeight="1">
      <c r="A1270" s="6">
        <v>1268</v>
      </c>
      <c r="B1270" s="7" t="str">
        <f>"29802021051110262988828"</f>
        <v>29802021051110262988828</v>
      </c>
      <c r="C1270" s="7" t="s">
        <v>14</v>
      </c>
      <c r="D1270" s="7" t="str">
        <f>"吴捷"</f>
        <v>吴捷</v>
      </c>
      <c r="E1270" s="7" t="str">
        <f t="shared" si="58"/>
        <v>女</v>
      </c>
    </row>
    <row r="1271" spans="1:5" ht="30" customHeight="1">
      <c r="A1271" s="6">
        <v>1269</v>
      </c>
      <c r="B1271" s="7" t="str">
        <f>"29802021051110300788855"</f>
        <v>29802021051110300788855</v>
      </c>
      <c r="C1271" s="7" t="s">
        <v>14</v>
      </c>
      <c r="D1271" s="7" t="str">
        <f>"陈丽达"</f>
        <v>陈丽达</v>
      </c>
      <c r="E1271" s="7" t="str">
        <f t="shared" si="58"/>
        <v>女</v>
      </c>
    </row>
    <row r="1272" spans="1:5" ht="30" customHeight="1">
      <c r="A1272" s="6">
        <v>1270</v>
      </c>
      <c r="B1272" s="7" t="str">
        <f>"29802021051110363488884"</f>
        <v>29802021051110363488884</v>
      </c>
      <c r="C1272" s="7" t="s">
        <v>14</v>
      </c>
      <c r="D1272" s="7" t="str">
        <f>"苏娟"</f>
        <v>苏娟</v>
      </c>
      <c r="E1272" s="7" t="str">
        <f t="shared" si="58"/>
        <v>女</v>
      </c>
    </row>
    <row r="1273" spans="1:5" ht="30" customHeight="1">
      <c r="A1273" s="6">
        <v>1271</v>
      </c>
      <c r="B1273" s="7" t="str">
        <f>"29802021051110503088957"</f>
        <v>29802021051110503088957</v>
      </c>
      <c r="C1273" s="7" t="s">
        <v>14</v>
      </c>
      <c r="D1273" s="7" t="str">
        <f>"陈菁"</f>
        <v>陈菁</v>
      </c>
      <c r="E1273" s="7" t="str">
        <f t="shared" si="58"/>
        <v>女</v>
      </c>
    </row>
    <row r="1274" spans="1:5" ht="30" customHeight="1">
      <c r="A1274" s="6">
        <v>1272</v>
      </c>
      <c r="B1274" s="7" t="str">
        <f>"29802021051111002389018"</f>
        <v>29802021051111002389018</v>
      </c>
      <c r="C1274" s="7" t="s">
        <v>14</v>
      </c>
      <c r="D1274" s="7" t="str">
        <f>"龙濡"</f>
        <v>龙濡</v>
      </c>
      <c r="E1274" s="7" t="str">
        <f t="shared" si="58"/>
        <v>女</v>
      </c>
    </row>
    <row r="1275" spans="1:5" ht="30" customHeight="1">
      <c r="A1275" s="6">
        <v>1273</v>
      </c>
      <c r="B1275" s="7" t="str">
        <f>"29802021051111052389045"</f>
        <v>29802021051111052389045</v>
      </c>
      <c r="C1275" s="7" t="s">
        <v>14</v>
      </c>
      <c r="D1275" s="7" t="str">
        <f>"黄露蝉"</f>
        <v>黄露蝉</v>
      </c>
      <c r="E1275" s="7" t="str">
        <f t="shared" si="58"/>
        <v>女</v>
      </c>
    </row>
    <row r="1276" spans="1:5" ht="30" customHeight="1">
      <c r="A1276" s="6">
        <v>1274</v>
      </c>
      <c r="B1276" s="7" t="str">
        <f>"29802021051111110789073"</f>
        <v>29802021051111110789073</v>
      </c>
      <c r="C1276" s="7" t="s">
        <v>14</v>
      </c>
      <c r="D1276" s="7" t="str">
        <f>"文世攀"</f>
        <v>文世攀</v>
      </c>
      <c r="E1276" s="7" t="str">
        <f t="shared" si="58"/>
        <v>女</v>
      </c>
    </row>
    <row r="1277" spans="1:5" ht="30" customHeight="1">
      <c r="A1277" s="6">
        <v>1275</v>
      </c>
      <c r="B1277" s="7" t="str">
        <f>"29802021051111112389075"</f>
        <v>29802021051111112389075</v>
      </c>
      <c r="C1277" s="7" t="s">
        <v>14</v>
      </c>
      <c r="D1277" s="7" t="str">
        <f>"林明歌"</f>
        <v>林明歌</v>
      </c>
      <c r="E1277" s="7" t="str">
        <f>"男"</f>
        <v>男</v>
      </c>
    </row>
    <row r="1278" spans="1:5" ht="30" customHeight="1">
      <c r="A1278" s="6">
        <v>1276</v>
      </c>
      <c r="B1278" s="7" t="str">
        <f>"29802021051111154489088"</f>
        <v>29802021051111154489088</v>
      </c>
      <c r="C1278" s="7" t="s">
        <v>14</v>
      </c>
      <c r="D1278" s="7" t="str">
        <f>"卢香奕"</f>
        <v>卢香奕</v>
      </c>
      <c r="E1278" s="7" t="str">
        <f aca="true" t="shared" si="59" ref="E1278:E1320">"女"</f>
        <v>女</v>
      </c>
    </row>
    <row r="1279" spans="1:5" ht="30" customHeight="1">
      <c r="A1279" s="6">
        <v>1277</v>
      </c>
      <c r="B1279" s="7" t="str">
        <f>"29802021051111275389131"</f>
        <v>29802021051111275389131</v>
      </c>
      <c r="C1279" s="7" t="s">
        <v>14</v>
      </c>
      <c r="D1279" s="7" t="str">
        <f>"吴丽"</f>
        <v>吴丽</v>
      </c>
      <c r="E1279" s="7" t="str">
        <f t="shared" si="59"/>
        <v>女</v>
      </c>
    </row>
    <row r="1280" spans="1:5" ht="30" customHeight="1">
      <c r="A1280" s="6">
        <v>1278</v>
      </c>
      <c r="B1280" s="7" t="str">
        <f>"29802021051111373189168"</f>
        <v>29802021051111373189168</v>
      </c>
      <c r="C1280" s="7" t="s">
        <v>14</v>
      </c>
      <c r="D1280" s="7" t="str">
        <f>"李培红"</f>
        <v>李培红</v>
      </c>
      <c r="E1280" s="7" t="str">
        <f t="shared" si="59"/>
        <v>女</v>
      </c>
    </row>
    <row r="1281" spans="1:5" ht="30" customHeight="1">
      <c r="A1281" s="6">
        <v>1279</v>
      </c>
      <c r="B1281" s="7" t="str">
        <f>"29802021051111394689172"</f>
        <v>29802021051111394689172</v>
      </c>
      <c r="C1281" s="7" t="s">
        <v>14</v>
      </c>
      <c r="D1281" s="7" t="str">
        <f>"符应桃"</f>
        <v>符应桃</v>
      </c>
      <c r="E1281" s="7" t="str">
        <f t="shared" si="59"/>
        <v>女</v>
      </c>
    </row>
    <row r="1282" spans="1:5" ht="30" customHeight="1">
      <c r="A1282" s="6">
        <v>1280</v>
      </c>
      <c r="B1282" s="7" t="str">
        <f>"29802021051112264289308"</f>
        <v>29802021051112264289308</v>
      </c>
      <c r="C1282" s="7" t="s">
        <v>14</v>
      </c>
      <c r="D1282" s="7" t="str">
        <f>"符婧"</f>
        <v>符婧</v>
      </c>
      <c r="E1282" s="7" t="str">
        <f t="shared" si="59"/>
        <v>女</v>
      </c>
    </row>
    <row r="1283" spans="1:5" ht="30" customHeight="1">
      <c r="A1283" s="6">
        <v>1281</v>
      </c>
      <c r="B1283" s="7" t="str">
        <f>"29802021051115065289717"</f>
        <v>29802021051115065289717</v>
      </c>
      <c r="C1283" s="7" t="s">
        <v>14</v>
      </c>
      <c r="D1283" s="7" t="str">
        <f>"梁昌强"</f>
        <v>梁昌强</v>
      </c>
      <c r="E1283" s="7" t="str">
        <f t="shared" si="59"/>
        <v>女</v>
      </c>
    </row>
    <row r="1284" spans="1:5" ht="30" customHeight="1">
      <c r="A1284" s="6">
        <v>1282</v>
      </c>
      <c r="B1284" s="7" t="str">
        <f>"29802021051115104389735"</f>
        <v>29802021051115104389735</v>
      </c>
      <c r="C1284" s="7" t="s">
        <v>14</v>
      </c>
      <c r="D1284" s="7" t="str">
        <f>"欧楠"</f>
        <v>欧楠</v>
      </c>
      <c r="E1284" s="7" t="str">
        <f t="shared" si="59"/>
        <v>女</v>
      </c>
    </row>
    <row r="1285" spans="1:5" ht="30" customHeight="1">
      <c r="A1285" s="6">
        <v>1283</v>
      </c>
      <c r="B1285" s="7" t="str">
        <f>"29802021051115215689794"</f>
        <v>29802021051115215689794</v>
      </c>
      <c r="C1285" s="7" t="s">
        <v>14</v>
      </c>
      <c r="D1285" s="7" t="str">
        <f>"林德焱"</f>
        <v>林德焱</v>
      </c>
      <c r="E1285" s="7" t="str">
        <f t="shared" si="59"/>
        <v>女</v>
      </c>
    </row>
    <row r="1286" spans="1:5" ht="30" customHeight="1">
      <c r="A1286" s="6">
        <v>1284</v>
      </c>
      <c r="B1286" s="7" t="str">
        <f>"29802021051115482989930"</f>
        <v>29802021051115482989930</v>
      </c>
      <c r="C1286" s="7" t="s">
        <v>14</v>
      </c>
      <c r="D1286" s="7" t="str">
        <f>"邢恋"</f>
        <v>邢恋</v>
      </c>
      <c r="E1286" s="7" t="str">
        <f t="shared" si="59"/>
        <v>女</v>
      </c>
    </row>
    <row r="1287" spans="1:5" ht="30" customHeight="1">
      <c r="A1287" s="6">
        <v>1285</v>
      </c>
      <c r="B1287" s="7" t="str">
        <f>"29802021051115512589940"</f>
        <v>29802021051115512589940</v>
      </c>
      <c r="C1287" s="7" t="s">
        <v>14</v>
      </c>
      <c r="D1287" s="7" t="str">
        <f>"李晴微"</f>
        <v>李晴微</v>
      </c>
      <c r="E1287" s="7" t="str">
        <f t="shared" si="59"/>
        <v>女</v>
      </c>
    </row>
    <row r="1288" spans="1:5" ht="30" customHeight="1">
      <c r="A1288" s="6">
        <v>1286</v>
      </c>
      <c r="B1288" s="7" t="str">
        <f>"29802021051115594289973"</f>
        <v>29802021051115594289973</v>
      </c>
      <c r="C1288" s="7" t="s">
        <v>14</v>
      </c>
      <c r="D1288" s="7" t="str">
        <f>"王微"</f>
        <v>王微</v>
      </c>
      <c r="E1288" s="7" t="str">
        <f t="shared" si="59"/>
        <v>女</v>
      </c>
    </row>
    <row r="1289" spans="1:5" ht="30" customHeight="1">
      <c r="A1289" s="6">
        <v>1287</v>
      </c>
      <c r="B1289" s="7" t="str">
        <f>"29802021051116130090027"</f>
        <v>29802021051116130090027</v>
      </c>
      <c r="C1289" s="7" t="s">
        <v>14</v>
      </c>
      <c r="D1289" s="7" t="str">
        <f>"赵敏敏"</f>
        <v>赵敏敏</v>
      </c>
      <c r="E1289" s="7" t="str">
        <f t="shared" si="59"/>
        <v>女</v>
      </c>
    </row>
    <row r="1290" spans="1:5" ht="30" customHeight="1">
      <c r="A1290" s="6">
        <v>1288</v>
      </c>
      <c r="B1290" s="7" t="str">
        <f>"29802021051116204690053"</f>
        <v>29802021051116204690053</v>
      </c>
      <c r="C1290" s="7" t="s">
        <v>14</v>
      </c>
      <c r="D1290" s="7" t="str">
        <f>"林珊珊"</f>
        <v>林珊珊</v>
      </c>
      <c r="E1290" s="7" t="str">
        <f t="shared" si="59"/>
        <v>女</v>
      </c>
    </row>
    <row r="1291" spans="1:5" ht="30" customHeight="1">
      <c r="A1291" s="6">
        <v>1289</v>
      </c>
      <c r="B1291" s="7" t="str">
        <f>"29802021051117151890246"</f>
        <v>29802021051117151890246</v>
      </c>
      <c r="C1291" s="7" t="s">
        <v>14</v>
      </c>
      <c r="D1291" s="7" t="str">
        <f>"李泉"</f>
        <v>李泉</v>
      </c>
      <c r="E1291" s="7" t="str">
        <f t="shared" si="59"/>
        <v>女</v>
      </c>
    </row>
    <row r="1292" spans="1:5" ht="30" customHeight="1">
      <c r="A1292" s="6">
        <v>1290</v>
      </c>
      <c r="B1292" s="7" t="str">
        <f>"29802021051117321790313"</f>
        <v>29802021051117321790313</v>
      </c>
      <c r="C1292" s="7" t="s">
        <v>14</v>
      </c>
      <c r="D1292" s="7" t="str">
        <f>"麦慧妃"</f>
        <v>麦慧妃</v>
      </c>
      <c r="E1292" s="7" t="str">
        <f t="shared" si="59"/>
        <v>女</v>
      </c>
    </row>
    <row r="1293" spans="1:5" ht="30" customHeight="1">
      <c r="A1293" s="6">
        <v>1291</v>
      </c>
      <c r="B1293" s="7" t="str">
        <f>"29802021051117474090347"</f>
        <v>29802021051117474090347</v>
      </c>
      <c r="C1293" s="7" t="s">
        <v>14</v>
      </c>
      <c r="D1293" s="7" t="str">
        <f>"王少葵"</f>
        <v>王少葵</v>
      </c>
      <c r="E1293" s="7" t="str">
        <f t="shared" si="59"/>
        <v>女</v>
      </c>
    </row>
    <row r="1294" spans="1:5" ht="30" customHeight="1">
      <c r="A1294" s="6">
        <v>1292</v>
      </c>
      <c r="B1294" s="7" t="str">
        <f>"29802021051118195690441"</f>
        <v>29802021051118195690441</v>
      </c>
      <c r="C1294" s="7" t="s">
        <v>14</v>
      </c>
      <c r="D1294" s="7" t="str">
        <f>"黎立茹"</f>
        <v>黎立茹</v>
      </c>
      <c r="E1294" s="7" t="str">
        <f t="shared" si="59"/>
        <v>女</v>
      </c>
    </row>
    <row r="1295" spans="1:5" ht="30" customHeight="1">
      <c r="A1295" s="6">
        <v>1293</v>
      </c>
      <c r="B1295" s="7" t="str">
        <f>"29802021051118500290524"</f>
        <v>29802021051118500290524</v>
      </c>
      <c r="C1295" s="7" t="s">
        <v>14</v>
      </c>
      <c r="D1295" s="7" t="str">
        <f>"邢叶"</f>
        <v>邢叶</v>
      </c>
      <c r="E1295" s="7" t="str">
        <f t="shared" si="59"/>
        <v>女</v>
      </c>
    </row>
    <row r="1296" spans="1:5" ht="30" customHeight="1">
      <c r="A1296" s="6">
        <v>1294</v>
      </c>
      <c r="B1296" s="7" t="str">
        <f>"29802021051119285790623"</f>
        <v>29802021051119285790623</v>
      </c>
      <c r="C1296" s="7" t="s">
        <v>14</v>
      </c>
      <c r="D1296" s="7" t="str">
        <f>"胡雅薇"</f>
        <v>胡雅薇</v>
      </c>
      <c r="E1296" s="7" t="str">
        <f t="shared" si="59"/>
        <v>女</v>
      </c>
    </row>
    <row r="1297" spans="1:5" ht="30" customHeight="1">
      <c r="A1297" s="6">
        <v>1295</v>
      </c>
      <c r="B1297" s="7" t="str">
        <f>"29802021051119494390687"</f>
        <v>29802021051119494390687</v>
      </c>
      <c r="C1297" s="7" t="s">
        <v>14</v>
      </c>
      <c r="D1297" s="7" t="str">
        <f>"叶木青"</f>
        <v>叶木青</v>
      </c>
      <c r="E1297" s="7" t="str">
        <f t="shared" si="59"/>
        <v>女</v>
      </c>
    </row>
    <row r="1298" spans="1:5" ht="30" customHeight="1">
      <c r="A1298" s="6">
        <v>1296</v>
      </c>
      <c r="B1298" s="7" t="str">
        <f>"29802021051119571490706"</f>
        <v>29802021051119571490706</v>
      </c>
      <c r="C1298" s="7" t="s">
        <v>14</v>
      </c>
      <c r="D1298" s="7" t="str">
        <f>"曾少玲"</f>
        <v>曾少玲</v>
      </c>
      <c r="E1298" s="7" t="str">
        <f t="shared" si="59"/>
        <v>女</v>
      </c>
    </row>
    <row r="1299" spans="1:5" ht="30" customHeight="1">
      <c r="A1299" s="6">
        <v>1297</v>
      </c>
      <c r="B1299" s="7" t="str">
        <f>"29802021051120231090783"</f>
        <v>29802021051120231090783</v>
      </c>
      <c r="C1299" s="7" t="s">
        <v>14</v>
      </c>
      <c r="D1299" s="7" t="str">
        <f>"李佳佳"</f>
        <v>李佳佳</v>
      </c>
      <c r="E1299" s="7" t="str">
        <f t="shared" si="59"/>
        <v>女</v>
      </c>
    </row>
    <row r="1300" spans="1:5" ht="30" customHeight="1">
      <c r="A1300" s="6">
        <v>1298</v>
      </c>
      <c r="B1300" s="7" t="str">
        <f>"29802021051120294290806"</f>
        <v>29802021051120294290806</v>
      </c>
      <c r="C1300" s="7" t="s">
        <v>14</v>
      </c>
      <c r="D1300" s="7" t="str">
        <f>"符利静"</f>
        <v>符利静</v>
      </c>
      <c r="E1300" s="7" t="str">
        <f t="shared" si="59"/>
        <v>女</v>
      </c>
    </row>
    <row r="1301" spans="1:5" ht="30" customHeight="1">
      <c r="A1301" s="6">
        <v>1299</v>
      </c>
      <c r="B1301" s="7" t="str">
        <f>"29802021051121120990945"</f>
        <v>29802021051121120990945</v>
      </c>
      <c r="C1301" s="7" t="s">
        <v>14</v>
      </c>
      <c r="D1301" s="7" t="str">
        <f>"周娟"</f>
        <v>周娟</v>
      </c>
      <c r="E1301" s="7" t="str">
        <f t="shared" si="59"/>
        <v>女</v>
      </c>
    </row>
    <row r="1302" spans="1:5" ht="30" customHeight="1">
      <c r="A1302" s="6">
        <v>1300</v>
      </c>
      <c r="B1302" s="7" t="str">
        <f>"29802021051121430191038"</f>
        <v>29802021051121430191038</v>
      </c>
      <c r="C1302" s="7" t="s">
        <v>14</v>
      </c>
      <c r="D1302" s="7" t="str">
        <f>"陈民丽"</f>
        <v>陈民丽</v>
      </c>
      <c r="E1302" s="7" t="str">
        <f t="shared" si="59"/>
        <v>女</v>
      </c>
    </row>
    <row r="1303" spans="1:5" ht="30" customHeight="1">
      <c r="A1303" s="6">
        <v>1301</v>
      </c>
      <c r="B1303" s="7" t="str">
        <f>"29802021051121452391048"</f>
        <v>29802021051121452391048</v>
      </c>
      <c r="C1303" s="7" t="s">
        <v>14</v>
      </c>
      <c r="D1303" s="7" t="str">
        <f>"李兵"</f>
        <v>李兵</v>
      </c>
      <c r="E1303" s="7" t="str">
        <f t="shared" si="59"/>
        <v>女</v>
      </c>
    </row>
    <row r="1304" spans="1:5" ht="30" customHeight="1">
      <c r="A1304" s="6">
        <v>1302</v>
      </c>
      <c r="B1304" s="7" t="str">
        <f>"29802021051122003291089"</f>
        <v>29802021051122003291089</v>
      </c>
      <c r="C1304" s="7" t="s">
        <v>14</v>
      </c>
      <c r="D1304" s="7" t="str">
        <f>"陈琪"</f>
        <v>陈琪</v>
      </c>
      <c r="E1304" s="7" t="str">
        <f t="shared" si="59"/>
        <v>女</v>
      </c>
    </row>
    <row r="1305" spans="1:5" ht="30" customHeight="1">
      <c r="A1305" s="6">
        <v>1303</v>
      </c>
      <c r="B1305" s="7" t="str">
        <f>"29802021051122202491144"</f>
        <v>29802021051122202491144</v>
      </c>
      <c r="C1305" s="7" t="s">
        <v>14</v>
      </c>
      <c r="D1305" s="7" t="str">
        <f>"符树婷"</f>
        <v>符树婷</v>
      </c>
      <c r="E1305" s="7" t="str">
        <f t="shared" si="59"/>
        <v>女</v>
      </c>
    </row>
    <row r="1306" spans="1:5" ht="30" customHeight="1">
      <c r="A1306" s="6">
        <v>1304</v>
      </c>
      <c r="B1306" s="7" t="str">
        <f>"29802021051208174191449"</f>
        <v>29802021051208174191449</v>
      </c>
      <c r="C1306" s="7" t="s">
        <v>14</v>
      </c>
      <c r="D1306" s="7" t="str">
        <f>"蔡莹"</f>
        <v>蔡莹</v>
      </c>
      <c r="E1306" s="7" t="str">
        <f t="shared" si="59"/>
        <v>女</v>
      </c>
    </row>
    <row r="1307" spans="1:5" ht="30" customHeight="1">
      <c r="A1307" s="6">
        <v>1305</v>
      </c>
      <c r="B1307" s="7" t="str">
        <f>"29802021051209534991774"</f>
        <v>29802021051209534991774</v>
      </c>
      <c r="C1307" s="7" t="s">
        <v>14</v>
      </c>
      <c r="D1307" s="7" t="str">
        <f>"周孝萍"</f>
        <v>周孝萍</v>
      </c>
      <c r="E1307" s="7" t="str">
        <f t="shared" si="59"/>
        <v>女</v>
      </c>
    </row>
    <row r="1308" spans="1:5" ht="30" customHeight="1">
      <c r="A1308" s="6">
        <v>1306</v>
      </c>
      <c r="B1308" s="7" t="str">
        <f>"29802021051210103891856"</f>
        <v>29802021051210103891856</v>
      </c>
      <c r="C1308" s="7" t="s">
        <v>14</v>
      </c>
      <c r="D1308" s="7" t="str">
        <f>"董心园"</f>
        <v>董心园</v>
      </c>
      <c r="E1308" s="7" t="str">
        <f t="shared" si="59"/>
        <v>女</v>
      </c>
    </row>
    <row r="1309" spans="1:5" ht="30" customHeight="1">
      <c r="A1309" s="6">
        <v>1307</v>
      </c>
      <c r="B1309" s="7" t="str">
        <f>"29802021051210281291942"</f>
        <v>29802021051210281291942</v>
      </c>
      <c r="C1309" s="7" t="s">
        <v>14</v>
      </c>
      <c r="D1309" s="7" t="str">
        <f>"文真真"</f>
        <v>文真真</v>
      </c>
      <c r="E1309" s="7" t="str">
        <f t="shared" si="59"/>
        <v>女</v>
      </c>
    </row>
    <row r="1310" spans="1:5" ht="30" customHeight="1">
      <c r="A1310" s="6">
        <v>1308</v>
      </c>
      <c r="B1310" s="7" t="str">
        <f>"29802021051210365391985"</f>
        <v>29802021051210365391985</v>
      </c>
      <c r="C1310" s="7" t="s">
        <v>14</v>
      </c>
      <c r="D1310" s="7" t="str">
        <f>"陈文翠"</f>
        <v>陈文翠</v>
      </c>
      <c r="E1310" s="7" t="str">
        <f t="shared" si="59"/>
        <v>女</v>
      </c>
    </row>
    <row r="1311" spans="1:5" ht="30" customHeight="1">
      <c r="A1311" s="6">
        <v>1309</v>
      </c>
      <c r="B1311" s="7" t="str">
        <f>"29802021051210394092000"</f>
        <v>29802021051210394092000</v>
      </c>
      <c r="C1311" s="7" t="s">
        <v>14</v>
      </c>
      <c r="D1311" s="7" t="str">
        <f>"赖炜婷"</f>
        <v>赖炜婷</v>
      </c>
      <c r="E1311" s="7" t="str">
        <f t="shared" si="59"/>
        <v>女</v>
      </c>
    </row>
    <row r="1312" spans="1:5" ht="30" customHeight="1">
      <c r="A1312" s="6">
        <v>1310</v>
      </c>
      <c r="B1312" s="7" t="str">
        <f>"29802021051210540692095"</f>
        <v>29802021051210540692095</v>
      </c>
      <c r="C1312" s="7" t="s">
        <v>14</v>
      </c>
      <c r="D1312" s="7" t="str">
        <f>"黄艳莹"</f>
        <v>黄艳莹</v>
      </c>
      <c r="E1312" s="7" t="str">
        <f t="shared" si="59"/>
        <v>女</v>
      </c>
    </row>
    <row r="1313" spans="1:5" ht="30" customHeight="1">
      <c r="A1313" s="6">
        <v>1311</v>
      </c>
      <c r="B1313" s="7" t="str">
        <f>"29802021051211590292348"</f>
        <v>29802021051211590292348</v>
      </c>
      <c r="C1313" s="7" t="s">
        <v>14</v>
      </c>
      <c r="D1313" s="7" t="str">
        <f>"符义台"</f>
        <v>符义台</v>
      </c>
      <c r="E1313" s="7" t="str">
        <f t="shared" si="59"/>
        <v>女</v>
      </c>
    </row>
    <row r="1314" spans="1:5" ht="30" customHeight="1">
      <c r="A1314" s="6">
        <v>1312</v>
      </c>
      <c r="B1314" s="7" t="str">
        <f>"29802021051215544193034"</f>
        <v>29802021051215544193034</v>
      </c>
      <c r="C1314" s="7" t="s">
        <v>14</v>
      </c>
      <c r="D1314" s="7" t="str">
        <f>"黄晶晶"</f>
        <v>黄晶晶</v>
      </c>
      <c r="E1314" s="7" t="str">
        <f t="shared" si="59"/>
        <v>女</v>
      </c>
    </row>
    <row r="1315" spans="1:5" ht="30" customHeight="1">
      <c r="A1315" s="6">
        <v>1313</v>
      </c>
      <c r="B1315" s="7" t="str">
        <f>"29802021051216305993167"</f>
        <v>29802021051216305993167</v>
      </c>
      <c r="C1315" s="7" t="s">
        <v>14</v>
      </c>
      <c r="D1315" s="7" t="str">
        <f>"梁定群"</f>
        <v>梁定群</v>
      </c>
      <c r="E1315" s="7" t="str">
        <f t="shared" si="59"/>
        <v>女</v>
      </c>
    </row>
    <row r="1316" spans="1:5" ht="30" customHeight="1">
      <c r="A1316" s="6">
        <v>1314</v>
      </c>
      <c r="B1316" s="7" t="str">
        <f>"29802021051217065993330"</f>
        <v>29802021051217065993330</v>
      </c>
      <c r="C1316" s="7" t="s">
        <v>14</v>
      </c>
      <c r="D1316" s="7" t="str">
        <f>"黄丽芬"</f>
        <v>黄丽芬</v>
      </c>
      <c r="E1316" s="7" t="str">
        <f t="shared" si="59"/>
        <v>女</v>
      </c>
    </row>
    <row r="1317" spans="1:5" ht="30" customHeight="1">
      <c r="A1317" s="6">
        <v>1315</v>
      </c>
      <c r="B1317" s="7" t="str">
        <f>"29802021051217183393370"</f>
        <v>29802021051217183393370</v>
      </c>
      <c r="C1317" s="7" t="s">
        <v>14</v>
      </c>
      <c r="D1317" s="7" t="str">
        <f>"盘丽君"</f>
        <v>盘丽君</v>
      </c>
      <c r="E1317" s="7" t="str">
        <f t="shared" si="59"/>
        <v>女</v>
      </c>
    </row>
    <row r="1318" spans="1:5" ht="30" customHeight="1">
      <c r="A1318" s="6">
        <v>1316</v>
      </c>
      <c r="B1318" s="7" t="str">
        <f>"29802021051217214493378"</f>
        <v>29802021051217214493378</v>
      </c>
      <c r="C1318" s="7" t="s">
        <v>14</v>
      </c>
      <c r="D1318" s="7" t="str">
        <f>"文萱"</f>
        <v>文萱</v>
      </c>
      <c r="E1318" s="7" t="str">
        <f t="shared" si="59"/>
        <v>女</v>
      </c>
    </row>
    <row r="1319" spans="1:5" ht="30" customHeight="1">
      <c r="A1319" s="6">
        <v>1317</v>
      </c>
      <c r="B1319" s="7" t="str">
        <f>"29802021051217372293430"</f>
        <v>29802021051217372293430</v>
      </c>
      <c r="C1319" s="7" t="s">
        <v>14</v>
      </c>
      <c r="D1319" s="7" t="str">
        <f>"苏佳佳"</f>
        <v>苏佳佳</v>
      </c>
      <c r="E1319" s="7" t="str">
        <f t="shared" si="59"/>
        <v>女</v>
      </c>
    </row>
    <row r="1320" spans="1:5" ht="30" customHeight="1">
      <c r="A1320" s="6">
        <v>1318</v>
      </c>
      <c r="B1320" s="7" t="str">
        <f>"29802021051218190693512"</f>
        <v>29802021051218190693512</v>
      </c>
      <c r="C1320" s="7" t="s">
        <v>14</v>
      </c>
      <c r="D1320" s="7" t="str">
        <f>"邓金雪"</f>
        <v>邓金雪</v>
      </c>
      <c r="E1320" s="7" t="str">
        <f t="shared" si="59"/>
        <v>女</v>
      </c>
    </row>
    <row r="1321" spans="1:5" ht="30" customHeight="1">
      <c r="A1321" s="6">
        <v>1319</v>
      </c>
      <c r="B1321" s="7" t="str">
        <f>"29802021051218233193522"</f>
        <v>29802021051218233193522</v>
      </c>
      <c r="C1321" s="7" t="s">
        <v>14</v>
      </c>
      <c r="D1321" s="7" t="str">
        <f>"卓毛朝"</f>
        <v>卓毛朝</v>
      </c>
      <c r="E1321" s="7" t="str">
        <f>"男"</f>
        <v>男</v>
      </c>
    </row>
    <row r="1322" spans="1:5" ht="30" customHeight="1">
      <c r="A1322" s="6">
        <v>1320</v>
      </c>
      <c r="B1322" s="7" t="str">
        <f>"29802021051218300693538"</f>
        <v>29802021051218300693538</v>
      </c>
      <c r="C1322" s="7" t="s">
        <v>14</v>
      </c>
      <c r="D1322" s="7" t="str">
        <f>"何秀练"</f>
        <v>何秀练</v>
      </c>
      <c r="E1322" s="7" t="str">
        <f aca="true" t="shared" si="60" ref="E1322:E1346">"女"</f>
        <v>女</v>
      </c>
    </row>
    <row r="1323" spans="1:5" ht="30" customHeight="1">
      <c r="A1323" s="6">
        <v>1321</v>
      </c>
      <c r="B1323" s="7" t="str">
        <f>"29802021051218354793553"</f>
        <v>29802021051218354793553</v>
      </c>
      <c r="C1323" s="7" t="s">
        <v>14</v>
      </c>
      <c r="D1323" s="7" t="str">
        <f>"黄依"</f>
        <v>黄依</v>
      </c>
      <c r="E1323" s="7" t="str">
        <f t="shared" si="60"/>
        <v>女</v>
      </c>
    </row>
    <row r="1324" spans="1:5" ht="30" customHeight="1">
      <c r="A1324" s="6">
        <v>1322</v>
      </c>
      <c r="B1324" s="7" t="str">
        <f>"29802021051219444693668"</f>
        <v>29802021051219444693668</v>
      </c>
      <c r="C1324" s="7" t="s">
        <v>14</v>
      </c>
      <c r="D1324" s="7" t="str">
        <f>"文妙柔"</f>
        <v>文妙柔</v>
      </c>
      <c r="E1324" s="7" t="str">
        <f t="shared" si="60"/>
        <v>女</v>
      </c>
    </row>
    <row r="1325" spans="1:5" ht="30" customHeight="1">
      <c r="A1325" s="6">
        <v>1323</v>
      </c>
      <c r="B1325" s="7" t="str">
        <f>"29802021051220042293705"</f>
        <v>29802021051220042293705</v>
      </c>
      <c r="C1325" s="7" t="s">
        <v>14</v>
      </c>
      <c r="D1325" s="7" t="str">
        <f>"黄芷欣"</f>
        <v>黄芷欣</v>
      </c>
      <c r="E1325" s="7" t="str">
        <f t="shared" si="60"/>
        <v>女</v>
      </c>
    </row>
    <row r="1326" spans="1:5" ht="30" customHeight="1">
      <c r="A1326" s="6">
        <v>1324</v>
      </c>
      <c r="B1326" s="7" t="str">
        <f>"29802021051220110893719"</f>
        <v>29802021051220110893719</v>
      </c>
      <c r="C1326" s="7" t="s">
        <v>14</v>
      </c>
      <c r="D1326" s="7" t="str">
        <f>"黄华威"</f>
        <v>黄华威</v>
      </c>
      <c r="E1326" s="7" t="str">
        <f t="shared" si="60"/>
        <v>女</v>
      </c>
    </row>
    <row r="1327" spans="1:5" ht="30" customHeight="1">
      <c r="A1327" s="6">
        <v>1325</v>
      </c>
      <c r="B1327" s="7" t="str">
        <f>"29802021051220263693757"</f>
        <v>29802021051220263693757</v>
      </c>
      <c r="C1327" s="7" t="s">
        <v>14</v>
      </c>
      <c r="D1327" s="7" t="str">
        <f>"谢康倩"</f>
        <v>谢康倩</v>
      </c>
      <c r="E1327" s="7" t="str">
        <f t="shared" si="60"/>
        <v>女</v>
      </c>
    </row>
    <row r="1328" spans="1:5" ht="30" customHeight="1">
      <c r="A1328" s="6">
        <v>1326</v>
      </c>
      <c r="B1328" s="7" t="str">
        <f>"29802021051220491393808"</f>
        <v>29802021051220491393808</v>
      </c>
      <c r="C1328" s="7" t="s">
        <v>14</v>
      </c>
      <c r="D1328" s="7" t="str">
        <f>"杨葵"</f>
        <v>杨葵</v>
      </c>
      <c r="E1328" s="7" t="str">
        <f t="shared" si="60"/>
        <v>女</v>
      </c>
    </row>
    <row r="1329" spans="1:5" ht="30" customHeight="1">
      <c r="A1329" s="6">
        <v>1327</v>
      </c>
      <c r="B1329" s="7" t="str">
        <f>"29802021051221430393950"</f>
        <v>29802021051221430393950</v>
      </c>
      <c r="C1329" s="7" t="s">
        <v>14</v>
      </c>
      <c r="D1329" s="7" t="str">
        <f>"邢妮挪"</f>
        <v>邢妮挪</v>
      </c>
      <c r="E1329" s="7" t="str">
        <f t="shared" si="60"/>
        <v>女</v>
      </c>
    </row>
    <row r="1330" spans="1:5" ht="30" customHeight="1">
      <c r="A1330" s="6">
        <v>1328</v>
      </c>
      <c r="B1330" s="7" t="str">
        <f>"29802021051222382594075"</f>
        <v>29802021051222382594075</v>
      </c>
      <c r="C1330" s="7" t="s">
        <v>14</v>
      </c>
      <c r="D1330" s="7" t="str">
        <f>"陈燕岸"</f>
        <v>陈燕岸</v>
      </c>
      <c r="E1330" s="7" t="str">
        <f t="shared" si="60"/>
        <v>女</v>
      </c>
    </row>
    <row r="1331" spans="1:5" ht="30" customHeight="1">
      <c r="A1331" s="6">
        <v>1329</v>
      </c>
      <c r="B1331" s="7" t="str">
        <f>"29802021051223313194188"</f>
        <v>29802021051223313194188</v>
      </c>
      <c r="C1331" s="7" t="s">
        <v>14</v>
      </c>
      <c r="D1331" s="7" t="str">
        <f>"黄丽芳"</f>
        <v>黄丽芳</v>
      </c>
      <c r="E1331" s="7" t="str">
        <f t="shared" si="60"/>
        <v>女</v>
      </c>
    </row>
    <row r="1332" spans="1:5" ht="30" customHeight="1">
      <c r="A1332" s="6">
        <v>1330</v>
      </c>
      <c r="B1332" s="7" t="str">
        <f>"29802021051300150394226"</f>
        <v>29802021051300150394226</v>
      </c>
      <c r="C1332" s="7" t="s">
        <v>14</v>
      </c>
      <c r="D1332" s="7" t="str">
        <f>"黄吉茹"</f>
        <v>黄吉茹</v>
      </c>
      <c r="E1332" s="7" t="str">
        <f t="shared" si="60"/>
        <v>女</v>
      </c>
    </row>
    <row r="1333" spans="1:5" ht="30" customHeight="1">
      <c r="A1333" s="6">
        <v>1331</v>
      </c>
      <c r="B1333" s="7" t="str">
        <f>"29802021051308070594281"</f>
        <v>29802021051308070594281</v>
      </c>
      <c r="C1333" s="7" t="s">
        <v>14</v>
      </c>
      <c r="D1333" s="7" t="str">
        <f>"唐春鹏"</f>
        <v>唐春鹏</v>
      </c>
      <c r="E1333" s="7" t="str">
        <f t="shared" si="60"/>
        <v>女</v>
      </c>
    </row>
    <row r="1334" spans="1:5" ht="30" customHeight="1">
      <c r="A1334" s="6">
        <v>1332</v>
      </c>
      <c r="B1334" s="7" t="str">
        <f>"29802021051309081594415"</f>
        <v>29802021051309081594415</v>
      </c>
      <c r="C1334" s="7" t="s">
        <v>14</v>
      </c>
      <c r="D1334" s="7" t="str">
        <f>"曾进秋"</f>
        <v>曾进秋</v>
      </c>
      <c r="E1334" s="7" t="str">
        <f t="shared" si="60"/>
        <v>女</v>
      </c>
    </row>
    <row r="1335" spans="1:5" ht="30" customHeight="1">
      <c r="A1335" s="6">
        <v>1333</v>
      </c>
      <c r="B1335" s="7" t="str">
        <f>"29802021051309180594439"</f>
        <v>29802021051309180594439</v>
      </c>
      <c r="C1335" s="7" t="s">
        <v>14</v>
      </c>
      <c r="D1335" s="7" t="str">
        <f>"符雪儿"</f>
        <v>符雪儿</v>
      </c>
      <c r="E1335" s="7" t="str">
        <f t="shared" si="60"/>
        <v>女</v>
      </c>
    </row>
    <row r="1336" spans="1:5" ht="30" customHeight="1">
      <c r="A1336" s="6">
        <v>1334</v>
      </c>
      <c r="B1336" s="7" t="str">
        <f>"29802021051309590294557"</f>
        <v>29802021051309590294557</v>
      </c>
      <c r="C1336" s="7" t="s">
        <v>14</v>
      </c>
      <c r="D1336" s="7" t="str">
        <f>"林智慧"</f>
        <v>林智慧</v>
      </c>
      <c r="E1336" s="7" t="str">
        <f t="shared" si="60"/>
        <v>女</v>
      </c>
    </row>
    <row r="1337" spans="1:5" ht="30" customHeight="1">
      <c r="A1337" s="6">
        <v>1335</v>
      </c>
      <c r="B1337" s="7" t="str">
        <f>"29802021051310101894592"</f>
        <v>29802021051310101894592</v>
      </c>
      <c r="C1337" s="7" t="s">
        <v>14</v>
      </c>
      <c r="D1337" s="7" t="str">
        <f>"许艳艳"</f>
        <v>许艳艳</v>
      </c>
      <c r="E1337" s="7" t="str">
        <f t="shared" si="60"/>
        <v>女</v>
      </c>
    </row>
    <row r="1338" spans="1:5" ht="30" customHeight="1">
      <c r="A1338" s="6">
        <v>1336</v>
      </c>
      <c r="B1338" s="7" t="str">
        <f>"29802021051310202794622"</f>
        <v>29802021051310202794622</v>
      </c>
      <c r="C1338" s="7" t="s">
        <v>14</v>
      </c>
      <c r="D1338" s="7" t="str">
        <f>"韦慧珑"</f>
        <v>韦慧珑</v>
      </c>
      <c r="E1338" s="7" t="str">
        <f t="shared" si="60"/>
        <v>女</v>
      </c>
    </row>
    <row r="1339" spans="1:5" ht="30" customHeight="1">
      <c r="A1339" s="6">
        <v>1337</v>
      </c>
      <c r="B1339" s="7" t="str">
        <f>"29802021051310270294646"</f>
        <v>29802021051310270294646</v>
      </c>
      <c r="C1339" s="7" t="s">
        <v>14</v>
      </c>
      <c r="D1339" s="7" t="str">
        <f>"何玉梦"</f>
        <v>何玉梦</v>
      </c>
      <c r="E1339" s="7" t="str">
        <f t="shared" si="60"/>
        <v>女</v>
      </c>
    </row>
    <row r="1340" spans="1:5" ht="30" customHeight="1">
      <c r="A1340" s="6">
        <v>1338</v>
      </c>
      <c r="B1340" s="7" t="str">
        <f>"29802021051310290294654"</f>
        <v>29802021051310290294654</v>
      </c>
      <c r="C1340" s="7" t="s">
        <v>14</v>
      </c>
      <c r="D1340" s="7" t="str">
        <f>"文秋桐"</f>
        <v>文秋桐</v>
      </c>
      <c r="E1340" s="7" t="str">
        <f t="shared" si="60"/>
        <v>女</v>
      </c>
    </row>
    <row r="1341" spans="1:5" ht="30" customHeight="1">
      <c r="A1341" s="6">
        <v>1339</v>
      </c>
      <c r="B1341" s="7" t="str">
        <f>"29802021051310550494744"</f>
        <v>29802021051310550494744</v>
      </c>
      <c r="C1341" s="7" t="s">
        <v>14</v>
      </c>
      <c r="D1341" s="7" t="str">
        <f>"李志慧"</f>
        <v>李志慧</v>
      </c>
      <c r="E1341" s="7" t="str">
        <f t="shared" si="60"/>
        <v>女</v>
      </c>
    </row>
    <row r="1342" spans="1:5" ht="30" customHeight="1">
      <c r="A1342" s="6">
        <v>1340</v>
      </c>
      <c r="B1342" s="7" t="str">
        <f>"29802021051311081394792"</f>
        <v>29802021051311081394792</v>
      </c>
      <c r="C1342" s="7" t="s">
        <v>14</v>
      </c>
      <c r="D1342" s="7" t="str">
        <f>"余成松"</f>
        <v>余成松</v>
      </c>
      <c r="E1342" s="7" t="str">
        <f t="shared" si="60"/>
        <v>女</v>
      </c>
    </row>
    <row r="1343" spans="1:5" ht="30" customHeight="1">
      <c r="A1343" s="6">
        <v>1341</v>
      </c>
      <c r="B1343" s="7" t="str">
        <f>"29802021051312165894971"</f>
        <v>29802021051312165894971</v>
      </c>
      <c r="C1343" s="7" t="s">
        <v>14</v>
      </c>
      <c r="D1343" s="7" t="str">
        <f>"陈雨铭"</f>
        <v>陈雨铭</v>
      </c>
      <c r="E1343" s="7" t="str">
        <f t="shared" si="60"/>
        <v>女</v>
      </c>
    </row>
    <row r="1344" spans="1:5" ht="30" customHeight="1">
      <c r="A1344" s="6">
        <v>1342</v>
      </c>
      <c r="B1344" s="7" t="str">
        <f>"29802021051312233194982"</f>
        <v>29802021051312233194982</v>
      </c>
      <c r="C1344" s="7" t="s">
        <v>14</v>
      </c>
      <c r="D1344" s="7" t="str">
        <f>"郑鸿磊"</f>
        <v>郑鸿磊</v>
      </c>
      <c r="E1344" s="7" t="str">
        <f t="shared" si="60"/>
        <v>女</v>
      </c>
    </row>
    <row r="1345" spans="1:5" ht="30" customHeight="1">
      <c r="A1345" s="6">
        <v>1343</v>
      </c>
      <c r="B1345" s="7" t="str">
        <f>"29802021051312443295016"</f>
        <v>29802021051312443295016</v>
      </c>
      <c r="C1345" s="7" t="s">
        <v>14</v>
      </c>
      <c r="D1345" s="7" t="str">
        <f>"杨依妮"</f>
        <v>杨依妮</v>
      </c>
      <c r="E1345" s="7" t="str">
        <f t="shared" si="60"/>
        <v>女</v>
      </c>
    </row>
    <row r="1346" spans="1:5" ht="30" customHeight="1">
      <c r="A1346" s="6">
        <v>1344</v>
      </c>
      <c r="B1346" s="7" t="str">
        <f>"29802021051315060695264"</f>
        <v>29802021051315060695264</v>
      </c>
      <c r="C1346" s="7" t="s">
        <v>14</v>
      </c>
      <c r="D1346" s="7" t="str">
        <f>"王海芬"</f>
        <v>王海芬</v>
      </c>
      <c r="E1346" s="7" t="str">
        <f t="shared" si="60"/>
        <v>女</v>
      </c>
    </row>
    <row r="1347" spans="1:5" ht="30" customHeight="1">
      <c r="A1347" s="6">
        <v>1345</v>
      </c>
      <c r="B1347" s="7" t="str">
        <f>"29802021051315131495278"</f>
        <v>29802021051315131495278</v>
      </c>
      <c r="C1347" s="7" t="s">
        <v>14</v>
      </c>
      <c r="D1347" s="7" t="str">
        <f>"高德棚"</f>
        <v>高德棚</v>
      </c>
      <c r="E1347" s="7" t="str">
        <f>"男"</f>
        <v>男</v>
      </c>
    </row>
    <row r="1348" spans="1:5" ht="30" customHeight="1">
      <c r="A1348" s="6">
        <v>1346</v>
      </c>
      <c r="B1348" s="7" t="str">
        <f>"29802021051315414995348"</f>
        <v>29802021051315414995348</v>
      </c>
      <c r="C1348" s="7" t="s">
        <v>14</v>
      </c>
      <c r="D1348" s="7" t="str">
        <f>"王莲芳"</f>
        <v>王莲芳</v>
      </c>
      <c r="E1348" s="7" t="str">
        <f aca="true" t="shared" si="61" ref="E1348:E1358">"女"</f>
        <v>女</v>
      </c>
    </row>
    <row r="1349" spans="1:5" ht="30" customHeight="1">
      <c r="A1349" s="6">
        <v>1347</v>
      </c>
      <c r="B1349" s="7" t="str">
        <f>"29802021051318322095750"</f>
        <v>29802021051318322095750</v>
      </c>
      <c r="C1349" s="7" t="s">
        <v>14</v>
      </c>
      <c r="D1349" s="7" t="str">
        <f>"符赵霞"</f>
        <v>符赵霞</v>
      </c>
      <c r="E1349" s="7" t="str">
        <f t="shared" si="61"/>
        <v>女</v>
      </c>
    </row>
    <row r="1350" spans="1:5" ht="30" customHeight="1">
      <c r="A1350" s="6">
        <v>1348</v>
      </c>
      <c r="B1350" s="7" t="str">
        <f>"29802021051319065995821"</f>
        <v>29802021051319065995821</v>
      </c>
      <c r="C1350" s="7" t="s">
        <v>14</v>
      </c>
      <c r="D1350" s="7" t="str">
        <f>"刘庆梅"</f>
        <v>刘庆梅</v>
      </c>
      <c r="E1350" s="7" t="str">
        <f t="shared" si="61"/>
        <v>女</v>
      </c>
    </row>
    <row r="1351" spans="1:5" ht="30" customHeight="1">
      <c r="A1351" s="6">
        <v>1349</v>
      </c>
      <c r="B1351" s="7" t="str">
        <f>"29802021051320102695928"</f>
        <v>29802021051320102695928</v>
      </c>
      <c r="C1351" s="7" t="s">
        <v>14</v>
      </c>
      <c r="D1351" s="7" t="str">
        <f>"陈芬芬"</f>
        <v>陈芬芬</v>
      </c>
      <c r="E1351" s="7" t="str">
        <f t="shared" si="61"/>
        <v>女</v>
      </c>
    </row>
    <row r="1352" spans="1:5" ht="30" customHeight="1">
      <c r="A1352" s="6">
        <v>1350</v>
      </c>
      <c r="B1352" s="7" t="str">
        <f>"29802021051320351295976"</f>
        <v>29802021051320351295976</v>
      </c>
      <c r="C1352" s="7" t="s">
        <v>14</v>
      </c>
      <c r="D1352" s="7" t="str">
        <f>"邱茂桦"</f>
        <v>邱茂桦</v>
      </c>
      <c r="E1352" s="7" t="str">
        <f t="shared" si="61"/>
        <v>女</v>
      </c>
    </row>
    <row r="1353" spans="1:5" ht="30" customHeight="1">
      <c r="A1353" s="6">
        <v>1351</v>
      </c>
      <c r="B1353" s="7" t="str">
        <f>"29802021051321343796094"</f>
        <v>29802021051321343796094</v>
      </c>
      <c r="C1353" s="7" t="s">
        <v>14</v>
      </c>
      <c r="D1353" s="7" t="str">
        <f>"张秀影"</f>
        <v>张秀影</v>
      </c>
      <c r="E1353" s="7" t="str">
        <f t="shared" si="61"/>
        <v>女</v>
      </c>
    </row>
    <row r="1354" spans="1:5" ht="30" customHeight="1">
      <c r="A1354" s="6">
        <v>1352</v>
      </c>
      <c r="B1354" s="7" t="str">
        <f>"29802021051321392596106"</f>
        <v>29802021051321392596106</v>
      </c>
      <c r="C1354" s="7" t="s">
        <v>14</v>
      </c>
      <c r="D1354" s="7" t="str">
        <f>"苏吉倩"</f>
        <v>苏吉倩</v>
      </c>
      <c r="E1354" s="7" t="str">
        <f t="shared" si="61"/>
        <v>女</v>
      </c>
    </row>
    <row r="1355" spans="1:5" ht="30" customHeight="1">
      <c r="A1355" s="6">
        <v>1353</v>
      </c>
      <c r="B1355" s="7" t="str">
        <f>"29802021051321503696142"</f>
        <v>29802021051321503696142</v>
      </c>
      <c r="C1355" s="7" t="s">
        <v>14</v>
      </c>
      <c r="D1355" s="7" t="str">
        <f>"罗天蝉"</f>
        <v>罗天蝉</v>
      </c>
      <c r="E1355" s="7" t="str">
        <f t="shared" si="61"/>
        <v>女</v>
      </c>
    </row>
    <row r="1356" spans="1:5" ht="30" customHeight="1">
      <c r="A1356" s="6">
        <v>1354</v>
      </c>
      <c r="B1356" s="7" t="str">
        <f>"29802021051321534196152"</f>
        <v>29802021051321534196152</v>
      </c>
      <c r="C1356" s="7" t="s">
        <v>14</v>
      </c>
      <c r="D1356" s="7" t="str">
        <f>"陈运妹"</f>
        <v>陈运妹</v>
      </c>
      <c r="E1356" s="7" t="str">
        <f t="shared" si="61"/>
        <v>女</v>
      </c>
    </row>
    <row r="1357" spans="1:5" ht="30" customHeight="1">
      <c r="A1357" s="6">
        <v>1355</v>
      </c>
      <c r="B1357" s="7" t="str">
        <f>"29802021051321583696164"</f>
        <v>29802021051321583696164</v>
      </c>
      <c r="C1357" s="7" t="s">
        <v>14</v>
      </c>
      <c r="D1357" s="7" t="str">
        <f>"王雪翠"</f>
        <v>王雪翠</v>
      </c>
      <c r="E1357" s="7" t="str">
        <f t="shared" si="61"/>
        <v>女</v>
      </c>
    </row>
    <row r="1358" spans="1:5" ht="30" customHeight="1">
      <c r="A1358" s="6">
        <v>1356</v>
      </c>
      <c r="B1358" s="7" t="str">
        <f>"29802021051322570296281"</f>
        <v>29802021051322570296281</v>
      </c>
      <c r="C1358" s="7" t="s">
        <v>14</v>
      </c>
      <c r="D1358" s="7" t="str">
        <f>"邢璐璐"</f>
        <v>邢璐璐</v>
      </c>
      <c r="E1358" s="7" t="str">
        <f t="shared" si="61"/>
        <v>女</v>
      </c>
    </row>
    <row r="1359" spans="1:5" ht="30" customHeight="1">
      <c r="A1359" s="6">
        <v>1357</v>
      </c>
      <c r="B1359" s="7" t="str">
        <f>"29802021051323530796364"</f>
        <v>29802021051323530796364</v>
      </c>
      <c r="C1359" s="7" t="s">
        <v>14</v>
      </c>
      <c r="D1359" s="7" t="str">
        <f>"王光怀"</f>
        <v>王光怀</v>
      </c>
      <c r="E1359" s="7" t="str">
        <f>"男"</f>
        <v>男</v>
      </c>
    </row>
    <row r="1360" spans="1:5" ht="30" customHeight="1">
      <c r="A1360" s="6">
        <v>1358</v>
      </c>
      <c r="B1360" s="7" t="str">
        <f>"29802021051400162596379"</f>
        <v>29802021051400162596379</v>
      </c>
      <c r="C1360" s="7" t="s">
        <v>14</v>
      </c>
      <c r="D1360" s="7" t="str">
        <f>"王小宇"</f>
        <v>王小宇</v>
      </c>
      <c r="E1360" s="7" t="str">
        <f aca="true" t="shared" si="62" ref="E1360:E1382">"女"</f>
        <v>女</v>
      </c>
    </row>
    <row r="1361" spans="1:5" ht="30" customHeight="1">
      <c r="A1361" s="6">
        <v>1359</v>
      </c>
      <c r="B1361" s="7" t="str">
        <f>"29802021051407502096434"</f>
        <v>29802021051407502096434</v>
      </c>
      <c r="C1361" s="7" t="s">
        <v>14</v>
      </c>
      <c r="D1361" s="7" t="str">
        <f>"蔡雅"</f>
        <v>蔡雅</v>
      </c>
      <c r="E1361" s="7" t="str">
        <f t="shared" si="62"/>
        <v>女</v>
      </c>
    </row>
    <row r="1362" spans="1:5" ht="30" customHeight="1">
      <c r="A1362" s="6">
        <v>1360</v>
      </c>
      <c r="B1362" s="7" t="str">
        <f>"29802021051408344896474"</f>
        <v>29802021051408344896474</v>
      </c>
      <c r="C1362" s="7" t="s">
        <v>14</v>
      </c>
      <c r="D1362" s="7" t="str">
        <f>"林传梅"</f>
        <v>林传梅</v>
      </c>
      <c r="E1362" s="7" t="str">
        <f t="shared" si="62"/>
        <v>女</v>
      </c>
    </row>
    <row r="1363" spans="1:5" ht="30" customHeight="1">
      <c r="A1363" s="6">
        <v>1361</v>
      </c>
      <c r="B1363" s="7" t="str">
        <f>"29802021051408554796517"</f>
        <v>29802021051408554796517</v>
      </c>
      <c r="C1363" s="7" t="s">
        <v>14</v>
      </c>
      <c r="D1363" s="7" t="str">
        <f>"胡琛琛"</f>
        <v>胡琛琛</v>
      </c>
      <c r="E1363" s="7" t="str">
        <f t="shared" si="62"/>
        <v>女</v>
      </c>
    </row>
    <row r="1364" spans="1:5" ht="30" customHeight="1">
      <c r="A1364" s="6">
        <v>1362</v>
      </c>
      <c r="B1364" s="7" t="str">
        <f>"29802021051409062296536"</f>
        <v>29802021051409062296536</v>
      </c>
      <c r="C1364" s="7" t="s">
        <v>14</v>
      </c>
      <c r="D1364" s="7" t="str">
        <f>"杨曼霞"</f>
        <v>杨曼霞</v>
      </c>
      <c r="E1364" s="7" t="str">
        <f t="shared" si="62"/>
        <v>女</v>
      </c>
    </row>
    <row r="1365" spans="1:5" ht="30" customHeight="1">
      <c r="A1365" s="6">
        <v>1363</v>
      </c>
      <c r="B1365" s="7" t="str">
        <f>"29802021051409324896587"</f>
        <v>29802021051409324896587</v>
      </c>
      <c r="C1365" s="7" t="s">
        <v>14</v>
      </c>
      <c r="D1365" s="7" t="str">
        <f>"李金凌"</f>
        <v>李金凌</v>
      </c>
      <c r="E1365" s="7" t="str">
        <f t="shared" si="62"/>
        <v>女</v>
      </c>
    </row>
    <row r="1366" spans="1:5" ht="30" customHeight="1">
      <c r="A1366" s="6">
        <v>1364</v>
      </c>
      <c r="B1366" s="7" t="str">
        <f>"29802021051412384097000"</f>
        <v>29802021051412384097000</v>
      </c>
      <c r="C1366" s="7" t="s">
        <v>14</v>
      </c>
      <c r="D1366" s="7" t="str">
        <f>"潘美玲"</f>
        <v>潘美玲</v>
      </c>
      <c r="E1366" s="7" t="str">
        <f t="shared" si="62"/>
        <v>女</v>
      </c>
    </row>
    <row r="1367" spans="1:5" ht="30" customHeight="1">
      <c r="A1367" s="6">
        <v>1365</v>
      </c>
      <c r="B1367" s="7" t="str">
        <f>"29802021051413301497109"</f>
        <v>29802021051413301497109</v>
      </c>
      <c r="C1367" s="7" t="s">
        <v>14</v>
      </c>
      <c r="D1367" s="7" t="str">
        <f>"王舒倩"</f>
        <v>王舒倩</v>
      </c>
      <c r="E1367" s="7" t="str">
        <f t="shared" si="62"/>
        <v>女</v>
      </c>
    </row>
    <row r="1368" spans="1:5" ht="30" customHeight="1">
      <c r="A1368" s="6">
        <v>1366</v>
      </c>
      <c r="B1368" s="7" t="str">
        <f>"29802021051413461497138"</f>
        <v>29802021051413461497138</v>
      </c>
      <c r="C1368" s="7" t="s">
        <v>14</v>
      </c>
      <c r="D1368" s="7" t="str">
        <f>"黄洁娜"</f>
        <v>黄洁娜</v>
      </c>
      <c r="E1368" s="7" t="str">
        <f t="shared" si="62"/>
        <v>女</v>
      </c>
    </row>
    <row r="1369" spans="1:5" ht="30" customHeight="1">
      <c r="A1369" s="6">
        <v>1367</v>
      </c>
      <c r="B1369" s="7" t="str">
        <f>"29802021051414474497235"</f>
        <v>29802021051414474497235</v>
      </c>
      <c r="C1369" s="7" t="s">
        <v>14</v>
      </c>
      <c r="D1369" s="7" t="str">
        <f>"符桂玲"</f>
        <v>符桂玲</v>
      </c>
      <c r="E1369" s="7" t="str">
        <f t="shared" si="62"/>
        <v>女</v>
      </c>
    </row>
    <row r="1370" spans="1:5" ht="30" customHeight="1">
      <c r="A1370" s="6">
        <v>1368</v>
      </c>
      <c r="B1370" s="7" t="str">
        <f>"29802021051415183697294"</f>
        <v>29802021051415183697294</v>
      </c>
      <c r="C1370" s="7" t="s">
        <v>14</v>
      </c>
      <c r="D1370" s="7" t="str">
        <f>"陈瑶"</f>
        <v>陈瑶</v>
      </c>
      <c r="E1370" s="7" t="str">
        <f t="shared" si="62"/>
        <v>女</v>
      </c>
    </row>
    <row r="1371" spans="1:5" ht="30" customHeight="1">
      <c r="A1371" s="6">
        <v>1369</v>
      </c>
      <c r="B1371" s="7" t="str">
        <f>"29802021051415504597376"</f>
        <v>29802021051415504597376</v>
      </c>
      <c r="C1371" s="7" t="s">
        <v>14</v>
      </c>
      <c r="D1371" s="7" t="str">
        <f>"邓一林"</f>
        <v>邓一林</v>
      </c>
      <c r="E1371" s="7" t="str">
        <f t="shared" si="62"/>
        <v>女</v>
      </c>
    </row>
    <row r="1372" spans="1:5" ht="30" customHeight="1">
      <c r="A1372" s="6">
        <v>1370</v>
      </c>
      <c r="B1372" s="7" t="str">
        <f>"29802021051417052297562"</f>
        <v>29802021051417052297562</v>
      </c>
      <c r="C1372" s="7" t="s">
        <v>14</v>
      </c>
      <c r="D1372" s="7" t="str">
        <f>"唐莹"</f>
        <v>唐莹</v>
      </c>
      <c r="E1372" s="7" t="str">
        <f t="shared" si="62"/>
        <v>女</v>
      </c>
    </row>
    <row r="1373" spans="1:5" ht="30" customHeight="1">
      <c r="A1373" s="6">
        <v>1371</v>
      </c>
      <c r="B1373" s="7" t="str">
        <f>"29802021051418354497715"</f>
        <v>29802021051418354497715</v>
      </c>
      <c r="C1373" s="7" t="s">
        <v>14</v>
      </c>
      <c r="D1373" s="7" t="str">
        <f>"吴容芳"</f>
        <v>吴容芳</v>
      </c>
      <c r="E1373" s="7" t="str">
        <f t="shared" si="62"/>
        <v>女</v>
      </c>
    </row>
    <row r="1374" spans="1:5" ht="30" customHeight="1">
      <c r="A1374" s="6">
        <v>1372</v>
      </c>
      <c r="B1374" s="7" t="str">
        <f>"29802021051419583397830"</f>
        <v>29802021051419583397830</v>
      </c>
      <c r="C1374" s="7" t="s">
        <v>14</v>
      </c>
      <c r="D1374" s="7" t="str">
        <f>"吉琳静"</f>
        <v>吉琳静</v>
      </c>
      <c r="E1374" s="7" t="str">
        <f t="shared" si="62"/>
        <v>女</v>
      </c>
    </row>
    <row r="1375" spans="1:5" ht="30" customHeight="1">
      <c r="A1375" s="6">
        <v>1373</v>
      </c>
      <c r="B1375" s="7" t="str">
        <f>"29802021051420311497888"</f>
        <v>29802021051420311497888</v>
      </c>
      <c r="C1375" s="7" t="s">
        <v>14</v>
      </c>
      <c r="D1375" s="7" t="str">
        <f>"符才英"</f>
        <v>符才英</v>
      </c>
      <c r="E1375" s="7" t="str">
        <f t="shared" si="62"/>
        <v>女</v>
      </c>
    </row>
    <row r="1376" spans="1:5" ht="30" customHeight="1">
      <c r="A1376" s="6">
        <v>1374</v>
      </c>
      <c r="B1376" s="7" t="str">
        <f>"29802021051421313197986"</f>
        <v>29802021051421313197986</v>
      </c>
      <c r="C1376" s="7" t="s">
        <v>14</v>
      </c>
      <c r="D1376" s="7" t="str">
        <f>"唐紫婷"</f>
        <v>唐紫婷</v>
      </c>
      <c r="E1376" s="7" t="str">
        <f t="shared" si="62"/>
        <v>女</v>
      </c>
    </row>
    <row r="1377" spans="1:5" ht="30" customHeight="1">
      <c r="A1377" s="6">
        <v>1375</v>
      </c>
      <c r="B1377" s="7" t="str">
        <f>"29802021051421365297996"</f>
        <v>29802021051421365297996</v>
      </c>
      <c r="C1377" s="7" t="s">
        <v>14</v>
      </c>
      <c r="D1377" s="7" t="str">
        <f>"李杏"</f>
        <v>李杏</v>
      </c>
      <c r="E1377" s="7" t="str">
        <f t="shared" si="62"/>
        <v>女</v>
      </c>
    </row>
    <row r="1378" spans="1:5" ht="30" customHeight="1">
      <c r="A1378" s="6">
        <v>1376</v>
      </c>
      <c r="B1378" s="7" t="str">
        <f>"29802021051421371597997"</f>
        <v>29802021051421371597997</v>
      </c>
      <c r="C1378" s="7" t="s">
        <v>14</v>
      </c>
      <c r="D1378" s="7" t="str">
        <f>"罗月婷"</f>
        <v>罗月婷</v>
      </c>
      <c r="E1378" s="7" t="str">
        <f t="shared" si="62"/>
        <v>女</v>
      </c>
    </row>
    <row r="1379" spans="1:5" ht="30" customHeight="1">
      <c r="A1379" s="6">
        <v>1377</v>
      </c>
      <c r="B1379" s="7" t="str">
        <f>"29802021051422090298056"</f>
        <v>29802021051422090298056</v>
      </c>
      <c r="C1379" s="7" t="s">
        <v>14</v>
      </c>
      <c r="D1379" s="7" t="str">
        <f>"李春燕"</f>
        <v>李春燕</v>
      </c>
      <c r="E1379" s="7" t="str">
        <f t="shared" si="62"/>
        <v>女</v>
      </c>
    </row>
    <row r="1380" spans="1:5" ht="30" customHeight="1">
      <c r="A1380" s="6">
        <v>1378</v>
      </c>
      <c r="B1380" s="7" t="str">
        <f>"29802021051422143698071"</f>
        <v>29802021051422143698071</v>
      </c>
      <c r="C1380" s="7" t="s">
        <v>14</v>
      </c>
      <c r="D1380" s="7" t="str">
        <f>"陈颖嘉"</f>
        <v>陈颖嘉</v>
      </c>
      <c r="E1380" s="7" t="str">
        <f t="shared" si="62"/>
        <v>女</v>
      </c>
    </row>
    <row r="1381" spans="1:5" ht="30" customHeight="1">
      <c r="A1381" s="6">
        <v>1379</v>
      </c>
      <c r="B1381" s="7" t="str">
        <f>"29802021051423085198157"</f>
        <v>29802021051423085198157</v>
      </c>
      <c r="C1381" s="7" t="s">
        <v>14</v>
      </c>
      <c r="D1381" s="7" t="str">
        <f>"黄清雨"</f>
        <v>黄清雨</v>
      </c>
      <c r="E1381" s="7" t="str">
        <f t="shared" si="62"/>
        <v>女</v>
      </c>
    </row>
    <row r="1382" spans="1:5" ht="30" customHeight="1">
      <c r="A1382" s="6">
        <v>1380</v>
      </c>
      <c r="B1382" s="7" t="str">
        <f>"29802021051423311898190"</f>
        <v>29802021051423311898190</v>
      </c>
      <c r="C1382" s="7" t="s">
        <v>14</v>
      </c>
      <c r="D1382" s="7" t="str">
        <f>"王艺杰"</f>
        <v>王艺杰</v>
      </c>
      <c r="E1382" s="7" t="str">
        <f t="shared" si="62"/>
        <v>女</v>
      </c>
    </row>
    <row r="1383" spans="1:5" ht="30" customHeight="1">
      <c r="A1383" s="6">
        <v>1381</v>
      </c>
      <c r="B1383" s="7" t="str">
        <f>"29802021051423440998204"</f>
        <v>29802021051423440998204</v>
      </c>
      <c r="C1383" s="7" t="s">
        <v>14</v>
      </c>
      <c r="D1383" s="7" t="str">
        <f>"黄玲珑"</f>
        <v>黄玲珑</v>
      </c>
      <c r="E1383" s="7" t="str">
        <f>"男"</f>
        <v>男</v>
      </c>
    </row>
    <row r="1384" spans="1:5" ht="30" customHeight="1">
      <c r="A1384" s="6">
        <v>1382</v>
      </c>
      <c r="B1384" s="7" t="str">
        <f>"29802021051508004898316"</f>
        <v>29802021051508004898316</v>
      </c>
      <c r="C1384" s="7" t="s">
        <v>14</v>
      </c>
      <c r="D1384" s="7" t="str">
        <f>"陈小雪"</f>
        <v>陈小雪</v>
      </c>
      <c r="E1384" s="7" t="str">
        <f>"女"</f>
        <v>女</v>
      </c>
    </row>
    <row r="1385" spans="1:5" ht="30" customHeight="1">
      <c r="A1385" s="6">
        <v>1383</v>
      </c>
      <c r="B1385" s="7" t="str">
        <f>"29802021051510095598437"</f>
        <v>29802021051510095598437</v>
      </c>
      <c r="C1385" s="7" t="s">
        <v>14</v>
      </c>
      <c r="D1385" s="7" t="str">
        <f>"韦振展"</f>
        <v>韦振展</v>
      </c>
      <c r="E1385" s="7" t="str">
        <f>"男"</f>
        <v>男</v>
      </c>
    </row>
    <row r="1386" spans="1:5" ht="30" customHeight="1">
      <c r="A1386" s="6">
        <v>1384</v>
      </c>
      <c r="B1386" s="7" t="str">
        <f>"29802021051511101598548"</f>
        <v>29802021051511101598548</v>
      </c>
      <c r="C1386" s="7" t="s">
        <v>14</v>
      </c>
      <c r="D1386" s="7" t="str">
        <f>"黄洪雀"</f>
        <v>黄洪雀</v>
      </c>
      <c r="E1386" s="7" t="str">
        <f>"女"</f>
        <v>女</v>
      </c>
    </row>
    <row r="1387" spans="1:5" ht="30" customHeight="1">
      <c r="A1387" s="6">
        <v>1385</v>
      </c>
      <c r="B1387" s="7" t="str">
        <f>"29802021051512215798674"</f>
        <v>29802021051512215798674</v>
      </c>
      <c r="C1387" s="7" t="s">
        <v>14</v>
      </c>
      <c r="D1387" s="7" t="str">
        <f>"唐岸"</f>
        <v>唐岸</v>
      </c>
      <c r="E1387" s="7" t="str">
        <f>"女"</f>
        <v>女</v>
      </c>
    </row>
    <row r="1388" spans="1:5" ht="30" customHeight="1">
      <c r="A1388" s="6">
        <v>1386</v>
      </c>
      <c r="B1388" s="7" t="str">
        <f>"29802021051514035598833"</f>
        <v>29802021051514035598833</v>
      </c>
      <c r="C1388" s="7" t="s">
        <v>14</v>
      </c>
      <c r="D1388" s="7" t="str">
        <f>"王秋雨"</f>
        <v>王秋雨</v>
      </c>
      <c r="E1388" s="7" t="str">
        <f>"女"</f>
        <v>女</v>
      </c>
    </row>
    <row r="1389" spans="1:5" ht="30" customHeight="1">
      <c r="A1389" s="6">
        <v>1387</v>
      </c>
      <c r="B1389" s="7" t="str">
        <f>"29802021051514285898871"</f>
        <v>29802021051514285898871</v>
      </c>
      <c r="C1389" s="7" t="s">
        <v>14</v>
      </c>
      <c r="D1389" s="7" t="str">
        <f>"黄赛惋"</f>
        <v>黄赛惋</v>
      </c>
      <c r="E1389" s="7" t="str">
        <f>"女"</f>
        <v>女</v>
      </c>
    </row>
    <row r="1390" spans="1:5" ht="30" customHeight="1">
      <c r="A1390" s="6">
        <v>1388</v>
      </c>
      <c r="B1390" s="7" t="str">
        <f>"29802021051514515898908"</f>
        <v>29802021051514515898908</v>
      </c>
      <c r="C1390" s="7" t="s">
        <v>14</v>
      </c>
      <c r="D1390" s="7" t="str">
        <f>"罗宋雲"</f>
        <v>罗宋雲</v>
      </c>
      <c r="E1390" s="7" t="str">
        <f>"女"</f>
        <v>女</v>
      </c>
    </row>
    <row r="1391" spans="1:5" ht="30" customHeight="1">
      <c r="A1391" s="6">
        <v>1389</v>
      </c>
      <c r="B1391" s="7" t="str">
        <f>"29802021051515315098981"</f>
        <v>29802021051515315098981</v>
      </c>
      <c r="C1391" s="7" t="s">
        <v>14</v>
      </c>
      <c r="D1391" s="7" t="str">
        <f>"洪明"</f>
        <v>洪明</v>
      </c>
      <c r="E1391" s="7" t="str">
        <f>"男"</f>
        <v>男</v>
      </c>
    </row>
    <row r="1392" spans="1:5" ht="30" customHeight="1">
      <c r="A1392" s="6">
        <v>1390</v>
      </c>
      <c r="B1392" s="7" t="str">
        <f>"29802021050908101780485"</f>
        <v>29802021050908101780485</v>
      </c>
      <c r="C1392" s="7" t="s">
        <v>15</v>
      </c>
      <c r="D1392" s="7" t="str">
        <f>"符式曼"</f>
        <v>符式曼</v>
      </c>
      <c r="E1392" s="7" t="str">
        <f>"女"</f>
        <v>女</v>
      </c>
    </row>
    <row r="1393" spans="1:5" ht="30" customHeight="1">
      <c r="A1393" s="6">
        <v>1391</v>
      </c>
      <c r="B1393" s="7" t="str">
        <f>"29802021050908202180505"</f>
        <v>29802021050908202180505</v>
      </c>
      <c r="C1393" s="7" t="s">
        <v>15</v>
      </c>
      <c r="D1393" s="7" t="str">
        <f>"邓惠丹"</f>
        <v>邓惠丹</v>
      </c>
      <c r="E1393" s="7" t="str">
        <f>"女"</f>
        <v>女</v>
      </c>
    </row>
    <row r="1394" spans="1:5" ht="30" customHeight="1">
      <c r="A1394" s="6">
        <v>1392</v>
      </c>
      <c r="B1394" s="7" t="str">
        <f>"29802021050908422580529"</f>
        <v>29802021050908422580529</v>
      </c>
      <c r="C1394" s="7" t="s">
        <v>15</v>
      </c>
      <c r="D1394" s="7" t="str">
        <f>"曾令嘉"</f>
        <v>曾令嘉</v>
      </c>
      <c r="E1394" s="7" t="str">
        <f>"男"</f>
        <v>男</v>
      </c>
    </row>
    <row r="1395" spans="1:5" ht="30" customHeight="1">
      <c r="A1395" s="6">
        <v>1393</v>
      </c>
      <c r="B1395" s="7" t="str">
        <f>"29802021050909004380557"</f>
        <v>29802021050909004380557</v>
      </c>
      <c r="C1395" s="7" t="s">
        <v>15</v>
      </c>
      <c r="D1395" s="7" t="str">
        <f>"吴瑞云"</f>
        <v>吴瑞云</v>
      </c>
      <c r="E1395" s="7" t="str">
        <f aca="true" t="shared" si="63" ref="E1395:E1402">"女"</f>
        <v>女</v>
      </c>
    </row>
    <row r="1396" spans="1:5" ht="30" customHeight="1">
      <c r="A1396" s="6">
        <v>1394</v>
      </c>
      <c r="B1396" s="7" t="str">
        <f>"29802021050909005180558"</f>
        <v>29802021050909005180558</v>
      </c>
      <c r="C1396" s="7" t="s">
        <v>15</v>
      </c>
      <c r="D1396" s="7" t="str">
        <f>"梁燕丹"</f>
        <v>梁燕丹</v>
      </c>
      <c r="E1396" s="7" t="str">
        <f t="shared" si="63"/>
        <v>女</v>
      </c>
    </row>
    <row r="1397" spans="1:5" ht="30" customHeight="1">
      <c r="A1397" s="6">
        <v>1395</v>
      </c>
      <c r="B1397" s="7" t="str">
        <f>"29802021050909012380561"</f>
        <v>29802021050909012380561</v>
      </c>
      <c r="C1397" s="7" t="s">
        <v>15</v>
      </c>
      <c r="D1397" s="7" t="str">
        <f>"谢琼慧"</f>
        <v>谢琼慧</v>
      </c>
      <c r="E1397" s="7" t="str">
        <f t="shared" si="63"/>
        <v>女</v>
      </c>
    </row>
    <row r="1398" spans="1:5" ht="30" customHeight="1">
      <c r="A1398" s="6">
        <v>1396</v>
      </c>
      <c r="B1398" s="7" t="str">
        <f>"29802021050909042980566"</f>
        <v>29802021050909042980566</v>
      </c>
      <c r="C1398" s="7" t="s">
        <v>15</v>
      </c>
      <c r="D1398" s="7" t="str">
        <f>"王悦华"</f>
        <v>王悦华</v>
      </c>
      <c r="E1398" s="7" t="str">
        <f t="shared" si="63"/>
        <v>女</v>
      </c>
    </row>
    <row r="1399" spans="1:5" ht="30" customHeight="1">
      <c r="A1399" s="6">
        <v>1397</v>
      </c>
      <c r="B1399" s="7" t="str">
        <f>"29802021050909090580572"</f>
        <v>29802021050909090580572</v>
      </c>
      <c r="C1399" s="7" t="s">
        <v>15</v>
      </c>
      <c r="D1399" s="7" t="str">
        <f>"吴芸秀"</f>
        <v>吴芸秀</v>
      </c>
      <c r="E1399" s="7" t="str">
        <f t="shared" si="63"/>
        <v>女</v>
      </c>
    </row>
    <row r="1400" spans="1:5" ht="30" customHeight="1">
      <c r="A1400" s="6">
        <v>1398</v>
      </c>
      <c r="B1400" s="7" t="str">
        <f>"29802021050909130380582"</f>
        <v>29802021050909130380582</v>
      </c>
      <c r="C1400" s="7" t="s">
        <v>15</v>
      </c>
      <c r="D1400" s="7" t="str">
        <f>"刘晓杰"</f>
        <v>刘晓杰</v>
      </c>
      <c r="E1400" s="7" t="str">
        <f t="shared" si="63"/>
        <v>女</v>
      </c>
    </row>
    <row r="1401" spans="1:5" ht="30" customHeight="1">
      <c r="A1401" s="6">
        <v>1399</v>
      </c>
      <c r="B1401" s="7" t="str">
        <f>"29802021050909261380600"</f>
        <v>29802021050909261380600</v>
      </c>
      <c r="C1401" s="7" t="s">
        <v>15</v>
      </c>
      <c r="D1401" s="7" t="str">
        <f>"刘玲玲"</f>
        <v>刘玲玲</v>
      </c>
      <c r="E1401" s="7" t="str">
        <f t="shared" si="63"/>
        <v>女</v>
      </c>
    </row>
    <row r="1402" spans="1:5" ht="30" customHeight="1">
      <c r="A1402" s="6">
        <v>1400</v>
      </c>
      <c r="B1402" s="7" t="str">
        <f>"29802021050909265080602"</f>
        <v>29802021050909265080602</v>
      </c>
      <c r="C1402" s="7" t="s">
        <v>15</v>
      </c>
      <c r="D1402" s="7" t="str">
        <f>"陈雅"</f>
        <v>陈雅</v>
      </c>
      <c r="E1402" s="7" t="str">
        <f t="shared" si="63"/>
        <v>女</v>
      </c>
    </row>
    <row r="1403" spans="1:5" ht="30" customHeight="1">
      <c r="A1403" s="6">
        <v>1401</v>
      </c>
      <c r="B1403" s="7" t="str">
        <f>"29802021050909454280638"</f>
        <v>29802021050909454280638</v>
      </c>
      <c r="C1403" s="7" t="s">
        <v>15</v>
      </c>
      <c r="D1403" s="7" t="str">
        <f>"韦亨业"</f>
        <v>韦亨业</v>
      </c>
      <c r="E1403" s="7" t="str">
        <f>"男"</f>
        <v>男</v>
      </c>
    </row>
    <row r="1404" spans="1:5" ht="30" customHeight="1">
      <c r="A1404" s="6">
        <v>1402</v>
      </c>
      <c r="B1404" s="7" t="str">
        <f>"29802021050909542980656"</f>
        <v>29802021050909542980656</v>
      </c>
      <c r="C1404" s="7" t="s">
        <v>15</v>
      </c>
      <c r="D1404" s="7" t="str">
        <f>"赵成明"</f>
        <v>赵成明</v>
      </c>
      <c r="E1404" s="7" t="str">
        <f>"男"</f>
        <v>男</v>
      </c>
    </row>
    <row r="1405" spans="1:5" ht="30" customHeight="1">
      <c r="A1405" s="6">
        <v>1403</v>
      </c>
      <c r="B1405" s="7" t="str">
        <f>"29802021050909580480666"</f>
        <v>29802021050909580480666</v>
      </c>
      <c r="C1405" s="7" t="s">
        <v>15</v>
      </c>
      <c r="D1405" s="7" t="str">
        <f>"吴汝转"</f>
        <v>吴汝转</v>
      </c>
      <c r="E1405" s="7" t="str">
        <f>"女"</f>
        <v>女</v>
      </c>
    </row>
    <row r="1406" spans="1:5" ht="30" customHeight="1">
      <c r="A1406" s="6">
        <v>1404</v>
      </c>
      <c r="B1406" s="7" t="str">
        <f>"29802021050910060180686"</f>
        <v>29802021050910060180686</v>
      </c>
      <c r="C1406" s="7" t="s">
        <v>15</v>
      </c>
      <c r="D1406" s="7" t="str">
        <f>"王芳丽"</f>
        <v>王芳丽</v>
      </c>
      <c r="E1406" s="7" t="str">
        <f>"女"</f>
        <v>女</v>
      </c>
    </row>
    <row r="1407" spans="1:5" ht="30" customHeight="1">
      <c r="A1407" s="6">
        <v>1405</v>
      </c>
      <c r="B1407" s="7" t="str">
        <f>"29802021050910060480687"</f>
        <v>29802021050910060480687</v>
      </c>
      <c r="C1407" s="7" t="s">
        <v>15</v>
      </c>
      <c r="D1407" s="7" t="str">
        <f>"林春香"</f>
        <v>林春香</v>
      </c>
      <c r="E1407" s="7" t="str">
        <f>"女"</f>
        <v>女</v>
      </c>
    </row>
    <row r="1408" spans="1:5" ht="30" customHeight="1">
      <c r="A1408" s="6">
        <v>1406</v>
      </c>
      <c r="B1408" s="7" t="str">
        <f>"29802021050910315280741"</f>
        <v>29802021050910315280741</v>
      </c>
      <c r="C1408" s="7" t="s">
        <v>15</v>
      </c>
      <c r="D1408" s="7" t="str">
        <f>"陈龙坤"</f>
        <v>陈龙坤</v>
      </c>
      <c r="E1408" s="7" t="str">
        <f>"男"</f>
        <v>男</v>
      </c>
    </row>
    <row r="1409" spans="1:5" ht="30" customHeight="1">
      <c r="A1409" s="6">
        <v>1407</v>
      </c>
      <c r="B1409" s="7" t="str">
        <f>"29802021050910374380755"</f>
        <v>29802021050910374380755</v>
      </c>
      <c r="C1409" s="7" t="s">
        <v>15</v>
      </c>
      <c r="D1409" s="7" t="str">
        <f>"王宇"</f>
        <v>王宇</v>
      </c>
      <c r="E1409" s="7" t="str">
        <f>"男"</f>
        <v>男</v>
      </c>
    </row>
    <row r="1410" spans="1:5" ht="30" customHeight="1">
      <c r="A1410" s="6">
        <v>1408</v>
      </c>
      <c r="B1410" s="7" t="str">
        <f>"29802021050910482080777"</f>
        <v>29802021050910482080777</v>
      </c>
      <c r="C1410" s="7" t="s">
        <v>15</v>
      </c>
      <c r="D1410" s="7" t="str">
        <f>"王梅"</f>
        <v>王梅</v>
      </c>
      <c r="E1410" s="7" t="str">
        <f>"女"</f>
        <v>女</v>
      </c>
    </row>
    <row r="1411" spans="1:5" ht="30" customHeight="1">
      <c r="A1411" s="6">
        <v>1409</v>
      </c>
      <c r="B1411" s="7" t="str">
        <f>"29802021050910572080801"</f>
        <v>29802021050910572080801</v>
      </c>
      <c r="C1411" s="7" t="s">
        <v>15</v>
      </c>
      <c r="D1411" s="7" t="str">
        <f>"谭啟灵"</f>
        <v>谭啟灵</v>
      </c>
      <c r="E1411" s="7" t="str">
        <f>"女"</f>
        <v>女</v>
      </c>
    </row>
    <row r="1412" spans="1:5" ht="30" customHeight="1">
      <c r="A1412" s="6">
        <v>1410</v>
      </c>
      <c r="B1412" s="7" t="str">
        <f>"29802021050911071580817"</f>
        <v>29802021050911071580817</v>
      </c>
      <c r="C1412" s="7" t="s">
        <v>15</v>
      </c>
      <c r="D1412" s="7" t="str">
        <f>"林彤彤"</f>
        <v>林彤彤</v>
      </c>
      <c r="E1412" s="7" t="str">
        <f>"女"</f>
        <v>女</v>
      </c>
    </row>
    <row r="1413" spans="1:5" ht="30" customHeight="1">
      <c r="A1413" s="6">
        <v>1411</v>
      </c>
      <c r="B1413" s="7" t="str">
        <f>"29802021050911142580826"</f>
        <v>29802021050911142580826</v>
      </c>
      <c r="C1413" s="7" t="s">
        <v>15</v>
      </c>
      <c r="D1413" s="7" t="str">
        <f>"袁月"</f>
        <v>袁月</v>
      </c>
      <c r="E1413" s="7" t="str">
        <f>"女"</f>
        <v>女</v>
      </c>
    </row>
    <row r="1414" spans="1:5" ht="30" customHeight="1">
      <c r="A1414" s="6">
        <v>1412</v>
      </c>
      <c r="B1414" s="7" t="str">
        <f>"29802021050911264480845"</f>
        <v>29802021050911264480845</v>
      </c>
      <c r="C1414" s="7" t="s">
        <v>15</v>
      </c>
      <c r="D1414" s="7" t="str">
        <f>"俞友建"</f>
        <v>俞友建</v>
      </c>
      <c r="E1414" s="7" t="str">
        <f>"男"</f>
        <v>男</v>
      </c>
    </row>
    <row r="1415" spans="1:5" ht="30" customHeight="1">
      <c r="A1415" s="6">
        <v>1413</v>
      </c>
      <c r="B1415" s="7" t="str">
        <f>"29802021050911334880859"</f>
        <v>29802021050911334880859</v>
      </c>
      <c r="C1415" s="7" t="s">
        <v>15</v>
      </c>
      <c r="D1415" s="7" t="str">
        <f>"吴也"</f>
        <v>吴也</v>
      </c>
      <c r="E1415" s="7" t="str">
        <f>"女"</f>
        <v>女</v>
      </c>
    </row>
    <row r="1416" spans="1:5" ht="30" customHeight="1">
      <c r="A1416" s="6">
        <v>1414</v>
      </c>
      <c r="B1416" s="7" t="str">
        <f>"29802021050911430380879"</f>
        <v>29802021050911430380879</v>
      </c>
      <c r="C1416" s="7" t="s">
        <v>15</v>
      </c>
      <c r="D1416" s="7" t="str">
        <f>"陈静"</f>
        <v>陈静</v>
      </c>
      <c r="E1416" s="7" t="str">
        <f>"女"</f>
        <v>女</v>
      </c>
    </row>
    <row r="1417" spans="1:5" ht="30" customHeight="1">
      <c r="A1417" s="6">
        <v>1415</v>
      </c>
      <c r="B1417" s="7" t="str">
        <f>"29802021050912335680953"</f>
        <v>29802021050912335680953</v>
      </c>
      <c r="C1417" s="7" t="s">
        <v>15</v>
      </c>
      <c r="D1417" s="7" t="str">
        <f>"张志鹏"</f>
        <v>张志鹏</v>
      </c>
      <c r="E1417" s="7" t="str">
        <f>"男"</f>
        <v>男</v>
      </c>
    </row>
    <row r="1418" spans="1:5" ht="30" customHeight="1">
      <c r="A1418" s="6">
        <v>1416</v>
      </c>
      <c r="B1418" s="7" t="str">
        <f>"29802021050912385080963"</f>
        <v>29802021050912385080963</v>
      </c>
      <c r="C1418" s="7" t="s">
        <v>15</v>
      </c>
      <c r="D1418" s="7" t="str">
        <f>"吴钟鹤"</f>
        <v>吴钟鹤</v>
      </c>
      <c r="E1418" s="7" t="str">
        <f>"男"</f>
        <v>男</v>
      </c>
    </row>
    <row r="1419" spans="1:5" ht="30" customHeight="1">
      <c r="A1419" s="6">
        <v>1417</v>
      </c>
      <c r="B1419" s="7" t="str">
        <f>"29802021050913285681049"</f>
        <v>29802021050913285681049</v>
      </c>
      <c r="C1419" s="7" t="s">
        <v>15</v>
      </c>
      <c r="D1419" s="7" t="str">
        <f>"张宏"</f>
        <v>张宏</v>
      </c>
      <c r="E1419" s="7" t="str">
        <f>"男"</f>
        <v>男</v>
      </c>
    </row>
    <row r="1420" spans="1:5" ht="30" customHeight="1">
      <c r="A1420" s="6">
        <v>1418</v>
      </c>
      <c r="B1420" s="7" t="str">
        <f>"29802021050914044681090"</f>
        <v>29802021050914044681090</v>
      </c>
      <c r="C1420" s="7" t="s">
        <v>15</v>
      </c>
      <c r="D1420" s="7" t="str">
        <f>"黄乃婷"</f>
        <v>黄乃婷</v>
      </c>
      <c r="E1420" s="7" t="str">
        <f>"女"</f>
        <v>女</v>
      </c>
    </row>
    <row r="1421" spans="1:5" ht="30" customHeight="1">
      <c r="A1421" s="6">
        <v>1419</v>
      </c>
      <c r="B1421" s="7" t="str">
        <f>"29802021050914061581094"</f>
        <v>29802021050914061581094</v>
      </c>
      <c r="C1421" s="7" t="s">
        <v>15</v>
      </c>
      <c r="D1421" s="7" t="str">
        <f>"张少妹"</f>
        <v>张少妹</v>
      </c>
      <c r="E1421" s="7" t="str">
        <f>"女"</f>
        <v>女</v>
      </c>
    </row>
    <row r="1422" spans="1:5" ht="30" customHeight="1">
      <c r="A1422" s="6">
        <v>1420</v>
      </c>
      <c r="B1422" s="7" t="str">
        <f>"29802021050914451281152"</f>
        <v>29802021050914451281152</v>
      </c>
      <c r="C1422" s="7" t="s">
        <v>15</v>
      </c>
      <c r="D1422" s="7" t="str">
        <f>"陈晓鹏"</f>
        <v>陈晓鹏</v>
      </c>
      <c r="E1422" s="7" t="str">
        <f>"男"</f>
        <v>男</v>
      </c>
    </row>
    <row r="1423" spans="1:5" ht="30" customHeight="1">
      <c r="A1423" s="6">
        <v>1421</v>
      </c>
      <c r="B1423" s="7" t="str">
        <f>"29802021050914510981165"</f>
        <v>29802021050914510981165</v>
      </c>
      <c r="C1423" s="7" t="s">
        <v>15</v>
      </c>
      <c r="D1423" s="7" t="str">
        <f>"郑秋敏"</f>
        <v>郑秋敏</v>
      </c>
      <c r="E1423" s="7" t="str">
        <f>"女"</f>
        <v>女</v>
      </c>
    </row>
    <row r="1424" spans="1:5" ht="30" customHeight="1">
      <c r="A1424" s="6">
        <v>1422</v>
      </c>
      <c r="B1424" s="7" t="str">
        <f>"29802021050915272281212"</f>
        <v>29802021050915272281212</v>
      </c>
      <c r="C1424" s="7" t="s">
        <v>15</v>
      </c>
      <c r="D1424" s="7" t="str">
        <f>"罗梅"</f>
        <v>罗梅</v>
      </c>
      <c r="E1424" s="7" t="str">
        <f>"女"</f>
        <v>女</v>
      </c>
    </row>
    <row r="1425" spans="1:5" ht="30" customHeight="1">
      <c r="A1425" s="6">
        <v>1423</v>
      </c>
      <c r="B1425" s="7" t="str">
        <f>"29802021050915321681223"</f>
        <v>29802021050915321681223</v>
      </c>
      <c r="C1425" s="7" t="s">
        <v>15</v>
      </c>
      <c r="D1425" s="7" t="str">
        <f>"文春劲"</f>
        <v>文春劲</v>
      </c>
      <c r="E1425" s="7" t="str">
        <f>"女"</f>
        <v>女</v>
      </c>
    </row>
    <row r="1426" spans="1:5" ht="30" customHeight="1">
      <c r="A1426" s="6">
        <v>1424</v>
      </c>
      <c r="B1426" s="7" t="str">
        <f>"29802021050915483981254"</f>
        <v>29802021050915483981254</v>
      </c>
      <c r="C1426" s="7" t="s">
        <v>15</v>
      </c>
      <c r="D1426" s="7" t="str">
        <f>"符造婷"</f>
        <v>符造婷</v>
      </c>
      <c r="E1426" s="7" t="str">
        <f>"女"</f>
        <v>女</v>
      </c>
    </row>
    <row r="1427" spans="1:5" ht="30" customHeight="1">
      <c r="A1427" s="6">
        <v>1425</v>
      </c>
      <c r="B1427" s="7" t="str">
        <f>"29802021050916153381310"</f>
        <v>29802021050916153381310</v>
      </c>
      <c r="C1427" s="7" t="s">
        <v>15</v>
      </c>
      <c r="D1427" s="7" t="str">
        <f>"陈梦琳"</f>
        <v>陈梦琳</v>
      </c>
      <c r="E1427" s="7" t="str">
        <f>"女"</f>
        <v>女</v>
      </c>
    </row>
    <row r="1428" spans="1:5" ht="30" customHeight="1">
      <c r="A1428" s="6">
        <v>1426</v>
      </c>
      <c r="B1428" s="7" t="str">
        <f>"29802021050916391481362"</f>
        <v>29802021050916391481362</v>
      </c>
      <c r="C1428" s="7" t="s">
        <v>15</v>
      </c>
      <c r="D1428" s="7" t="str">
        <f>"陈小弟"</f>
        <v>陈小弟</v>
      </c>
      <c r="E1428" s="7" t="str">
        <f>"男"</f>
        <v>男</v>
      </c>
    </row>
    <row r="1429" spans="1:5" ht="30" customHeight="1">
      <c r="A1429" s="6">
        <v>1427</v>
      </c>
      <c r="B1429" s="7" t="str">
        <f>"29802021050917001481403"</f>
        <v>29802021050917001481403</v>
      </c>
      <c r="C1429" s="7" t="s">
        <v>15</v>
      </c>
      <c r="D1429" s="7" t="str">
        <f>"叶文妹"</f>
        <v>叶文妹</v>
      </c>
      <c r="E1429" s="7" t="str">
        <f>"女"</f>
        <v>女</v>
      </c>
    </row>
    <row r="1430" spans="1:5" ht="30" customHeight="1">
      <c r="A1430" s="6">
        <v>1428</v>
      </c>
      <c r="B1430" s="7" t="str">
        <f>"29802021050917063481420"</f>
        <v>29802021050917063481420</v>
      </c>
      <c r="C1430" s="7" t="s">
        <v>15</v>
      </c>
      <c r="D1430" s="7" t="str">
        <f>"蔡建聪"</f>
        <v>蔡建聪</v>
      </c>
      <c r="E1430" s="7" t="str">
        <f>"男"</f>
        <v>男</v>
      </c>
    </row>
    <row r="1431" spans="1:5" ht="30" customHeight="1">
      <c r="A1431" s="6">
        <v>1429</v>
      </c>
      <c r="B1431" s="7" t="str">
        <f>"29802021050917285481476"</f>
        <v>29802021050917285481476</v>
      </c>
      <c r="C1431" s="7" t="s">
        <v>15</v>
      </c>
      <c r="D1431" s="7" t="str">
        <f>"李冬梅"</f>
        <v>李冬梅</v>
      </c>
      <c r="E1431" s="7" t="str">
        <f aca="true" t="shared" si="64" ref="E1431:E1449">"女"</f>
        <v>女</v>
      </c>
    </row>
    <row r="1432" spans="1:5" ht="30" customHeight="1">
      <c r="A1432" s="6">
        <v>1430</v>
      </c>
      <c r="B1432" s="7" t="str">
        <f>"29802021050917302781479"</f>
        <v>29802021050917302781479</v>
      </c>
      <c r="C1432" s="7" t="s">
        <v>15</v>
      </c>
      <c r="D1432" s="7" t="str">
        <f>"肖小妹"</f>
        <v>肖小妹</v>
      </c>
      <c r="E1432" s="7" t="str">
        <f t="shared" si="64"/>
        <v>女</v>
      </c>
    </row>
    <row r="1433" spans="1:5" ht="30" customHeight="1">
      <c r="A1433" s="6">
        <v>1431</v>
      </c>
      <c r="B1433" s="7" t="str">
        <f>"29802021050917380881498"</f>
        <v>29802021050917380881498</v>
      </c>
      <c r="C1433" s="7" t="s">
        <v>15</v>
      </c>
      <c r="D1433" s="7" t="str">
        <f>"陈娃妃"</f>
        <v>陈娃妃</v>
      </c>
      <c r="E1433" s="7" t="str">
        <f t="shared" si="64"/>
        <v>女</v>
      </c>
    </row>
    <row r="1434" spans="1:5" ht="30" customHeight="1">
      <c r="A1434" s="6">
        <v>1432</v>
      </c>
      <c r="B1434" s="7" t="str">
        <f>"29802021050917485781521"</f>
        <v>29802021050917485781521</v>
      </c>
      <c r="C1434" s="7" t="s">
        <v>15</v>
      </c>
      <c r="D1434" s="7" t="str">
        <f>"林金帆"</f>
        <v>林金帆</v>
      </c>
      <c r="E1434" s="7" t="str">
        <f t="shared" si="64"/>
        <v>女</v>
      </c>
    </row>
    <row r="1435" spans="1:5" ht="30" customHeight="1">
      <c r="A1435" s="6">
        <v>1433</v>
      </c>
      <c r="B1435" s="7" t="str">
        <f>"29802021050918053881551"</f>
        <v>29802021050918053881551</v>
      </c>
      <c r="C1435" s="7" t="s">
        <v>15</v>
      </c>
      <c r="D1435" s="7" t="str">
        <f>"杨莹"</f>
        <v>杨莹</v>
      </c>
      <c r="E1435" s="7" t="str">
        <f t="shared" si="64"/>
        <v>女</v>
      </c>
    </row>
    <row r="1436" spans="1:5" ht="30" customHeight="1">
      <c r="A1436" s="6">
        <v>1434</v>
      </c>
      <c r="B1436" s="7" t="str">
        <f>"29802021050918203281578"</f>
        <v>29802021050918203281578</v>
      </c>
      <c r="C1436" s="7" t="s">
        <v>15</v>
      </c>
      <c r="D1436" s="7" t="str">
        <f>"陈启兰"</f>
        <v>陈启兰</v>
      </c>
      <c r="E1436" s="7" t="str">
        <f t="shared" si="64"/>
        <v>女</v>
      </c>
    </row>
    <row r="1437" spans="1:5" ht="30" customHeight="1">
      <c r="A1437" s="6">
        <v>1435</v>
      </c>
      <c r="B1437" s="7" t="str">
        <f>"29802021050918380381608"</f>
        <v>29802021050918380381608</v>
      </c>
      <c r="C1437" s="7" t="s">
        <v>15</v>
      </c>
      <c r="D1437" s="7" t="str">
        <f>"吴育蓉"</f>
        <v>吴育蓉</v>
      </c>
      <c r="E1437" s="7" t="str">
        <f t="shared" si="64"/>
        <v>女</v>
      </c>
    </row>
    <row r="1438" spans="1:5" ht="30" customHeight="1">
      <c r="A1438" s="6">
        <v>1436</v>
      </c>
      <c r="B1438" s="7" t="str">
        <f>"29802021050918445581625"</f>
        <v>29802021050918445581625</v>
      </c>
      <c r="C1438" s="7" t="s">
        <v>15</v>
      </c>
      <c r="D1438" s="7" t="str">
        <f>"符岐花"</f>
        <v>符岐花</v>
      </c>
      <c r="E1438" s="7" t="str">
        <f t="shared" si="64"/>
        <v>女</v>
      </c>
    </row>
    <row r="1439" spans="1:5" ht="30" customHeight="1">
      <c r="A1439" s="6">
        <v>1437</v>
      </c>
      <c r="B1439" s="7" t="str">
        <f>"29802021050919011681661"</f>
        <v>29802021050919011681661</v>
      </c>
      <c r="C1439" s="7" t="s">
        <v>15</v>
      </c>
      <c r="D1439" s="7" t="str">
        <f>"卜启敏"</f>
        <v>卜启敏</v>
      </c>
      <c r="E1439" s="7" t="str">
        <f t="shared" si="64"/>
        <v>女</v>
      </c>
    </row>
    <row r="1440" spans="1:5" ht="30" customHeight="1">
      <c r="A1440" s="6">
        <v>1438</v>
      </c>
      <c r="B1440" s="7" t="str">
        <f>"29802021050919105581674"</f>
        <v>29802021050919105581674</v>
      </c>
      <c r="C1440" s="7" t="s">
        <v>15</v>
      </c>
      <c r="D1440" s="7" t="str">
        <f>"李敏"</f>
        <v>李敏</v>
      </c>
      <c r="E1440" s="7" t="str">
        <f t="shared" si="64"/>
        <v>女</v>
      </c>
    </row>
    <row r="1441" spans="1:5" ht="30" customHeight="1">
      <c r="A1441" s="6">
        <v>1439</v>
      </c>
      <c r="B1441" s="7" t="str">
        <f>"29802021050919483181742"</f>
        <v>29802021050919483181742</v>
      </c>
      <c r="C1441" s="7" t="s">
        <v>15</v>
      </c>
      <c r="D1441" s="7" t="str">
        <f>"陈芬"</f>
        <v>陈芬</v>
      </c>
      <c r="E1441" s="7" t="str">
        <f t="shared" si="64"/>
        <v>女</v>
      </c>
    </row>
    <row r="1442" spans="1:5" ht="30" customHeight="1">
      <c r="A1442" s="6">
        <v>1440</v>
      </c>
      <c r="B1442" s="7" t="str">
        <f>"29802021050919582981755"</f>
        <v>29802021050919582981755</v>
      </c>
      <c r="C1442" s="7" t="s">
        <v>15</v>
      </c>
      <c r="D1442" s="7" t="str">
        <f>"顾春艳"</f>
        <v>顾春艳</v>
      </c>
      <c r="E1442" s="7" t="str">
        <f t="shared" si="64"/>
        <v>女</v>
      </c>
    </row>
    <row r="1443" spans="1:5" ht="30" customHeight="1">
      <c r="A1443" s="6">
        <v>1441</v>
      </c>
      <c r="B1443" s="7" t="str">
        <f>"29802021050920164981789"</f>
        <v>29802021050920164981789</v>
      </c>
      <c r="C1443" s="7" t="s">
        <v>15</v>
      </c>
      <c r="D1443" s="7" t="str">
        <f>"吴珍"</f>
        <v>吴珍</v>
      </c>
      <c r="E1443" s="7" t="str">
        <f t="shared" si="64"/>
        <v>女</v>
      </c>
    </row>
    <row r="1444" spans="1:5" ht="30" customHeight="1">
      <c r="A1444" s="6">
        <v>1442</v>
      </c>
      <c r="B1444" s="7" t="str">
        <f>"29802021050920181181792"</f>
        <v>29802021050920181181792</v>
      </c>
      <c r="C1444" s="7" t="s">
        <v>15</v>
      </c>
      <c r="D1444" s="7" t="str">
        <f>"张云芳"</f>
        <v>张云芳</v>
      </c>
      <c r="E1444" s="7" t="str">
        <f t="shared" si="64"/>
        <v>女</v>
      </c>
    </row>
    <row r="1445" spans="1:5" ht="30" customHeight="1">
      <c r="A1445" s="6">
        <v>1443</v>
      </c>
      <c r="B1445" s="7" t="str">
        <f>"29802021050920221181801"</f>
        <v>29802021050920221181801</v>
      </c>
      <c r="C1445" s="7" t="s">
        <v>15</v>
      </c>
      <c r="D1445" s="7" t="str">
        <f>"吴秋但"</f>
        <v>吴秋但</v>
      </c>
      <c r="E1445" s="7" t="str">
        <f t="shared" si="64"/>
        <v>女</v>
      </c>
    </row>
    <row r="1446" spans="1:5" ht="30" customHeight="1">
      <c r="A1446" s="6">
        <v>1444</v>
      </c>
      <c r="B1446" s="7" t="str">
        <f>"29802021050920372681839"</f>
        <v>29802021050920372681839</v>
      </c>
      <c r="C1446" s="7" t="s">
        <v>15</v>
      </c>
      <c r="D1446" s="7" t="str">
        <f>"陈送玲"</f>
        <v>陈送玲</v>
      </c>
      <c r="E1446" s="7" t="str">
        <f t="shared" si="64"/>
        <v>女</v>
      </c>
    </row>
    <row r="1447" spans="1:5" ht="30" customHeight="1">
      <c r="A1447" s="6">
        <v>1445</v>
      </c>
      <c r="B1447" s="7" t="str">
        <f>"29802021050920393981845"</f>
        <v>29802021050920393981845</v>
      </c>
      <c r="C1447" s="7" t="s">
        <v>15</v>
      </c>
      <c r="D1447" s="7" t="str">
        <f>"陈垂宽"</f>
        <v>陈垂宽</v>
      </c>
      <c r="E1447" s="7" t="str">
        <f t="shared" si="64"/>
        <v>女</v>
      </c>
    </row>
    <row r="1448" spans="1:5" ht="30" customHeight="1">
      <c r="A1448" s="6">
        <v>1446</v>
      </c>
      <c r="B1448" s="7" t="str">
        <f>"29802021050920574381890"</f>
        <v>29802021050920574381890</v>
      </c>
      <c r="C1448" s="7" t="s">
        <v>15</v>
      </c>
      <c r="D1448" s="7" t="str">
        <f>"傅圆圆"</f>
        <v>傅圆圆</v>
      </c>
      <c r="E1448" s="7" t="str">
        <f t="shared" si="64"/>
        <v>女</v>
      </c>
    </row>
    <row r="1449" spans="1:5" ht="30" customHeight="1">
      <c r="A1449" s="6">
        <v>1447</v>
      </c>
      <c r="B1449" s="7" t="str">
        <f>"29802021050921451382009"</f>
        <v>29802021050921451382009</v>
      </c>
      <c r="C1449" s="7" t="s">
        <v>15</v>
      </c>
      <c r="D1449" s="7" t="str">
        <f>"黄火娜"</f>
        <v>黄火娜</v>
      </c>
      <c r="E1449" s="7" t="str">
        <f t="shared" si="64"/>
        <v>女</v>
      </c>
    </row>
    <row r="1450" spans="1:5" ht="30" customHeight="1">
      <c r="A1450" s="6">
        <v>1448</v>
      </c>
      <c r="B1450" s="7" t="str">
        <f>"29802021050921515882028"</f>
        <v>29802021050921515882028</v>
      </c>
      <c r="C1450" s="7" t="s">
        <v>15</v>
      </c>
      <c r="D1450" s="7" t="str">
        <f>"许书跃"</f>
        <v>许书跃</v>
      </c>
      <c r="E1450" s="7" t="str">
        <f>"男"</f>
        <v>男</v>
      </c>
    </row>
    <row r="1451" spans="1:5" ht="30" customHeight="1">
      <c r="A1451" s="6">
        <v>1449</v>
      </c>
      <c r="B1451" s="7" t="str">
        <f>"29802021050921595882052"</f>
        <v>29802021050921595882052</v>
      </c>
      <c r="C1451" s="7" t="s">
        <v>15</v>
      </c>
      <c r="D1451" s="7" t="str">
        <f>"符凤香"</f>
        <v>符凤香</v>
      </c>
      <c r="E1451" s="7" t="str">
        <f aca="true" t="shared" si="65" ref="E1451:E1457">"女"</f>
        <v>女</v>
      </c>
    </row>
    <row r="1452" spans="1:5" ht="30" customHeight="1">
      <c r="A1452" s="6">
        <v>1450</v>
      </c>
      <c r="B1452" s="7" t="str">
        <f>"29802021050922091882073"</f>
        <v>29802021050922091882073</v>
      </c>
      <c r="C1452" s="7" t="s">
        <v>15</v>
      </c>
      <c r="D1452" s="7" t="str">
        <f>"周娇慧"</f>
        <v>周娇慧</v>
      </c>
      <c r="E1452" s="7" t="str">
        <f t="shared" si="65"/>
        <v>女</v>
      </c>
    </row>
    <row r="1453" spans="1:5" ht="30" customHeight="1">
      <c r="A1453" s="6">
        <v>1451</v>
      </c>
      <c r="B1453" s="7" t="str">
        <f>"29802021050922272782124"</f>
        <v>29802021050922272782124</v>
      </c>
      <c r="C1453" s="7" t="s">
        <v>15</v>
      </c>
      <c r="D1453" s="7" t="str">
        <f>"黎日爱"</f>
        <v>黎日爱</v>
      </c>
      <c r="E1453" s="7" t="str">
        <f t="shared" si="65"/>
        <v>女</v>
      </c>
    </row>
    <row r="1454" spans="1:5" ht="30" customHeight="1">
      <c r="A1454" s="6">
        <v>1452</v>
      </c>
      <c r="B1454" s="7" t="str">
        <f>"29802021050922490882172"</f>
        <v>29802021050922490882172</v>
      </c>
      <c r="C1454" s="7" t="s">
        <v>15</v>
      </c>
      <c r="D1454" s="7" t="str">
        <f>"周冬雪"</f>
        <v>周冬雪</v>
      </c>
      <c r="E1454" s="7" t="str">
        <f t="shared" si="65"/>
        <v>女</v>
      </c>
    </row>
    <row r="1455" spans="1:5" ht="30" customHeight="1">
      <c r="A1455" s="6">
        <v>1453</v>
      </c>
      <c r="B1455" s="7" t="str">
        <f>"29802021050923155282227"</f>
        <v>29802021050923155282227</v>
      </c>
      <c r="C1455" s="7" t="s">
        <v>15</v>
      </c>
      <c r="D1455" s="7" t="str">
        <f>"梁年华"</f>
        <v>梁年华</v>
      </c>
      <c r="E1455" s="7" t="str">
        <f t="shared" si="65"/>
        <v>女</v>
      </c>
    </row>
    <row r="1456" spans="1:5" ht="30" customHeight="1">
      <c r="A1456" s="6">
        <v>1454</v>
      </c>
      <c r="B1456" s="7" t="str">
        <f>"29802021050923203382232"</f>
        <v>29802021050923203382232</v>
      </c>
      <c r="C1456" s="7" t="s">
        <v>15</v>
      </c>
      <c r="D1456" s="7" t="str">
        <f>"王瑜"</f>
        <v>王瑜</v>
      </c>
      <c r="E1456" s="7" t="str">
        <f t="shared" si="65"/>
        <v>女</v>
      </c>
    </row>
    <row r="1457" spans="1:5" ht="30" customHeight="1">
      <c r="A1457" s="6">
        <v>1455</v>
      </c>
      <c r="B1457" s="7" t="str">
        <f>"29802021051006521982343"</f>
        <v>29802021051006521982343</v>
      </c>
      <c r="C1457" s="7" t="s">
        <v>15</v>
      </c>
      <c r="D1457" s="7" t="str">
        <f>"符彩虹"</f>
        <v>符彩虹</v>
      </c>
      <c r="E1457" s="7" t="str">
        <f t="shared" si="65"/>
        <v>女</v>
      </c>
    </row>
    <row r="1458" spans="1:5" ht="30" customHeight="1">
      <c r="A1458" s="6">
        <v>1456</v>
      </c>
      <c r="B1458" s="7" t="str">
        <f>"29802021051007441482370"</f>
        <v>29802021051007441482370</v>
      </c>
      <c r="C1458" s="7" t="s">
        <v>15</v>
      </c>
      <c r="D1458" s="7" t="str">
        <f>"周高涵"</f>
        <v>周高涵</v>
      </c>
      <c r="E1458" s="7" t="str">
        <f>"男"</f>
        <v>男</v>
      </c>
    </row>
    <row r="1459" spans="1:5" ht="30" customHeight="1">
      <c r="A1459" s="6">
        <v>1457</v>
      </c>
      <c r="B1459" s="7" t="str">
        <f>"29802021051008085782417"</f>
        <v>29802021051008085782417</v>
      </c>
      <c r="C1459" s="7" t="s">
        <v>15</v>
      </c>
      <c r="D1459" s="7" t="str">
        <f>"邓慧"</f>
        <v>邓慧</v>
      </c>
      <c r="E1459" s="7" t="str">
        <f>"女"</f>
        <v>女</v>
      </c>
    </row>
    <row r="1460" spans="1:5" ht="30" customHeight="1">
      <c r="A1460" s="6">
        <v>1458</v>
      </c>
      <c r="B1460" s="7" t="str">
        <f>"29802021051008275982492"</f>
        <v>29802021051008275982492</v>
      </c>
      <c r="C1460" s="7" t="s">
        <v>15</v>
      </c>
      <c r="D1460" s="7" t="str">
        <f>"陈雄"</f>
        <v>陈雄</v>
      </c>
      <c r="E1460" s="7" t="str">
        <f>"男"</f>
        <v>男</v>
      </c>
    </row>
    <row r="1461" spans="1:5" ht="30" customHeight="1">
      <c r="A1461" s="6">
        <v>1459</v>
      </c>
      <c r="B1461" s="7" t="str">
        <f>"29802021051008323882521"</f>
        <v>29802021051008323882521</v>
      </c>
      <c r="C1461" s="7" t="s">
        <v>15</v>
      </c>
      <c r="D1461" s="7" t="str">
        <f>"吴培君"</f>
        <v>吴培君</v>
      </c>
      <c r="E1461" s="7" t="str">
        <f>"男"</f>
        <v>男</v>
      </c>
    </row>
    <row r="1462" spans="1:5" ht="30" customHeight="1">
      <c r="A1462" s="6">
        <v>1460</v>
      </c>
      <c r="B1462" s="7" t="str">
        <f>"29802021051008531182662"</f>
        <v>29802021051008531182662</v>
      </c>
      <c r="C1462" s="7" t="s">
        <v>15</v>
      </c>
      <c r="D1462" s="7" t="str">
        <f>"施灵铃"</f>
        <v>施灵铃</v>
      </c>
      <c r="E1462" s="7" t="str">
        <f aca="true" t="shared" si="66" ref="E1462:E1474">"女"</f>
        <v>女</v>
      </c>
    </row>
    <row r="1463" spans="1:5" ht="30" customHeight="1">
      <c r="A1463" s="6">
        <v>1461</v>
      </c>
      <c r="B1463" s="7" t="str">
        <f>"29802021051008545682671"</f>
        <v>29802021051008545682671</v>
      </c>
      <c r="C1463" s="7" t="s">
        <v>15</v>
      </c>
      <c r="D1463" s="7" t="str">
        <f>"郑艺萱"</f>
        <v>郑艺萱</v>
      </c>
      <c r="E1463" s="7" t="str">
        <f t="shared" si="66"/>
        <v>女</v>
      </c>
    </row>
    <row r="1464" spans="1:5" ht="30" customHeight="1">
      <c r="A1464" s="6">
        <v>1462</v>
      </c>
      <c r="B1464" s="7" t="str">
        <f>"29802021051009220083006"</f>
        <v>29802021051009220083006</v>
      </c>
      <c r="C1464" s="7" t="s">
        <v>15</v>
      </c>
      <c r="D1464" s="7" t="str">
        <f>"罗文晴"</f>
        <v>罗文晴</v>
      </c>
      <c r="E1464" s="7" t="str">
        <f t="shared" si="66"/>
        <v>女</v>
      </c>
    </row>
    <row r="1465" spans="1:5" ht="30" customHeight="1">
      <c r="A1465" s="6">
        <v>1463</v>
      </c>
      <c r="B1465" s="7" t="str">
        <f>"29802021051009241783033"</f>
        <v>29802021051009241783033</v>
      </c>
      <c r="C1465" s="7" t="s">
        <v>15</v>
      </c>
      <c r="D1465" s="7" t="str">
        <f>"黎丽丽"</f>
        <v>黎丽丽</v>
      </c>
      <c r="E1465" s="7" t="str">
        <f t="shared" si="66"/>
        <v>女</v>
      </c>
    </row>
    <row r="1466" spans="1:5" ht="30" customHeight="1">
      <c r="A1466" s="6">
        <v>1464</v>
      </c>
      <c r="B1466" s="7" t="str">
        <f>"29802021051009314183111"</f>
        <v>29802021051009314183111</v>
      </c>
      <c r="C1466" s="7" t="s">
        <v>15</v>
      </c>
      <c r="D1466" s="7" t="str">
        <f>"苏晓露"</f>
        <v>苏晓露</v>
      </c>
      <c r="E1466" s="7" t="str">
        <f t="shared" si="66"/>
        <v>女</v>
      </c>
    </row>
    <row r="1467" spans="1:5" ht="30" customHeight="1">
      <c r="A1467" s="6">
        <v>1465</v>
      </c>
      <c r="B1467" s="7" t="str">
        <f>"29802021051009510083303"</f>
        <v>29802021051009510083303</v>
      </c>
      <c r="C1467" s="7" t="s">
        <v>15</v>
      </c>
      <c r="D1467" s="7" t="str">
        <f>"文成迈"</f>
        <v>文成迈</v>
      </c>
      <c r="E1467" s="7" t="str">
        <f t="shared" si="66"/>
        <v>女</v>
      </c>
    </row>
    <row r="1468" spans="1:5" ht="30" customHeight="1">
      <c r="A1468" s="6">
        <v>1466</v>
      </c>
      <c r="B1468" s="7" t="str">
        <f>"29802021051009535683336"</f>
        <v>29802021051009535683336</v>
      </c>
      <c r="C1468" s="7" t="s">
        <v>15</v>
      </c>
      <c r="D1468" s="7" t="str">
        <f>"袁美玲"</f>
        <v>袁美玲</v>
      </c>
      <c r="E1468" s="7" t="str">
        <f t="shared" si="66"/>
        <v>女</v>
      </c>
    </row>
    <row r="1469" spans="1:5" ht="30" customHeight="1">
      <c r="A1469" s="6">
        <v>1467</v>
      </c>
      <c r="B1469" s="7" t="str">
        <f>"29802021051009592683388"</f>
        <v>29802021051009592683388</v>
      </c>
      <c r="C1469" s="7" t="s">
        <v>15</v>
      </c>
      <c r="D1469" s="7" t="str">
        <f>"羊高联"</f>
        <v>羊高联</v>
      </c>
      <c r="E1469" s="7" t="str">
        <f t="shared" si="66"/>
        <v>女</v>
      </c>
    </row>
    <row r="1470" spans="1:5" ht="30" customHeight="1">
      <c r="A1470" s="6">
        <v>1468</v>
      </c>
      <c r="B1470" s="7" t="str">
        <f>"29802021051010083683490"</f>
        <v>29802021051010083683490</v>
      </c>
      <c r="C1470" s="7" t="s">
        <v>15</v>
      </c>
      <c r="D1470" s="7" t="str">
        <f>"周美娇"</f>
        <v>周美娇</v>
      </c>
      <c r="E1470" s="7" t="str">
        <f t="shared" si="66"/>
        <v>女</v>
      </c>
    </row>
    <row r="1471" spans="1:5" ht="30" customHeight="1">
      <c r="A1471" s="6">
        <v>1469</v>
      </c>
      <c r="B1471" s="7" t="str">
        <f>"29802021051010101083520"</f>
        <v>29802021051010101083520</v>
      </c>
      <c r="C1471" s="7" t="s">
        <v>15</v>
      </c>
      <c r="D1471" s="7" t="str">
        <f>"谢映川"</f>
        <v>谢映川</v>
      </c>
      <c r="E1471" s="7" t="str">
        <f t="shared" si="66"/>
        <v>女</v>
      </c>
    </row>
    <row r="1472" spans="1:5" ht="30" customHeight="1">
      <c r="A1472" s="6">
        <v>1470</v>
      </c>
      <c r="B1472" s="7" t="str">
        <f>"29802021051010151783595"</f>
        <v>29802021051010151783595</v>
      </c>
      <c r="C1472" s="7" t="s">
        <v>15</v>
      </c>
      <c r="D1472" s="7" t="str">
        <f>"蔡树娇"</f>
        <v>蔡树娇</v>
      </c>
      <c r="E1472" s="7" t="str">
        <f t="shared" si="66"/>
        <v>女</v>
      </c>
    </row>
    <row r="1473" spans="1:5" ht="30" customHeight="1">
      <c r="A1473" s="6">
        <v>1471</v>
      </c>
      <c r="B1473" s="7" t="str">
        <f>"29802021051010165283620"</f>
        <v>29802021051010165283620</v>
      </c>
      <c r="C1473" s="7" t="s">
        <v>15</v>
      </c>
      <c r="D1473" s="7" t="str">
        <f>"陈红杏"</f>
        <v>陈红杏</v>
      </c>
      <c r="E1473" s="7" t="str">
        <f t="shared" si="66"/>
        <v>女</v>
      </c>
    </row>
    <row r="1474" spans="1:5" ht="30" customHeight="1">
      <c r="A1474" s="6">
        <v>1472</v>
      </c>
      <c r="B1474" s="7" t="str">
        <f>"29802021051010222683701"</f>
        <v>29802021051010222683701</v>
      </c>
      <c r="C1474" s="7" t="s">
        <v>15</v>
      </c>
      <c r="D1474" s="7" t="str">
        <f>"陈少霞"</f>
        <v>陈少霞</v>
      </c>
      <c r="E1474" s="7" t="str">
        <f t="shared" si="66"/>
        <v>女</v>
      </c>
    </row>
    <row r="1475" spans="1:5" ht="30" customHeight="1">
      <c r="A1475" s="6">
        <v>1473</v>
      </c>
      <c r="B1475" s="7" t="str">
        <f>"29802021051010252383745"</f>
        <v>29802021051010252383745</v>
      </c>
      <c r="C1475" s="7" t="s">
        <v>15</v>
      </c>
      <c r="D1475" s="7" t="str">
        <f>"蔡威斯"</f>
        <v>蔡威斯</v>
      </c>
      <c r="E1475" s="7" t="str">
        <f>"男"</f>
        <v>男</v>
      </c>
    </row>
    <row r="1476" spans="1:5" ht="30" customHeight="1">
      <c r="A1476" s="6">
        <v>1474</v>
      </c>
      <c r="B1476" s="7" t="str">
        <f>"29802021051010285883782"</f>
        <v>29802021051010285883782</v>
      </c>
      <c r="C1476" s="7" t="s">
        <v>15</v>
      </c>
      <c r="D1476" s="7" t="str">
        <f>"张小妹"</f>
        <v>张小妹</v>
      </c>
      <c r="E1476" s="7" t="str">
        <f aca="true" t="shared" si="67" ref="E1476:E1484">"女"</f>
        <v>女</v>
      </c>
    </row>
    <row r="1477" spans="1:5" ht="30" customHeight="1">
      <c r="A1477" s="6">
        <v>1475</v>
      </c>
      <c r="B1477" s="7" t="str">
        <f>"29802021051010292283783"</f>
        <v>29802021051010292283783</v>
      </c>
      <c r="C1477" s="7" t="s">
        <v>15</v>
      </c>
      <c r="D1477" s="7" t="str">
        <f>"李美楼"</f>
        <v>李美楼</v>
      </c>
      <c r="E1477" s="7" t="str">
        <f t="shared" si="67"/>
        <v>女</v>
      </c>
    </row>
    <row r="1478" spans="1:5" ht="30" customHeight="1">
      <c r="A1478" s="6">
        <v>1476</v>
      </c>
      <c r="B1478" s="7" t="str">
        <f>"29802021051010301083797"</f>
        <v>29802021051010301083797</v>
      </c>
      <c r="C1478" s="7" t="s">
        <v>15</v>
      </c>
      <c r="D1478" s="7" t="str">
        <f>"苏光日"</f>
        <v>苏光日</v>
      </c>
      <c r="E1478" s="7" t="str">
        <f t="shared" si="67"/>
        <v>女</v>
      </c>
    </row>
    <row r="1479" spans="1:5" ht="30" customHeight="1">
      <c r="A1479" s="6">
        <v>1477</v>
      </c>
      <c r="B1479" s="7" t="str">
        <f>"29802021051010310683810"</f>
        <v>29802021051010310683810</v>
      </c>
      <c r="C1479" s="7" t="s">
        <v>15</v>
      </c>
      <c r="D1479" s="7" t="str">
        <f>"徐新华"</f>
        <v>徐新华</v>
      </c>
      <c r="E1479" s="7" t="str">
        <f t="shared" si="67"/>
        <v>女</v>
      </c>
    </row>
    <row r="1480" spans="1:5" ht="30" customHeight="1">
      <c r="A1480" s="6">
        <v>1478</v>
      </c>
      <c r="B1480" s="7" t="str">
        <f>"29802021051010325983836"</f>
        <v>29802021051010325983836</v>
      </c>
      <c r="C1480" s="7" t="s">
        <v>15</v>
      </c>
      <c r="D1480" s="7" t="str">
        <f>"袁碧波"</f>
        <v>袁碧波</v>
      </c>
      <c r="E1480" s="7" t="str">
        <f t="shared" si="67"/>
        <v>女</v>
      </c>
    </row>
    <row r="1481" spans="1:5" ht="30" customHeight="1">
      <c r="A1481" s="6">
        <v>1479</v>
      </c>
      <c r="B1481" s="7" t="str">
        <f>"29802021051010351383860"</f>
        <v>29802021051010351383860</v>
      </c>
      <c r="C1481" s="7" t="s">
        <v>15</v>
      </c>
      <c r="D1481" s="7" t="str">
        <f>"符秋丽"</f>
        <v>符秋丽</v>
      </c>
      <c r="E1481" s="7" t="str">
        <f t="shared" si="67"/>
        <v>女</v>
      </c>
    </row>
    <row r="1482" spans="1:5" ht="30" customHeight="1">
      <c r="A1482" s="6">
        <v>1480</v>
      </c>
      <c r="B1482" s="7" t="str">
        <f>"29802021051010371083884"</f>
        <v>29802021051010371083884</v>
      </c>
      <c r="C1482" s="7" t="s">
        <v>15</v>
      </c>
      <c r="D1482" s="7" t="str">
        <f>"李秋琴"</f>
        <v>李秋琴</v>
      </c>
      <c r="E1482" s="7" t="str">
        <f t="shared" si="67"/>
        <v>女</v>
      </c>
    </row>
    <row r="1483" spans="1:5" ht="30" customHeight="1">
      <c r="A1483" s="6">
        <v>1481</v>
      </c>
      <c r="B1483" s="7" t="str">
        <f>"29802021051010415283934"</f>
        <v>29802021051010415283934</v>
      </c>
      <c r="C1483" s="7" t="s">
        <v>15</v>
      </c>
      <c r="D1483" s="7" t="str">
        <f>"黄惠"</f>
        <v>黄惠</v>
      </c>
      <c r="E1483" s="7" t="str">
        <f t="shared" si="67"/>
        <v>女</v>
      </c>
    </row>
    <row r="1484" spans="1:5" ht="30" customHeight="1">
      <c r="A1484" s="6">
        <v>1482</v>
      </c>
      <c r="B1484" s="7" t="str">
        <f>"29802021051010512584045"</f>
        <v>29802021051010512584045</v>
      </c>
      <c r="C1484" s="7" t="s">
        <v>15</v>
      </c>
      <c r="D1484" s="7" t="str">
        <f>"王海丽"</f>
        <v>王海丽</v>
      </c>
      <c r="E1484" s="7" t="str">
        <f t="shared" si="67"/>
        <v>女</v>
      </c>
    </row>
    <row r="1485" spans="1:5" ht="30" customHeight="1">
      <c r="A1485" s="6">
        <v>1483</v>
      </c>
      <c r="B1485" s="7" t="str">
        <f>"29802021051010592584115"</f>
        <v>29802021051010592584115</v>
      </c>
      <c r="C1485" s="7" t="s">
        <v>15</v>
      </c>
      <c r="D1485" s="7" t="str">
        <f>"谭金华"</f>
        <v>谭金华</v>
      </c>
      <c r="E1485" s="7" t="str">
        <f>"男"</f>
        <v>男</v>
      </c>
    </row>
    <row r="1486" spans="1:5" ht="30" customHeight="1">
      <c r="A1486" s="6">
        <v>1484</v>
      </c>
      <c r="B1486" s="7" t="str">
        <f>"29802021051011101684217"</f>
        <v>29802021051011101684217</v>
      </c>
      <c r="C1486" s="7" t="s">
        <v>15</v>
      </c>
      <c r="D1486" s="7" t="str">
        <f>"林秋瑶"</f>
        <v>林秋瑶</v>
      </c>
      <c r="E1486" s="7" t="str">
        <f>"女"</f>
        <v>女</v>
      </c>
    </row>
    <row r="1487" spans="1:5" ht="30" customHeight="1">
      <c r="A1487" s="6">
        <v>1485</v>
      </c>
      <c r="B1487" s="7" t="str">
        <f>"29802021051011112884229"</f>
        <v>29802021051011112884229</v>
      </c>
      <c r="C1487" s="7" t="s">
        <v>15</v>
      </c>
      <c r="D1487" s="7" t="str">
        <f>"夏治勇"</f>
        <v>夏治勇</v>
      </c>
      <c r="E1487" s="7" t="str">
        <f>"男"</f>
        <v>男</v>
      </c>
    </row>
    <row r="1488" spans="1:5" ht="30" customHeight="1">
      <c r="A1488" s="6">
        <v>1486</v>
      </c>
      <c r="B1488" s="7" t="str">
        <f>"29802021051011194884303"</f>
        <v>29802021051011194884303</v>
      </c>
      <c r="C1488" s="7" t="s">
        <v>15</v>
      </c>
      <c r="D1488" s="7" t="str">
        <f>"周聪玲"</f>
        <v>周聪玲</v>
      </c>
      <c r="E1488" s="7" t="str">
        <f aca="true" t="shared" si="68" ref="E1488:E1497">"女"</f>
        <v>女</v>
      </c>
    </row>
    <row r="1489" spans="1:5" ht="30" customHeight="1">
      <c r="A1489" s="6">
        <v>1487</v>
      </c>
      <c r="B1489" s="7" t="str">
        <f>"29802021051011201484311"</f>
        <v>29802021051011201484311</v>
      </c>
      <c r="C1489" s="7" t="s">
        <v>15</v>
      </c>
      <c r="D1489" s="7" t="str">
        <f>"邢金媚"</f>
        <v>邢金媚</v>
      </c>
      <c r="E1489" s="7" t="str">
        <f t="shared" si="68"/>
        <v>女</v>
      </c>
    </row>
    <row r="1490" spans="1:5" ht="30" customHeight="1">
      <c r="A1490" s="6">
        <v>1488</v>
      </c>
      <c r="B1490" s="7" t="str">
        <f>"29802021051011230084330"</f>
        <v>29802021051011230084330</v>
      </c>
      <c r="C1490" s="7" t="s">
        <v>15</v>
      </c>
      <c r="D1490" s="7" t="str">
        <f>"梁菁菁"</f>
        <v>梁菁菁</v>
      </c>
      <c r="E1490" s="7" t="str">
        <f t="shared" si="68"/>
        <v>女</v>
      </c>
    </row>
    <row r="1491" spans="1:5" ht="30" customHeight="1">
      <c r="A1491" s="6">
        <v>1489</v>
      </c>
      <c r="B1491" s="7" t="str">
        <f>"29802021051011271184364"</f>
        <v>29802021051011271184364</v>
      </c>
      <c r="C1491" s="7" t="s">
        <v>15</v>
      </c>
      <c r="D1491" s="7" t="str">
        <f>"羊淑芳"</f>
        <v>羊淑芳</v>
      </c>
      <c r="E1491" s="7" t="str">
        <f t="shared" si="68"/>
        <v>女</v>
      </c>
    </row>
    <row r="1492" spans="1:5" ht="30" customHeight="1">
      <c r="A1492" s="6">
        <v>1490</v>
      </c>
      <c r="B1492" s="7" t="str">
        <f>"29802021051011315184396"</f>
        <v>29802021051011315184396</v>
      </c>
      <c r="C1492" s="7" t="s">
        <v>15</v>
      </c>
      <c r="D1492" s="7" t="str">
        <f>"王雪莉"</f>
        <v>王雪莉</v>
      </c>
      <c r="E1492" s="7" t="str">
        <f t="shared" si="68"/>
        <v>女</v>
      </c>
    </row>
    <row r="1493" spans="1:5" ht="30" customHeight="1">
      <c r="A1493" s="6">
        <v>1491</v>
      </c>
      <c r="B1493" s="7" t="str">
        <f>"29802021051011334284414"</f>
        <v>29802021051011334284414</v>
      </c>
      <c r="C1493" s="7" t="s">
        <v>15</v>
      </c>
      <c r="D1493" s="7" t="str">
        <f>"陈飞雾"</f>
        <v>陈飞雾</v>
      </c>
      <c r="E1493" s="7" t="str">
        <f t="shared" si="68"/>
        <v>女</v>
      </c>
    </row>
    <row r="1494" spans="1:5" ht="30" customHeight="1">
      <c r="A1494" s="6">
        <v>1492</v>
      </c>
      <c r="B1494" s="7" t="str">
        <f>"29802021051011394984459"</f>
        <v>29802021051011394984459</v>
      </c>
      <c r="C1494" s="7" t="s">
        <v>15</v>
      </c>
      <c r="D1494" s="7" t="str">
        <f>"廖远浪"</f>
        <v>廖远浪</v>
      </c>
      <c r="E1494" s="7" t="str">
        <f t="shared" si="68"/>
        <v>女</v>
      </c>
    </row>
    <row r="1495" spans="1:5" ht="30" customHeight="1">
      <c r="A1495" s="6">
        <v>1493</v>
      </c>
      <c r="B1495" s="7" t="str">
        <f>"29802021051011455484498"</f>
        <v>29802021051011455484498</v>
      </c>
      <c r="C1495" s="7" t="s">
        <v>15</v>
      </c>
      <c r="D1495" s="7" t="str">
        <f>"王丽贝"</f>
        <v>王丽贝</v>
      </c>
      <c r="E1495" s="7" t="str">
        <f t="shared" si="68"/>
        <v>女</v>
      </c>
    </row>
    <row r="1496" spans="1:5" ht="30" customHeight="1">
      <c r="A1496" s="6">
        <v>1494</v>
      </c>
      <c r="B1496" s="7" t="str">
        <f>"29802021051011563784545"</f>
        <v>29802021051011563784545</v>
      </c>
      <c r="C1496" s="7" t="s">
        <v>15</v>
      </c>
      <c r="D1496" s="7" t="str">
        <f>"周婆姣"</f>
        <v>周婆姣</v>
      </c>
      <c r="E1496" s="7" t="str">
        <f t="shared" si="68"/>
        <v>女</v>
      </c>
    </row>
    <row r="1497" spans="1:5" ht="30" customHeight="1">
      <c r="A1497" s="6">
        <v>1495</v>
      </c>
      <c r="B1497" s="7" t="str">
        <f>"29802021051012070684606"</f>
        <v>29802021051012070684606</v>
      </c>
      <c r="C1497" s="7" t="s">
        <v>15</v>
      </c>
      <c r="D1497" s="7" t="str">
        <f>"林鑫"</f>
        <v>林鑫</v>
      </c>
      <c r="E1497" s="7" t="str">
        <f t="shared" si="68"/>
        <v>女</v>
      </c>
    </row>
    <row r="1498" spans="1:5" ht="30" customHeight="1">
      <c r="A1498" s="6">
        <v>1496</v>
      </c>
      <c r="B1498" s="7" t="str">
        <f>"29802021051012290184732"</f>
        <v>29802021051012290184732</v>
      </c>
      <c r="C1498" s="7" t="s">
        <v>15</v>
      </c>
      <c r="D1498" s="7" t="str">
        <f>"曾锋"</f>
        <v>曾锋</v>
      </c>
      <c r="E1498" s="7" t="str">
        <f>"男"</f>
        <v>男</v>
      </c>
    </row>
    <row r="1499" spans="1:5" ht="30" customHeight="1">
      <c r="A1499" s="6">
        <v>1497</v>
      </c>
      <c r="B1499" s="7" t="str">
        <f>"29802021051012374184783"</f>
        <v>29802021051012374184783</v>
      </c>
      <c r="C1499" s="7" t="s">
        <v>15</v>
      </c>
      <c r="D1499" s="7" t="str">
        <f>"郭春敏"</f>
        <v>郭春敏</v>
      </c>
      <c r="E1499" s="7" t="str">
        <f>"男"</f>
        <v>男</v>
      </c>
    </row>
    <row r="1500" spans="1:5" ht="30" customHeight="1">
      <c r="A1500" s="6">
        <v>1498</v>
      </c>
      <c r="B1500" s="7" t="str">
        <f>"29802021051012395884801"</f>
        <v>29802021051012395884801</v>
      </c>
      <c r="C1500" s="7" t="s">
        <v>15</v>
      </c>
      <c r="D1500" s="7" t="str">
        <f>"周慧宁"</f>
        <v>周慧宁</v>
      </c>
      <c r="E1500" s="7" t="str">
        <f aca="true" t="shared" si="69" ref="E1500:E1506">"女"</f>
        <v>女</v>
      </c>
    </row>
    <row r="1501" spans="1:5" ht="30" customHeight="1">
      <c r="A1501" s="6">
        <v>1499</v>
      </c>
      <c r="B1501" s="7" t="str">
        <f>"29802021051012431084823"</f>
        <v>29802021051012431084823</v>
      </c>
      <c r="C1501" s="7" t="s">
        <v>15</v>
      </c>
      <c r="D1501" s="7" t="str">
        <f>"陈太淑"</f>
        <v>陈太淑</v>
      </c>
      <c r="E1501" s="7" t="str">
        <f t="shared" si="69"/>
        <v>女</v>
      </c>
    </row>
    <row r="1502" spans="1:5" ht="30" customHeight="1">
      <c r="A1502" s="6">
        <v>1500</v>
      </c>
      <c r="B1502" s="7" t="str">
        <f>"29802021051012474184852"</f>
        <v>29802021051012474184852</v>
      </c>
      <c r="C1502" s="7" t="s">
        <v>15</v>
      </c>
      <c r="D1502" s="7" t="str">
        <f>"王青梅"</f>
        <v>王青梅</v>
      </c>
      <c r="E1502" s="7" t="str">
        <f t="shared" si="69"/>
        <v>女</v>
      </c>
    </row>
    <row r="1503" spans="1:5" ht="30" customHeight="1">
      <c r="A1503" s="6">
        <v>1501</v>
      </c>
      <c r="B1503" s="7" t="str">
        <f>"29802021051012572784909"</f>
        <v>29802021051012572784909</v>
      </c>
      <c r="C1503" s="7" t="s">
        <v>15</v>
      </c>
      <c r="D1503" s="7" t="str">
        <f>"吴桂盛"</f>
        <v>吴桂盛</v>
      </c>
      <c r="E1503" s="7" t="str">
        <f t="shared" si="69"/>
        <v>女</v>
      </c>
    </row>
    <row r="1504" spans="1:5" ht="30" customHeight="1">
      <c r="A1504" s="6">
        <v>1502</v>
      </c>
      <c r="B1504" s="7" t="str">
        <f>"29802021051013113884981"</f>
        <v>29802021051013113884981</v>
      </c>
      <c r="C1504" s="7" t="s">
        <v>15</v>
      </c>
      <c r="D1504" s="7" t="str">
        <f>"文海雅"</f>
        <v>文海雅</v>
      </c>
      <c r="E1504" s="7" t="str">
        <f t="shared" si="69"/>
        <v>女</v>
      </c>
    </row>
    <row r="1505" spans="1:5" ht="30" customHeight="1">
      <c r="A1505" s="6">
        <v>1503</v>
      </c>
      <c r="B1505" s="7" t="str">
        <f>"29802021051013372585100"</f>
        <v>29802021051013372585100</v>
      </c>
      <c r="C1505" s="7" t="s">
        <v>15</v>
      </c>
      <c r="D1505" s="7" t="str">
        <f>"李腾婧"</f>
        <v>李腾婧</v>
      </c>
      <c r="E1505" s="7" t="str">
        <f t="shared" si="69"/>
        <v>女</v>
      </c>
    </row>
    <row r="1506" spans="1:5" ht="30" customHeight="1">
      <c r="A1506" s="6">
        <v>1504</v>
      </c>
      <c r="B1506" s="7" t="str">
        <f>"29802021051014025285200"</f>
        <v>29802021051014025285200</v>
      </c>
      <c r="C1506" s="7" t="s">
        <v>15</v>
      </c>
      <c r="D1506" s="7" t="str">
        <f>"林明桂"</f>
        <v>林明桂</v>
      </c>
      <c r="E1506" s="7" t="str">
        <f t="shared" si="69"/>
        <v>女</v>
      </c>
    </row>
    <row r="1507" spans="1:5" ht="30" customHeight="1">
      <c r="A1507" s="6">
        <v>1505</v>
      </c>
      <c r="B1507" s="7" t="str">
        <f>"29802021051014094585228"</f>
        <v>29802021051014094585228</v>
      </c>
      <c r="C1507" s="7" t="s">
        <v>15</v>
      </c>
      <c r="D1507" s="7" t="str">
        <f>"吴定佳"</f>
        <v>吴定佳</v>
      </c>
      <c r="E1507" s="7" t="str">
        <f>"男"</f>
        <v>男</v>
      </c>
    </row>
    <row r="1508" spans="1:5" ht="30" customHeight="1">
      <c r="A1508" s="6">
        <v>1506</v>
      </c>
      <c r="B1508" s="7" t="str">
        <f>"29802021051014193585264"</f>
        <v>29802021051014193585264</v>
      </c>
      <c r="C1508" s="7" t="s">
        <v>15</v>
      </c>
      <c r="D1508" s="7" t="str">
        <f>"邓真利"</f>
        <v>邓真利</v>
      </c>
      <c r="E1508" s="7" t="str">
        <f aca="true" t="shared" si="70" ref="E1508:E1519">"女"</f>
        <v>女</v>
      </c>
    </row>
    <row r="1509" spans="1:5" ht="30" customHeight="1">
      <c r="A1509" s="6">
        <v>1507</v>
      </c>
      <c r="B1509" s="7" t="str">
        <f>"29802021051014285485304"</f>
        <v>29802021051014285485304</v>
      </c>
      <c r="C1509" s="7" t="s">
        <v>15</v>
      </c>
      <c r="D1509" s="7" t="str">
        <f>"李夏仪"</f>
        <v>李夏仪</v>
      </c>
      <c r="E1509" s="7" t="str">
        <f t="shared" si="70"/>
        <v>女</v>
      </c>
    </row>
    <row r="1510" spans="1:5" ht="30" customHeight="1">
      <c r="A1510" s="6">
        <v>1508</v>
      </c>
      <c r="B1510" s="7" t="str">
        <f>"29802021051014390785359"</f>
        <v>29802021051014390785359</v>
      </c>
      <c r="C1510" s="7" t="s">
        <v>15</v>
      </c>
      <c r="D1510" s="7" t="str">
        <f>"王小云"</f>
        <v>王小云</v>
      </c>
      <c r="E1510" s="7" t="str">
        <f t="shared" si="70"/>
        <v>女</v>
      </c>
    </row>
    <row r="1511" spans="1:5" ht="30" customHeight="1">
      <c r="A1511" s="6">
        <v>1509</v>
      </c>
      <c r="B1511" s="7" t="str">
        <f>"29802021051014524185439"</f>
        <v>29802021051014524185439</v>
      </c>
      <c r="C1511" s="7" t="s">
        <v>15</v>
      </c>
      <c r="D1511" s="7" t="str">
        <f>"王元玲"</f>
        <v>王元玲</v>
      </c>
      <c r="E1511" s="7" t="str">
        <f t="shared" si="70"/>
        <v>女</v>
      </c>
    </row>
    <row r="1512" spans="1:5" ht="30" customHeight="1">
      <c r="A1512" s="6">
        <v>1510</v>
      </c>
      <c r="B1512" s="7" t="str">
        <f>"29802021051014574185475"</f>
        <v>29802021051014574185475</v>
      </c>
      <c r="C1512" s="7" t="s">
        <v>15</v>
      </c>
      <c r="D1512" s="7" t="str">
        <f>"苏艺"</f>
        <v>苏艺</v>
      </c>
      <c r="E1512" s="7" t="str">
        <f t="shared" si="70"/>
        <v>女</v>
      </c>
    </row>
    <row r="1513" spans="1:5" ht="30" customHeight="1">
      <c r="A1513" s="6">
        <v>1511</v>
      </c>
      <c r="B1513" s="7" t="str">
        <f>"29802021051015081885550"</f>
        <v>29802021051015081885550</v>
      </c>
      <c r="C1513" s="7" t="s">
        <v>15</v>
      </c>
      <c r="D1513" s="7" t="str">
        <f>"王堂苗"</f>
        <v>王堂苗</v>
      </c>
      <c r="E1513" s="7" t="str">
        <f t="shared" si="70"/>
        <v>女</v>
      </c>
    </row>
    <row r="1514" spans="1:5" ht="30" customHeight="1">
      <c r="A1514" s="6">
        <v>1512</v>
      </c>
      <c r="B1514" s="7" t="str">
        <f>"29802021051015104785564"</f>
        <v>29802021051015104785564</v>
      </c>
      <c r="C1514" s="7" t="s">
        <v>15</v>
      </c>
      <c r="D1514" s="7" t="str">
        <f>"蒋万应"</f>
        <v>蒋万应</v>
      </c>
      <c r="E1514" s="7" t="str">
        <f t="shared" si="70"/>
        <v>女</v>
      </c>
    </row>
    <row r="1515" spans="1:5" ht="30" customHeight="1">
      <c r="A1515" s="6">
        <v>1513</v>
      </c>
      <c r="B1515" s="7" t="str">
        <f>"29802021051015135785585"</f>
        <v>29802021051015135785585</v>
      </c>
      <c r="C1515" s="7" t="s">
        <v>15</v>
      </c>
      <c r="D1515" s="7" t="str">
        <f>"陈楚茹"</f>
        <v>陈楚茹</v>
      </c>
      <c r="E1515" s="7" t="str">
        <f t="shared" si="70"/>
        <v>女</v>
      </c>
    </row>
    <row r="1516" spans="1:5" ht="30" customHeight="1">
      <c r="A1516" s="6">
        <v>1514</v>
      </c>
      <c r="B1516" s="7" t="str">
        <f>"29802021051015154285599"</f>
        <v>29802021051015154285599</v>
      </c>
      <c r="C1516" s="7" t="s">
        <v>15</v>
      </c>
      <c r="D1516" s="7" t="str">
        <f>"陈凤玉"</f>
        <v>陈凤玉</v>
      </c>
      <c r="E1516" s="7" t="str">
        <f t="shared" si="70"/>
        <v>女</v>
      </c>
    </row>
    <row r="1517" spans="1:5" ht="30" customHeight="1">
      <c r="A1517" s="6">
        <v>1515</v>
      </c>
      <c r="B1517" s="7" t="str">
        <f>"29802021051015163785608"</f>
        <v>29802021051015163785608</v>
      </c>
      <c r="C1517" s="7" t="s">
        <v>15</v>
      </c>
      <c r="D1517" s="7" t="str">
        <f>"陈燕勾"</f>
        <v>陈燕勾</v>
      </c>
      <c r="E1517" s="7" t="str">
        <f t="shared" si="70"/>
        <v>女</v>
      </c>
    </row>
    <row r="1518" spans="1:5" ht="30" customHeight="1">
      <c r="A1518" s="6">
        <v>1516</v>
      </c>
      <c r="B1518" s="7" t="str">
        <f>"29802021051015192985631"</f>
        <v>29802021051015192985631</v>
      </c>
      <c r="C1518" s="7" t="s">
        <v>15</v>
      </c>
      <c r="D1518" s="7" t="str">
        <f>"郭春霞"</f>
        <v>郭春霞</v>
      </c>
      <c r="E1518" s="7" t="str">
        <f t="shared" si="70"/>
        <v>女</v>
      </c>
    </row>
    <row r="1519" spans="1:5" ht="30" customHeight="1">
      <c r="A1519" s="6">
        <v>1517</v>
      </c>
      <c r="B1519" s="7" t="str">
        <f>"29802021051015210885649"</f>
        <v>29802021051015210885649</v>
      </c>
      <c r="C1519" s="7" t="s">
        <v>15</v>
      </c>
      <c r="D1519" s="7" t="str">
        <f>"曾敏嘉"</f>
        <v>曾敏嘉</v>
      </c>
      <c r="E1519" s="7" t="str">
        <f t="shared" si="70"/>
        <v>女</v>
      </c>
    </row>
    <row r="1520" spans="1:5" ht="30" customHeight="1">
      <c r="A1520" s="6">
        <v>1518</v>
      </c>
      <c r="B1520" s="7" t="str">
        <f>"29802021051015311985718"</f>
        <v>29802021051015311985718</v>
      </c>
      <c r="C1520" s="7" t="s">
        <v>15</v>
      </c>
      <c r="D1520" s="7" t="str">
        <f>"曾琼和"</f>
        <v>曾琼和</v>
      </c>
      <c r="E1520" s="7" t="str">
        <f>"男"</f>
        <v>男</v>
      </c>
    </row>
    <row r="1521" spans="1:5" ht="30" customHeight="1">
      <c r="A1521" s="6">
        <v>1519</v>
      </c>
      <c r="B1521" s="7" t="str">
        <f>"29802021051015370185762"</f>
        <v>29802021051015370185762</v>
      </c>
      <c r="C1521" s="7" t="s">
        <v>15</v>
      </c>
      <c r="D1521" s="7" t="str">
        <f>"冯红娜"</f>
        <v>冯红娜</v>
      </c>
      <c r="E1521" s="7" t="str">
        <f>"女"</f>
        <v>女</v>
      </c>
    </row>
    <row r="1522" spans="1:5" ht="30" customHeight="1">
      <c r="A1522" s="6">
        <v>1520</v>
      </c>
      <c r="B1522" s="7" t="str">
        <f>"29802021051015564885908"</f>
        <v>29802021051015564885908</v>
      </c>
      <c r="C1522" s="7" t="s">
        <v>15</v>
      </c>
      <c r="D1522" s="7" t="str">
        <f>"黄雪"</f>
        <v>黄雪</v>
      </c>
      <c r="E1522" s="7" t="str">
        <f>"女"</f>
        <v>女</v>
      </c>
    </row>
    <row r="1523" spans="1:5" ht="30" customHeight="1">
      <c r="A1523" s="6">
        <v>1521</v>
      </c>
      <c r="B1523" s="7" t="str">
        <f>"29802021051015584585916"</f>
        <v>29802021051015584585916</v>
      </c>
      <c r="C1523" s="7" t="s">
        <v>15</v>
      </c>
      <c r="D1523" s="7" t="str">
        <f>"董妍"</f>
        <v>董妍</v>
      </c>
      <c r="E1523" s="7" t="str">
        <f>"女"</f>
        <v>女</v>
      </c>
    </row>
    <row r="1524" spans="1:5" ht="30" customHeight="1">
      <c r="A1524" s="6">
        <v>1522</v>
      </c>
      <c r="B1524" s="7" t="str">
        <f>"29802021051016033985951"</f>
        <v>29802021051016033985951</v>
      </c>
      <c r="C1524" s="7" t="s">
        <v>15</v>
      </c>
      <c r="D1524" s="7" t="str">
        <f>"钱海琼"</f>
        <v>钱海琼</v>
      </c>
      <c r="E1524" s="7" t="str">
        <f>"女"</f>
        <v>女</v>
      </c>
    </row>
    <row r="1525" spans="1:5" ht="30" customHeight="1">
      <c r="A1525" s="6">
        <v>1523</v>
      </c>
      <c r="B1525" s="7" t="str">
        <f>"29802021051016145886028"</f>
        <v>29802021051016145886028</v>
      </c>
      <c r="C1525" s="7" t="s">
        <v>15</v>
      </c>
      <c r="D1525" s="7" t="str">
        <f>"邹尚武"</f>
        <v>邹尚武</v>
      </c>
      <c r="E1525" s="7" t="str">
        <f>"男"</f>
        <v>男</v>
      </c>
    </row>
    <row r="1526" spans="1:5" ht="30" customHeight="1">
      <c r="A1526" s="6">
        <v>1524</v>
      </c>
      <c r="B1526" s="7" t="str">
        <f>"29802021051016153986032"</f>
        <v>29802021051016153986032</v>
      </c>
      <c r="C1526" s="7" t="s">
        <v>15</v>
      </c>
      <c r="D1526" s="7" t="str">
        <f>"梁丽云"</f>
        <v>梁丽云</v>
      </c>
      <c r="E1526" s="7" t="str">
        <f>"女"</f>
        <v>女</v>
      </c>
    </row>
    <row r="1527" spans="1:5" ht="30" customHeight="1">
      <c r="A1527" s="6">
        <v>1525</v>
      </c>
      <c r="B1527" s="7" t="str">
        <f>"29802021051016193386061"</f>
        <v>29802021051016193386061</v>
      </c>
      <c r="C1527" s="7" t="s">
        <v>15</v>
      </c>
      <c r="D1527" s="7" t="str">
        <f>"朱乃正"</f>
        <v>朱乃正</v>
      </c>
      <c r="E1527" s="7" t="str">
        <f>"男"</f>
        <v>男</v>
      </c>
    </row>
    <row r="1528" spans="1:5" ht="30" customHeight="1">
      <c r="A1528" s="6">
        <v>1526</v>
      </c>
      <c r="B1528" s="7" t="str">
        <f>"29802021051016215386079"</f>
        <v>29802021051016215386079</v>
      </c>
      <c r="C1528" s="7" t="s">
        <v>15</v>
      </c>
      <c r="D1528" s="7" t="str">
        <f>"王书美"</f>
        <v>王书美</v>
      </c>
      <c r="E1528" s="7" t="str">
        <f>"女"</f>
        <v>女</v>
      </c>
    </row>
    <row r="1529" spans="1:5" ht="30" customHeight="1">
      <c r="A1529" s="6">
        <v>1527</v>
      </c>
      <c r="B1529" s="7" t="str">
        <f>"29802021051016315086154"</f>
        <v>29802021051016315086154</v>
      </c>
      <c r="C1529" s="7" t="s">
        <v>15</v>
      </c>
      <c r="D1529" s="7" t="str">
        <f>"王正照"</f>
        <v>王正照</v>
      </c>
      <c r="E1529" s="7" t="str">
        <f>"男"</f>
        <v>男</v>
      </c>
    </row>
    <row r="1530" spans="1:5" ht="30" customHeight="1">
      <c r="A1530" s="6">
        <v>1528</v>
      </c>
      <c r="B1530" s="7" t="str">
        <f>"29802021051016444486257"</f>
        <v>29802021051016444486257</v>
      </c>
      <c r="C1530" s="7" t="s">
        <v>15</v>
      </c>
      <c r="D1530" s="7" t="str">
        <f>"梁秀美"</f>
        <v>梁秀美</v>
      </c>
      <c r="E1530" s="7" t="str">
        <f aca="true" t="shared" si="71" ref="E1530:E1543">"女"</f>
        <v>女</v>
      </c>
    </row>
    <row r="1531" spans="1:5" ht="30" customHeight="1">
      <c r="A1531" s="6">
        <v>1529</v>
      </c>
      <c r="B1531" s="7" t="str">
        <f>"29802021051016504986292"</f>
        <v>29802021051016504986292</v>
      </c>
      <c r="C1531" s="7" t="s">
        <v>15</v>
      </c>
      <c r="D1531" s="7" t="str">
        <f>"廖婷"</f>
        <v>廖婷</v>
      </c>
      <c r="E1531" s="7" t="str">
        <f t="shared" si="71"/>
        <v>女</v>
      </c>
    </row>
    <row r="1532" spans="1:5" ht="30" customHeight="1">
      <c r="A1532" s="6">
        <v>1530</v>
      </c>
      <c r="B1532" s="7" t="str">
        <f>"29802021051016574386342"</f>
        <v>29802021051016574386342</v>
      </c>
      <c r="C1532" s="7" t="s">
        <v>15</v>
      </c>
      <c r="D1532" s="7" t="str">
        <f>"周园"</f>
        <v>周园</v>
      </c>
      <c r="E1532" s="7" t="str">
        <f t="shared" si="71"/>
        <v>女</v>
      </c>
    </row>
    <row r="1533" spans="1:5" ht="30" customHeight="1">
      <c r="A1533" s="6">
        <v>1531</v>
      </c>
      <c r="B1533" s="7" t="str">
        <f>"29802021051017015186366"</f>
        <v>29802021051017015186366</v>
      </c>
      <c r="C1533" s="7" t="s">
        <v>15</v>
      </c>
      <c r="D1533" s="7" t="str">
        <f>"陈言完"</f>
        <v>陈言完</v>
      </c>
      <c r="E1533" s="7" t="str">
        <f t="shared" si="71"/>
        <v>女</v>
      </c>
    </row>
    <row r="1534" spans="1:5" ht="30" customHeight="1">
      <c r="A1534" s="6">
        <v>1532</v>
      </c>
      <c r="B1534" s="7" t="str">
        <f>"29802021051017161386447"</f>
        <v>29802021051017161386447</v>
      </c>
      <c r="C1534" s="7" t="s">
        <v>15</v>
      </c>
      <c r="D1534" s="7" t="str">
        <f>"黄依依"</f>
        <v>黄依依</v>
      </c>
      <c r="E1534" s="7" t="str">
        <f t="shared" si="71"/>
        <v>女</v>
      </c>
    </row>
    <row r="1535" spans="1:5" ht="30" customHeight="1">
      <c r="A1535" s="6">
        <v>1533</v>
      </c>
      <c r="B1535" s="7" t="str">
        <f>"29802021051017230286481"</f>
        <v>29802021051017230286481</v>
      </c>
      <c r="C1535" s="7" t="s">
        <v>15</v>
      </c>
      <c r="D1535" s="7" t="str">
        <f>"张文琳"</f>
        <v>张文琳</v>
      </c>
      <c r="E1535" s="7" t="str">
        <f t="shared" si="71"/>
        <v>女</v>
      </c>
    </row>
    <row r="1536" spans="1:5" ht="30" customHeight="1">
      <c r="A1536" s="6">
        <v>1534</v>
      </c>
      <c r="B1536" s="7" t="str">
        <f>"29802021051017303386511"</f>
        <v>29802021051017303386511</v>
      </c>
      <c r="C1536" s="7" t="s">
        <v>15</v>
      </c>
      <c r="D1536" s="7" t="str">
        <f>"赵仙风"</f>
        <v>赵仙风</v>
      </c>
      <c r="E1536" s="7" t="str">
        <f t="shared" si="71"/>
        <v>女</v>
      </c>
    </row>
    <row r="1537" spans="1:5" ht="30" customHeight="1">
      <c r="A1537" s="6">
        <v>1535</v>
      </c>
      <c r="B1537" s="7" t="str">
        <f>"29802021051017411986567"</f>
        <v>29802021051017411986567</v>
      </c>
      <c r="C1537" s="7" t="s">
        <v>15</v>
      </c>
      <c r="D1537" s="7" t="str">
        <f>"黎石翠"</f>
        <v>黎石翠</v>
      </c>
      <c r="E1537" s="7" t="str">
        <f t="shared" si="71"/>
        <v>女</v>
      </c>
    </row>
    <row r="1538" spans="1:5" ht="30" customHeight="1">
      <c r="A1538" s="6">
        <v>1536</v>
      </c>
      <c r="B1538" s="7" t="str">
        <f>"29802021051017521986619"</f>
        <v>29802021051017521986619</v>
      </c>
      <c r="C1538" s="7" t="s">
        <v>15</v>
      </c>
      <c r="D1538" s="7" t="str">
        <f>"许英娜"</f>
        <v>许英娜</v>
      </c>
      <c r="E1538" s="7" t="str">
        <f t="shared" si="71"/>
        <v>女</v>
      </c>
    </row>
    <row r="1539" spans="1:5" ht="30" customHeight="1">
      <c r="A1539" s="6">
        <v>1537</v>
      </c>
      <c r="B1539" s="7" t="str">
        <f>"29802021051017590786656"</f>
        <v>29802021051017590786656</v>
      </c>
      <c r="C1539" s="7" t="s">
        <v>15</v>
      </c>
      <c r="D1539" s="7" t="str">
        <f>"陈婆金"</f>
        <v>陈婆金</v>
      </c>
      <c r="E1539" s="7" t="str">
        <f t="shared" si="71"/>
        <v>女</v>
      </c>
    </row>
    <row r="1540" spans="1:5" ht="30" customHeight="1">
      <c r="A1540" s="6">
        <v>1538</v>
      </c>
      <c r="B1540" s="7" t="str">
        <f>"29802021051018031986675"</f>
        <v>29802021051018031986675</v>
      </c>
      <c r="C1540" s="7" t="s">
        <v>15</v>
      </c>
      <c r="D1540" s="7" t="str">
        <f>"王伟"</f>
        <v>王伟</v>
      </c>
      <c r="E1540" s="7" t="str">
        <f t="shared" si="71"/>
        <v>女</v>
      </c>
    </row>
    <row r="1541" spans="1:5" ht="30" customHeight="1">
      <c r="A1541" s="6">
        <v>1539</v>
      </c>
      <c r="B1541" s="7" t="str">
        <f>"29802021051018190586740"</f>
        <v>29802021051018190586740</v>
      </c>
      <c r="C1541" s="7" t="s">
        <v>15</v>
      </c>
      <c r="D1541" s="7" t="str">
        <f>"王敏"</f>
        <v>王敏</v>
      </c>
      <c r="E1541" s="7" t="str">
        <f t="shared" si="71"/>
        <v>女</v>
      </c>
    </row>
    <row r="1542" spans="1:5" ht="30" customHeight="1">
      <c r="A1542" s="6">
        <v>1540</v>
      </c>
      <c r="B1542" s="7" t="str">
        <f>"29802021051018201086746"</f>
        <v>29802021051018201086746</v>
      </c>
      <c r="C1542" s="7" t="s">
        <v>15</v>
      </c>
      <c r="D1542" s="7" t="str">
        <f>"赵香翠"</f>
        <v>赵香翠</v>
      </c>
      <c r="E1542" s="7" t="str">
        <f t="shared" si="71"/>
        <v>女</v>
      </c>
    </row>
    <row r="1543" spans="1:5" ht="30" customHeight="1">
      <c r="A1543" s="6">
        <v>1541</v>
      </c>
      <c r="B1543" s="7" t="str">
        <f>"29802021051018201386747"</f>
        <v>29802021051018201386747</v>
      </c>
      <c r="C1543" s="7" t="s">
        <v>15</v>
      </c>
      <c r="D1543" s="7" t="str">
        <f>"蒙颖"</f>
        <v>蒙颖</v>
      </c>
      <c r="E1543" s="7" t="str">
        <f t="shared" si="71"/>
        <v>女</v>
      </c>
    </row>
    <row r="1544" spans="1:5" ht="30" customHeight="1">
      <c r="A1544" s="6">
        <v>1542</v>
      </c>
      <c r="B1544" s="7" t="str">
        <f>"29802021051018201986748"</f>
        <v>29802021051018201986748</v>
      </c>
      <c r="C1544" s="7" t="s">
        <v>15</v>
      </c>
      <c r="D1544" s="7" t="str">
        <f>"郑京伟"</f>
        <v>郑京伟</v>
      </c>
      <c r="E1544" s="7" t="str">
        <f>"男"</f>
        <v>男</v>
      </c>
    </row>
    <row r="1545" spans="1:5" ht="30" customHeight="1">
      <c r="A1545" s="6">
        <v>1543</v>
      </c>
      <c r="B1545" s="7" t="str">
        <f>"29802021051018220686757"</f>
        <v>29802021051018220686757</v>
      </c>
      <c r="C1545" s="7" t="s">
        <v>15</v>
      </c>
      <c r="D1545" s="7" t="str">
        <f>"陈真"</f>
        <v>陈真</v>
      </c>
      <c r="E1545" s="7" t="str">
        <f>"男"</f>
        <v>男</v>
      </c>
    </row>
    <row r="1546" spans="1:5" ht="30" customHeight="1">
      <c r="A1546" s="6">
        <v>1544</v>
      </c>
      <c r="B1546" s="7" t="str">
        <f>"29802021051018245886771"</f>
        <v>29802021051018245886771</v>
      </c>
      <c r="C1546" s="7" t="s">
        <v>15</v>
      </c>
      <c r="D1546" s="7" t="str">
        <f>"林梅"</f>
        <v>林梅</v>
      </c>
      <c r="E1546" s="7" t="str">
        <f aca="true" t="shared" si="72" ref="E1546:E1554">"女"</f>
        <v>女</v>
      </c>
    </row>
    <row r="1547" spans="1:5" ht="30" customHeight="1">
      <c r="A1547" s="6">
        <v>1545</v>
      </c>
      <c r="B1547" s="7" t="str">
        <f>"29802021051018261286773"</f>
        <v>29802021051018261286773</v>
      </c>
      <c r="C1547" s="7" t="s">
        <v>15</v>
      </c>
      <c r="D1547" s="7" t="str">
        <f>"符彩玲"</f>
        <v>符彩玲</v>
      </c>
      <c r="E1547" s="7" t="str">
        <f t="shared" si="72"/>
        <v>女</v>
      </c>
    </row>
    <row r="1548" spans="1:5" ht="30" customHeight="1">
      <c r="A1548" s="6">
        <v>1546</v>
      </c>
      <c r="B1548" s="7" t="str">
        <f>"29802021051018321586803"</f>
        <v>29802021051018321586803</v>
      </c>
      <c r="C1548" s="7" t="s">
        <v>15</v>
      </c>
      <c r="D1548" s="7" t="str">
        <f>"陈彩霞"</f>
        <v>陈彩霞</v>
      </c>
      <c r="E1548" s="7" t="str">
        <f t="shared" si="72"/>
        <v>女</v>
      </c>
    </row>
    <row r="1549" spans="1:5" ht="30" customHeight="1">
      <c r="A1549" s="6">
        <v>1547</v>
      </c>
      <c r="B1549" s="7" t="str">
        <f>"29802021051018330186809"</f>
        <v>29802021051018330186809</v>
      </c>
      <c r="C1549" s="7" t="s">
        <v>15</v>
      </c>
      <c r="D1549" s="7" t="str">
        <f>"吴平"</f>
        <v>吴平</v>
      </c>
      <c r="E1549" s="7" t="str">
        <f t="shared" si="72"/>
        <v>女</v>
      </c>
    </row>
    <row r="1550" spans="1:5" ht="30" customHeight="1">
      <c r="A1550" s="6">
        <v>1548</v>
      </c>
      <c r="B1550" s="7" t="str">
        <f>"29802021051018375386831"</f>
        <v>29802021051018375386831</v>
      </c>
      <c r="C1550" s="7" t="s">
        <v>15</v>
      </c>
      <c r="D1550" s="7" t="str">
        <f>"梁木花"</f>
        <v>梁木花</v>
      </c>
      <c r="E1550" s="7" t="str">
        <f t="shared" si="72"/>
        <v>女</v>
      </c>
    </row>
    <row r="1551" spans="1:5" ht="30" customHeight="1">
      <c r="A1551" s="6">
        <v>1549</v>
      </c>
      <c r="B1551" s="7" t="str">
        <f>"29802021051018542586907"</f>
        <v>29802021051018542586907</v>
      </c>
      <c r="C1551" s="7" t="s">
        <v>15</v>
      </c>
      <c r="D1551" s="7" t="str">
        <f>"宋振丹"</f>
        <v>宋振丹</v>
      </c>
      <c r="E1551" s="7" t="str">
        <f t="shared" si="72"/>
        <v>女</v>
      </c>
    </row>
    <row r="1552" spans="1:5" ht="30" customHeight="1">
      <c r="A1552" s="6">
        <v>1550</v>
      </c>
      <c r="B1552" s="7" t="str">
        <f>"29802021051019115586973"</f>
        <v>29802021051019115586973</v>
      </c>
      <c r="C1552" s="7" t="s">
        <v>15</v>
      </c>
      <c r="D1552" s="7" t="str">
        <f>"邓丽珍"</f>
        <v>邓丽珍</v>
      </c>
      <c r="E1552" s="7" t="str">
        <f t="shared" si="72"/>
        <v>女</v>
      </c>
    </row>
    <row r="1553" spans="1:5" ht="30" customHeight="1">
      <c r="A1553" s="6">
        <v>1551</v>
      </c>
      <c r="B1553" s="7" t="str">
        <f>"29802021051019243487022"</f>
        <v>29802021051019243487022</v>
      </c>
      <c r="C1553" s="7" t="s">
        <v>15</v>
      </c>
      <c r="D1553" s="7" t="str">
        <f>"郭倩倩"</f>
        <v>郭倩倩</v>
      </c>
      <c r="E1553" s="7" t="str">
        <f t="shared" si="72"/>
        <v>女</v>
      </c>
    </row>
    <row r="1554" spans="1:5" ht="30" customHeight="1">
      <c r="A1554" s="6">
        <v>1552</v>
      </c>
      <c r="B1554" s="7" t="str">
        <f>"29802021051019290687036"</f>
        <v>29802021051019290687036</v>
      </c>
      <c r="C1554" s="7" t="s">
        <v>15</v>
      </c>
      <c r="D1554" s="7" t="str">
        <f>"李纹"</f>
        <v>李纹</v>
      </c>
      <c r="E1554" s="7" t="str">
        <f t="shared" si="72"/>
        <v>女</v>
      </c>
    </row>
    <row r="1555" spans="1:5" ht="30" customHeight="1">
      <c r="A1555" s="6">
        <v>1553</v>
      </c>
      <c r="B1555" s="7" t="str">
        <f>"29802021051019392987075"</f>
        <v>29802021051019392987075</v>
      </c>
      <c r="C1555" s="7" t="s">
        <v>15</v>
      </c>
      <c r="D1555" s="7" t="str">
        <f>"符修华"</f>
        <v>符修华</v>
      </c>
      <c r="E1555" s="7" t="str">
        <f>"男"</f>
        <v>男</v>
      </c>
    </row>
    <row r="1556" spans="1:5" ht="30" customHeight="1">
      <c r="A1556" s="6">
        <v>1554</v>
      </c>
      <c r="B1556" s="7" t="str">
        <f>"29802021051019451987103"</f>
        <v>29802021051019451987103</v>
      </c>
      <c r="C1556" s="7" t="s">
        <v>15</v>
      </c>
      <c r="D1556" s="7" t="str">
        <f>"马少茹"</f>
        <v>马少茹</v>
      </c>
      <c r="E1556" s="7" t="str">
        <f>"女"</f>
        <v>女</v>
      </c>
    </row>
    <row r="1557" spans="1:5" ht="30" customHeight="1">
      <c r="A1557" s="6">
        <v>1555</v>
      </c>
      <c r="B1557" s="7" t="str">
        <f>"29802021051019542987152"</f>
        <v>29802021051019542987152</v>
      </c>
      <c r="C1557" s="7" t="s">
        <v>15</v>
      </c>
      <c r="D1557" s="7" t="str">
        <f>"黄敏敏"</f>
        <v>黄敏敏</v>
      </c>
      <c r="E1557" s="7" t="str">
        <f>"女"</f>
        <v>女</v>
      </c>
    </row>
    <row r="1558" spans="1:5" ht="30" customHeight="1">
      <c r="A1558" s="6">
        <v>1556</v>
      </c>
      <c r="B1558" s="7" t="str">
        <f>"29802021051019581287167"</f>
        <v>29802021051019581287167</v>
      </c>
      <c r="C1558" s="7" t="s">
        <v>15</v>
      </c>
      <c r="D1558" s="7" t="str">
        <f>"王如花"</f>
        <v>王如花</v>
      </c>
      <c r="E1558" s="7" t="str">
        <f>"女"</f>
        <v>女</v>
      </c>
    </row>
    <row r="1559" spans="1:5" ht="30" customHeight="1">
      <c r="A1559" s="6">
        <v>1557</v>
      </c>
      <c r="B1559" s="7" t="str">
        <f>"29802021051019595787184"</f>
        <v>29802021051019595787184</v>
      </c>
      <c r="C1559" s="7" t="s">
        <v>15</v>
      </c>
      <c r="D1559" s="7" t="str">
        <f>"高建龙"</f>
        <v>高建龙</v>
      </c>
      <c r="E1559" s="7" t="str">
        <f>"男"</f>
        <v>男</v>
      </c>
    </row>
    <row r="1560" spans="1:5" ht="30" customHeight="1">
      <c r="A1560" s="6">
        <v>1558</v>
      </c>
      <c r="B1560" s="7" t="str">
        <f>"29802021051020023787199"</f>
        <v>29802021051020023787199</v>
      </c>
      <c r="C1560" s="7" t="s">
        <v>15</v>
      </c>
      <c r="D1560" s="7" t="str">
        <f>"郭淋"</f>
        <v>郭淋</v>
      </c>
      <c r="E1560" s="7" t="str">
        <f aca="true" t="shared" si="73" ref="E1560:E1576">"女"</f>
        <v>女</v>
      </c>
    </row>
    <row r="1561" spans="1:5" ht="30" customHeight="1">
      <c r="A1561" s="6">
        <v>1559</v>
      </c>
      <c r="B1561" s="7" t="str">
        <f>"29802021051020084987227"</f>
        <v>29802021051020084987227</v>
      </c>
      <c r="C1561" s="7" t="s">
        <v>15</v>
      </c>
      <c r="D1561" s="7" t="str">
        <f>"关义侠"</f>
        <v>关义侠</v>
      </c>
      <c r="E1561" s="7" t="str">
        <f t="shared" si="73"/>
        <v>女</v>
      </c>
    </row>
    <row r="1562" spans="1:5" ht="30" customHeight="1">
      <c r="A1562" s="6">
        <v>1560</v>
      </c>
      <c r="B1562" s="7" t="str">
        <f>"29802021051020102087232"</f>
        <v>29802021051020102087232</v>
      </c>
      <c r="C1562" s="7" t="s">
        <v>15</v>
      </c>
      <c r="D1562" s="7" t="str">
        <f>"吴春恋"</f>
        <v>吴春恋</v>
      </c>
      <c r="E1562" s="7" t="str">
        <f t="shared" si="73"/>
        <v>女</v>
      </c>
    </row>
    <row r="1563" spans="1:5" ht="30" customHeight="1">
      <c r="A1563" s="6">
        <v>1561</v>
      </c>
      <c r="B1563" s="7" t="str">
        <f>"29802021051020135887248"</f>
        <v>29802021051020135887248</v>
      </c>
      <c r="C1563" s="7" t="s">
        <v>15</v>
      </c>
      <c r="D1563" s="7" t="str">
        <f>"陈美希"</f>
        <v>陈美希</v>
      </c>
      <c r="E1563" s="7" t="str">
        <f t="shared" si="73"/>
        <v>女</v>
      </c>
    </row>
    <row r="1564" spans="1:5" ht="30" customHeight="1">
      <c r="A1564" s="6">
        <v>1562</v>
      </c>
      <c r="B1564" s="7" t="str">
        <f>"29802021051020430187363"</f>
        <v>29802021051020430187363</v>
      </c>
      <c r="C1564" s="7" t="s">
        <v>15</v>
      </c>
      <c r="D1564" s="7" t="str">
        <f>"林邓秀"</f>
        <v>林邓秀</v>
      </c>
      <c r="E1564" s="7" t="str">
        <f t="shared" si="73"/>
        <v>女</v>
      </c>
    </row>
    <row r="1565" spans="1:5" ht="30" customHeight="1">
      <c r="A1565" s="6">
        <v>1563</v>
      </c>
      <c r="B1565" s="7" t="str">
        <f>"29802021051020553987421"</f>
        <v>29802021051020553987421</v>
      </c>
      <c r="C1565" s="7" t="s">
        <v>15</v>
      </c>
      <c r="D1565" s="7" t="str">
        <f>"郑秀菊"</f>
        <v>郑秀菊</v>
      </c>
      <c r="E1565" s="7" t="str">
        <f t="shared" si="73"/>
        <v>女</v>
      </c>
    </row>
    <row r="1566" spans="1:5" ht="30" customHeight="1">
      <c r="A1566" s="6">
        <v>1564</v>
      </c>
      <c r="B1566" s="7" t="str">
        <f>"29802021051021143387484"</f>
        <v>29802021051021143387484</v>
      </c>
      <c r="C1566" s="7" t="s">
        <v>15</v>
      </c>
      <c r="D1566" s="7" t="str">
        <f>"王美成"</f>
        <v>王美成</v>
      </c>
      <c r="E1566" s="7" t="str">
        <f t="shared" si="73"/>
        <v>女</v>
      </c>
    </row>
    <row r="1567" spans="1:5" ht="30" customHeight="1">
      <c r="A1567" s="6">
        <v>1565</v>
      </c>
      <c r="B1567" s="7" t="str">
        <f>"29802021051021225087524"</f>
        <v>29802021051021225087524</v>
      </c>
      <c r="C1567" s="7" t="s">
        <v>15</v>
      </c>
      <c r="D1567" s="7" t="str">
        <f>"蔡伟兰"</f>
        <v>蔡伟兰</v>
      </c>
      <c r="E1567" s="7" t="str">
        <f t="shared" si="73"/>
        <v>女</v>
      </c>
    </row>
    <row r="1568" spans="1:5" ht="30" customHeight="1">
      <c r="A1568" s="6">
        <v>1566</v>
      </c>
      <c r="B1568" s="7" t="str">
        <f>"29802021051021282387546"</f>
        <v>29802021051021282387546</v>
      </c>
      <c r="C1568" s="7" t="s">
        <v>15</v>
      </c>
      <c r="D1568" s="7" t="str">
        <f>"程妹"</f>
        <v>程妹</v>
      </c>
      <c r="E1568" s="7" t="str">
        <f t="shared" si="73"/>
        <v>女</v>
      </c>
    </row>
    <row r="1569" spans="1:5" ht="30" customHeight="1">
      <c r="A1569" s="6">
        <v>1567</v>
      </c>
      <c r="B1569" s="7" t="str">
        <f>"29802021051021535987694"</f>
        <v>29802021051021535987694</v>
      </c>
      <c r="C1569" s="7" t="s">
        <v>15</v>
      </c>
      <c r="D1569" s="7" t="str">
        <f>"王快妹"</f>
        <v>王快妹</v>
      </c>
      <c r="E1569" s="7" t="str">
        <f t="shared" si="73"/>
        <v>女</v>
      </c>
    </row>
    <row r="1570" spans="1:5" ht="30" customHeight="1">
      <c r="A1570" s="6">
        <v>1568</v>
      </c>
      <c r="B1570" s="7" t="str">
        <f>"29802021051022061387744"</f>
        <v>29802021051022061387744</v>
      </c>
      <c r="C1570" s="7" t="s">
        <v>15</v>
      </c>
      <c r="D1570" s="7" t="str">
        <f>"吴毓飞"</f>
        <v>吴毓飞</v>
      </c>
      <c r="E1570" s="7" t="str">
        <f t="shared" si="73"/>
        <v>女</v>
      </c>
    </row>
    <row r="1571" spans="1:5" ht="30" customHeight="1">
      <c r="A1571" s="6">
        <v>1569</v>
      </c>
      <c r="B1571" s="7" t="str">
        <f>"29802021051022063087746"</f>
        <v>29802021051022063087746</v>
      </c>
      <c r="C1571" s="7" t="s">
        <v>15</v>
      </c>
      <c r="D1571" s="7" t="str">
        <f>"吴思颖"</f>
        <v>吴思颖</v>
      </c>
      <c r="E1571" s="7" t="str">
        <f t="shared" si="73"/>
        <v>女</v>
      </c>
    </row>
    <row r="1572" spans="1:5" ht="30" customHeight="1">
      <c r="A1572" s="6">
        <v>1570</v>
      </c>
      <c r="B1572" s="7" t="str">
        <f>"29802021051022120587777"</f>
        <v>29802021051022120587777</v>
      </c>
      <c r="C1572" s="7" t="s">
        <v>15</v>
      </c>
      <c r="D1572" s="7" t="str">
        <f>"吴源洁"</f>
        <v>吴源洁</v>
      </c>
      <c r="E1572" s="7" t="str">
        <f t="shared" si="73"/>
        <v>女</v>
      </c>
    </row>
    <row r="1573" spans="1:5" ht="30" customHeight="1">
      <c r="A1573" s="6">
        <v>1571</v>
      </c>
      <c r="B1573" s="7" t="str">
        <f>"29802021051022161987799"</f>
        <v>29802021051022161987799</v>
      </c>
      <c r="C1573" s="7" t="s">
        <v>15</v>
      </c>
      <c r="D1573" s="7" t="str">
        <f>"吴增玲"</f>
        <v>吴增玲</v>
      </c>
      <c r="E1573" s="7" t="str">
        <f t="shared" si="73"/>
        <v>女</v>
      </c>
    </row>
    <row r="1574" spans="1:5" ht="30" customHeight="1">
      <c r="A1574" s="6">
        <v>1572</v>
      </c>
      <c r="B1574" s="7" t="str">
        <f>"29802021051022361887883"</f>
        <v>29802021051022361887883</v>
      </c>
      <c r="C1574" s="7" t="s">
        <v>15</v>
      </c>
      <c r="D1574" s="7" t="str">
        <f>"林香"</f>
        <v>林香</v>
      </c>
      <c r="E1574" s="7" t="str">
        <f t="shared" si="73"/>
        <v>女</v>
      </c>
    </row>
    <row r="1575" spans="1:5" ht="30" customHeight="1">
      <c r="A1575" s="6">
        <v>1573</v>
      </c>
      <c r="B1575" s="7" t="str">
        <f>"29802021051022381487888"</f>
        <v>29802021051022381487888</v>
      </c>
      <c r="C1575" s="7" t="s">
        <v>15</v>
      </c>
      <c r="D1575" s="7" t="str">
        <f>"冯小燕"</f>
        <v>冯小燕</v>
      </c>
      <c r="E1575" s="7" t="str">
        <f t="shared" si="73"/>
        <v>女</v>
      </c>
    </row>
    <row r="1576" spans="1:5" ht="30" customHeight="1">
      <c r="A1576" s="6">
        <v>1574</v>
      </c>
      <c r="B1576" s="7" t="str">
        <f>"29802021051023024887978"</f>
        <v>29802021051023024887978</v>
      </c>
      <c r="C1576" s="7" t="s">
        <v>15</v>
      </c>
      <c r="D1576" s="7" t="str">
        <f>"蔡庆娜"</f>
        <v>蔡庆娜</v>
      </c>
      <c r="E1576" s="7" t="str">
        <f t="shared" si="73"/>
        <v>女</v>
      </c>
    </row>
    <row r="1577" spans="1:5" ht="30" customHeight="1">
      <c r="A1577" s="6">
        <v>1575</v>
      </c>
      <c r="B1577" s="7" t="str">
        <f>"29802021051023191788027"</f>
        <v>29802021051023191788027</v>
      </c>
      <c r="C1577" s="7" t="s">
        <v>15</v>
      </c>
      <c r="D1577" s="7" t="str">
        <f>"韦文琼"</f>
        <v>韦文琼</v>
      </c>
      <c r="E1577" s="7" t="str">
        <f>"男"</f>
        <v>男</v>
      </c>
    </row>
    <row r="1578" spans="1:5" ht="30" customHeight="1">
      <c r="A1578" s="6">
        <v>1576</v>
      </c>
      <c r="B1578" s="7" t="str">
        <f>"29802021051023202388030"</f>
        <v>29802021051023202388030</v>
      </c>
      <c r="C1578" s="7" t="s">
        <v>15</v>
      </c>
      <c r="D1578" s="7" t="str">
        <f>"吴健翠"</f>
        <v>吴健翠</v>
      </c>
      <c r="E1578" s="7" t="str">
        <f aca="true" t="shared" si="74" ref="E1578:E1584">"女"</f>
        <v>女</v>
      </c>
    </row>
    <row r="1579" spans="1:5" ht="30" customHeight="1">
      <c r="A1579" s="6">
        <v>1577</v>
      </c>
      <c r="B1579" s="7" t="str">
        <f>"29802021051023212788034"</f>
        <v>29802021051023212788034</v>
      </c>
      <c r="C1579" s="7" t="s">
        <v>15</v>
      </c>
      <c r="D1579" s="7" t="str">
        <f>" 黄宇凤"</f>
        <v> 黄宇凤</v>
      </c>
      <c r="E1579" s="7" t="str">
        <f t="shared" si="74"/>
        <v>女</v>
      </c>
    </row>
    <row r="1580" spans="1:5" ht="30" customHeight="1">
      <c r="A1580" s="6">
        <v>1578</v>
      </c>
      <c r="B1580" s="7" t="str">
        <f>"29802021051103495088177"</f>
        <v>29802021051103495088177</v>
      </c>
      <c r="C1580" s="7" t="s">
        <v>15</v>
      </c>
      <c r="D1580" s="7" t="str">
        <f>"曾小然"</f>
        <v>曾小然</v>
      </c>
      <c r="E1580" s="7" t="str">
        <f t="shared" si="74"/>
        <v>女</v>
      </c>
    </row>
    <row r="1581" spans="1:5" ht="30" customHeight="1">
      <c r="A1581" s="6">
        <v>1579</v>
      </c>
      <c r="B1581" s="7" t="str">
        <f>"29802021051108210188262"</f>
        <v>29802021051108210188262</v>
      </c>
      <c r="C1581" s="7" t="s">
        <v>15</v>
      </c>
      <c r="D1581" s="7" t="str">
        <f>"王花"</f>
        <v>王花</v>
      </c>
      <c r="E1581" s="7" t="str">
        <f t="shared" si="74"/>
        <v>女</v>
      </c>
    </row>
    <row r="1582" spans="1:5" ht="30" customHeight="1">
      <c r="A1582" s="6">
        <v>1580</v>
      </c>
      <c r="B1582" s="7" t="str">
        <f>"29802021051108293788284"</f>
        <v>29802021051108293788284</v>
      </c>
      <c r="C1582" s="7" t="s">
        <v>15</v>
      </c>
      <c r="D1582" s="7" t="str">
        <f>"吴凡"</f>
        <v>吴凡</v>
      </c>
      <c r="E1582" s="7" t="str">
        <f t="shared" si="74"/>
        <v>女</v>
      </c>
    </row>
    <row r="1583" spans="1:5" ht="30" customHeight="1">
      <c r="A1583" s="6">
        <v>1581</v>
      </c>
      <c r="B1583" s="7" t="str">
        <f>"29802021051108465888349"</f>
        <v>29802021051108465888349</v>
      </c>
      <c r="C1583" s="7" t="s">
        <v>15</v>
      </c>
      <c r="D1583" s="7" t="str">
        <f>"王晓颖"</f>
        <v>王晓颖</v>
      </c>
      <c r="E1583" s="7" t="str">
        <f t="shared" si="74"/>
        <v>女</v>
      </c>
    </row>
    <row r="1584" spans="1:5" ht="30" customHeight="1">
      <c r="A1584" s="6">
        <v>1582</v>
      </c>
      <c r="B1584" s="7" t="str">
        <f>"29802021051109102388458"</f>
        <v>29802021051109102388458</v>
      </c>
      <c r="C1584" s="7" t="s">
        <v>15</v>
      </c>
      <c r="D1584" s="7" t="str">
        <f>"肖宇虹"</f>
        <v>肖宇虹</v>
      </c>
      <c r="E1584" s="7" t="str">
        <f t="shared" si="74"/>
        <v>女</v>
      </c>
    </row>
    <row r="1585" spans="1:5" ht="30" customHeight="1">
      <c r="A1585" s="6">
        <v>1583</v>
      </c>
      <c r="B1585" s="7" t="str">
        <f>"29802021051109363188577"</f>
        <v>29802021051109363188577</v>
      </c>
      <c r="C1585" s="7" t="s">
        <v>15</v>
      </c>
      <c r="D1585" s="7" t="str">
        <f>"陈运宝"</f>
        <v>陈运宝</v>
      </c>
      <c r="E1585" s="7" t="str">
        <f>"男"</f>
        <v>男</v>
      </c>
    </row>
    <row r="1586" spans="1:5" ht="30" customHeight="1">
      <c r="A1586" s="6">
        <v>1584</v>
      </c>
      <c r="B1586" s="7" t="str">
        <f>"29802021051109372988584"</f>
        <v>29802021051109372988584</v>
      </c>
      <c r="C1586" s="7" t="s">
        <v>15</v>
      </c>
      <c r="D1586" s="7" t="str">
        <f>"刘一蓉"</f>
        <v>刘一蓉</v>
      </c>
      <c r="E1586" s="7" t="str">
        <f>"女"</f>
        <v>女</v>
      </c>
    </row>
    <row r="1587" spans="1:5" ht="30" customHeight="1">
      <c r="A1587" s="6">
        <v>1585</v>
      </c>
      <c r="B1587" s="7" t="str">
        <f>"29802021051110180388781"</f>
        <v>29802021051110180388781</v>
      </c>
      <c r="C1587" s="7" t="s">
        <v>15</v>
      </c>
      <c r="D1587" s="7" t="str">
        <f>"陈翠翠"</f>
        <v>陈翠翠</v>
      </c>
      <c r="E1587" s="7" t="str">
        <f>"女"</f>
        <v>女</v>
      </c>
    </row>
    <row r="1588" spans="1:5" ht="30" customHeight="1">
      <c r="A1588" s="6">
        <v>1586</v>
      </c>
      <c r="B1588" s="7" t="str">
        <f>"29802021051110213288799"</f>
        <v>29802021051110213288799</v>
      </c>
      <c r="C1588" s="7" t="s">
        <v>15</v>
      </c>
      <c r="D1588" s="7" t="str">
        <f>"陈建元"</f>
        <v>陈建元</v>
      </c>
      <c r="E1588" s="7" t="str">
        <f>"男"</f>
        <v>男</v>
      </c>
    </row>
    <row r="1589" spans="1:5" ht="30" customHeight="1">
      <c r="A1589" s="6">
        <v>1587</v>
      </c>
      <c r="B1589" s="7" t="str">
        <f>"29802021051110251688825"</f>
        <v>29802021051110251688825</v>
      </c>
      <c r="C1589" s="7" t="s">
        <v>15</v>
      </c>
      <c r="D1589" s="7" t="str">
        <f>"陈海燕"</f>
        <v>陈海燕</v>
      </c>
      <c r="E1589" s="7" t="str">
        <f>"女"</f>
        <v>女</v>
      </c>
    </row>
    <row r="1590" spans="1:5" ht="30" customHeight="1">
      <c r="A1590" s="6">
        <v>1588</v>
      </c>
      <c r="B1590" s="7" t="str">
        <f>"29802021051110492588948"</f>
        <v>29802021051110492588948</v>
      </c>
      <c r="C1590" s="7" t="s">
        <v>15</v>
      </c>
      <c r="D1590" s="7" t="str">
        <f>"邓益换"</f>
        <v>邓益换</v>
      </c>
      <c r="E1590" s="7" t="str">
        <f>"女"</f>
        <v>女</v>
      </c>
    </row>
    <row r="1591" spans="1:5" ht="30" customHeight="1">
      <c r="A1591" s="6">
        <v>1589</v>
      </c>
      <c r="B1591" s="7" t="str">
        <f>"29802021051110505388959"</f>
        <v>29802021051110505388959</v>
      </c>
      <c r="C1591" s="7" t="s">
        <v>15</v>
      </c>
      <c r="D1591" s="7" t="str">
        <f>"符豪杰"</f>
        <v>符豪杰</v>
      </c>
      <c r="E1591" s="7" t="str">
        <f>"男"</f>
        <v>男</v>
      </c>
    </row>
    <row r="1592" spans="1:5" ht="30" customHeight="1">
      <c r="A1592" s="6">
        <v>1590</v>
      </c>
      <c r="B1592" s="7" t="str">
        <f>"29802021051111005589021"</f>
        <v>29802021051111005589021</v>
      </c>
      <c r="C1592" s="7" t="s">
        <v>15</v>
      </c>
      <c r="D1592" s="7" t="str">
        <f>"符文慧"</f>
        <v>符文慧</v>
      </c>
      <c r="E1592" s="7" t="str">
        <f aca="true" t="shared" si="75" ref="E1592:E1597">"女"</f>
        <v>女</v>
      </c>
    </row>
    <row r="1593" spans="1:5" ht="30" customHeight="1">
      <c r="A1593" s="6">
        <v>1591</v>
      </c>
      <c r="B1593" s="7" t="str">
        <f>"29802021051111020289030"</f>
        <v>29802021051111020289030</v>
      </c>
      <c r="C1593" s="7" t="s">
        <v>15</v>
      </c>
      <c r="D1593" s="7" t="str">
        <f>"王紫薇"</f>
        <v>王紫薇</v>
      </c>
      <c r="E1593" s="7" t="str">
        <f t="shared" si="75"/>
        <v>女</v>
      </c>
    </row>
    <row r="1594" spans="1:5" ht="30" customHeight="1">
      <c r="A1594" s="6">
        <v>1592</v>
      </c>
      <c r="B1594" s="7" t="str">
        <f>"29802021051111112189074"</f>
        <v>29802021051111112189074</v>
      </c>
      <c r="C1594" s="7" t="s">
        <v>15</v>
      </c>
      <c r="D1594" s="7" t="str">
        <f>"陈淑比"</f>
        <v>陈淑比</v>
      </c>
      <c r="E1594" s="7" t="str">
        <f t="shared" si="75"/>
        <v>女</v>
      </c>
    </row>
    <row r="1595" spans="1:5" ht="30" customHeight="1">
      <c r="A1595" s="6">
        <v>1593</v>
      </c>
      <c r="B1595" s="7" t="str">
        <f>"29802021051111282189135"</f>
        <v>29802021051111282189135</v>
      </c>
      <c r="C1595" s="7" t="s">
        <v>15</v>
      </c>
      <c r="D1595" s="7" t="str">
        <f>"林绿"</f>
        <v>林绿</v>
      </c>
      <c r="E1595" s="7" t="str">
        <f t="shared" si="75"/>
        <v>女</v>
      </c>
    </row>
    <row r="1596" spans="1:5" ht="30" customHeight="1">
      <c r="A1596" s="6">
        <v>1594</v>
      </c>
      <c r="B1596" s="7" t="str">
        <f>"29802021051111501989202"</f>
        <v>29802021051111501989202</v>
      </c>
      <c r="C1596" s="7" t="s">
        <v>15</v>
      </c>
      <c r="D1596" s="7" t="str">
        <f>"庄婵"</f>
        <v>庄婵</v>
      </c>
      <c r="E1596" s="7" t="str">
        <f t="shared" si="75"/>
        <v>女</v>
      </c>
    </row>
    <row r="1597" spans="1:5" ht="30" customHeight="1">
      <c r="A1597" s="6">
        <v>1595</v>
      </c>
      <c r="B1597" s="7" t="str">
        <f>"29802021051111541489217"</f>
        <v>29802021051111541489217</v>
      </c>
      <c r="C1597" s="7" t="s">
        <v>15</v>
      </c>
      <c r="D1597" s="7" t="str">
        <f>"钟海莉"</f>
        <v>钟海莉</v>
      </c>
      <c r="E1597" s="7" t="str">
        <f t="shared" si="75"/>
        <v>女</v>
      </c>
    </row>
    <row r="1598" spans="1:5" ht="30" customHeight="1">
      <c r="A1598" s="6">
        <v>1596</v>
      </c>
      <c r="B1598" s="7" t="str">
        <f>"29802021051111592189233"</f>
        <v>29802021051111592189233</v>
      </c>
      <c r="C1598" s="7" t="s">
        <v>15</v>
      </c>
      <c r="D1598" s="7" t="str">
        <f>"郭朝忠"</f>
        <v>郭朝忠</v>
      </c>
      <c r="E1598" s="7" t="str">
        <f>"男"</f>
        <v>男</v>
      </c>
    </row>
    <row r="1599" spans="1:5" ht="30" customHeight="1">
      <c r="A1599" s="6">
        <v>1597</v>
      </c>
      <c r="B1599" s="7" t="str">
        <f>"29802021051112004589235"</f>
        <v>29802021051112004589235</v>
      </c>
      <c r="C1599" s="7" t="s">
        <v>15</v>
      </c>
      <c r="D1599" s="7" t="str">
        <f>"谢玲丹"</f>
        <v>谢玲丹</v>
      </c>
      <c r="E1599" s="7" t="str">
        <f>"女"</f>
        <v>女</v>
      </c>
    </row>
    <row r="1600" spans="1:5" ht="30" customHeight="1">
      <c r="A1600" s="6">
        <v>1598</v>
      </c>
      <c r="B1600" s="7" t="str">
        <f>"29802021051112083389257"</f>
        <v>29802021051112083389257</v>
      </c>
      <c r="C1600" s="7" t="s">
        <v>15</v>
      </c>
      <c r="D1600" s="7" t="str">
        <f>"梁小叶"</f>
        <v>梁小叶</v>
      </c>
      <c r="E1600" s="7" t="str">
        <f>"女"</f>
        <v>女</v>
      </c>
    </row>
    <row r="1601" spans="1:5" ht="30" customHeight="1">
      <c r="A1601" s="6">
        <v>1599</v>
      </c>
      <c r="B1601" s="7" t="str">
        <f>"29802021051112121389270"</f>
        <v>29802021051112121389270</v>
      </c>
      <c r="C1601" s="7" t="s">
        <v>15</v>
      </c>
      <c r="D1601" s="7" t="str">
        <f>"吴小利"</f>
        <v>吴小利</v>
      </c>
      <c r="E1601" s="7" t="str">
        <f>"女"</f>
        <v>女</v>
      </c>
    </row>
    <row r="1602" spans="1:5" ht="30" customHeight="1">
      <c r="A1602" s="6">
        <v>1600</v>
      </c>
      <c r="B1602" s="7" t="str">
        <f>"29802021051112240789298"</f>
        <v>29802021051112240789298</v>
      </c>
      <c r="C1602" s="7" t="s">
        <v>15</v>
      </c>
      <c r="D1602" s="7" t="str">
        <f>"李利婉"</f>
        <v>李利婉</v>
      </c>
      <c r="E1602" s="7" t="str">
        <f>"女"</f>
        <v>女</v>
      </c>
    </row>
    <row r="1603" spans="1:5" ht="30" customHeight="1">
      <c r="A1603" s="6">
        <v>1601</v>
      </c>
      <c r="B1603" s="7" t="str">
        <f>"29802021051112242089299"</f>
        <v>29802021051112242089299</v>
      </c>
      <c r="C1603" s="7" t="s">
        <v>15</v>
      </c>
      <c r="D1603" s="7" t="str">
        <f>"王琪瑜"</f>
        <v>王琪瑜</v>
      </c>
      <c r="E1603" s="7" t="str">
        <f>"女"</f>
        <v>女</v>
      </c>
    </row>
    <row r="1604" spans="1:5" ht="30" customHeight="1">
      <c r="A1604" s="6">
        <v>1602</v>
      </c>
      <c r="B1604" s="7" t="str">
        <f>"29802021051112301589323"</f>
        <v>29802021051112301589323</v>
      </c>
      <c r="C1604" s="7" t="s">
        <v>15</v>
      </c>
      <c r="D1604" s="7" t="str">
        <f>"岑轶汉"</f>
        <v>岑轶汉</v>
      </c>
      <c r="E1604" s="7" t="str">
        <f>"男"</f>
        <v>男</v>
      </c>
    </row>
    <row r="1605" spans="1:5" ht="30" customHeight="1">
      <c r="A1605" s="6">
        <v>1603</v>
      </c>
      <c r="B1605" s="7" t="str">
        <f>"29802021051112325389332"</f>
        <v>29802021051112325389332</v>
      </c>
      <c r="C1605" s="7" t="s">
        <v>15</v>
      </c>
      <c r="D1605" s="7" t="str">
        <f>"周雪卉"</f>
        <v>周雪卉</v>
      </c>
      <c r="E1605" s="7" t="str">
        <f aca="true" t="shared" si="76" ref="E1605:E1612">"女"</f>
        <v>女</v>
      </c>
    </row>
    <row r="1606" spans="1:5" ht="30" customHeight="1">
      <c r="A1606" s="6">
        <v>1604</v>
      </c>
      <c r="B1606" s="7" t="str">
        <f>"29802021051112501689385"</f>
        <v>29802021051112501689385</v>
      </c>
      <c r="C1606" s="7" t="s">
        <v>15</v>
      </c>
      <c r="D1606" s="7" t="str">
        <f>"陈秋犁"</f>
        <v>陈秋犁</v>
      </c>
      <c r="E1606" s="7" t="str">
        <f t="shared" si="76"/>
        <v>女</v>
      </c>
    </row>
    <row r="1607" spans="1:5" ht="30" customHeight="1">
      <c r="A1607" s="6">
        <v>1605</v>
      </c>
      <c r="B1607" s="7" t="str">
        <f>"29802021051113174489443"</f>
        <v>29802021051113174489443</v>
      </c>
      <c r="C1607" s="7" t="s">
        <v>15</v>
      </c>
      <c r="D1607" s="7" t="str">
        <f>"黄火婉"</f>
        <v>黄火婉</v>
      </c>
      <c r="E1607" s="7" t="str">
        <f t="shared" si="76"/>
        <v>女</v>
      </c>
    </row>
    <row r="1608" spans="1:5" ht="30" customHeight="1">
      <c r="A1608" s="6">
        <v>1606</v>
      </c>
      <c r="B1608" s="7" t="str">
        <f>"29802021051114192989557"</f>
        <v>29802021051114192989557</v>
      </c>
      <c r="C1608" s="7" t="s">
        <v>15</v>
      </c>
      <c r="D1608" s="7" t="str">
        <f>"王佩盈"</f>
        <v>王佩盈</v>
      </c>
      <c r="E1608" s="7" t="str">
        <f t="shared" si="76"/>
        <v>女</v>
      </c>
    </row>
    <row r="1609" spans="1:5" ht="30" customHeight="1">
      <c r="A1609" s="6">
        <v>1607</v>
      </c>
      <c r="B1609" s="7" t="str">
        <f>"29802021051114244489571"</f>
        <v>29802021051114244489571</v>
      </c>
      <c r="C1609" s="7" t="s">
        <v>15</v>
      </c>
      <c r="D1609" s="7" t="str">
        <f>"曾玉蕊"</f>
        <v>曾玉蕊</v>
      </c>
      <c r="E1609" s="7" t="str">
        <f t="shared" si="76"/>
        <v>女</v>
      </c>
    </row>
    <row r="1610" spans="1:5" ht="30" customHeight="1">
      <c r="A1610" s="6">
        <v>1608</v>
      </c>
      <c r="B1610" s="7" t="str">
        <f>"29802021051114331089598"</f>
        <v>29802021051114331089598</v>
      </c>
      <c r="C1610" s="7" t="s">
        <v>15</v>
      </c>
      <c r="D1610" s="7" t="str">
        <f>"陈燕妹"</f>
        <v>陈燕妹</v>
      </c>
      <c r="E1610" s="7" t="str">
        <f t="shared" si="76"/>
        <v>女</v>
      </c>
    </row>
    <row r="1611" spans="1:5" ht="30" customHeight="1">
      <c r="A1611" s="6">
        <v>1609</v>
      </c>
      <c r="B1611" s="7" t="str">
        <f>"29802021051114435989634"</f>
        <v>29802021051114435989634</v>
      </c>
      <c r="C1611" s="7" t="s">
        <v>15</v>
      </c>
      <c r="D1611" s="7" t="str">
        <f>"袁燕秋"</f>
        <v>袁燕秋</v>
      </c>
      <c r="E1611" s="7" t="str">
        <f t="shared" si="76"/>
        <v>女</v>
      </c>
    </row>
    <row r="1612" spans="1:5" ht="30" customHeight="1">
      <c r="A1612" s="6">
        <v>1610</v>
      </c>
      <c r="B1612" s="7" t="str">
        <f>"29802021051115095989730"</f>
        <v>29802021051115095989730</v>
      </c>
      <c r="C1612" s="7" t="s">
        <v>15</v>
      </c>
      <c r="D1612" s="7" t="str">
        <f>"覃银花"</f>
        <v>覃银花</v>
      </c>
      <c r="E1612" s="7" t="str">
        <f t="shared" si="76"/>
        <v>女</v>
      </c>
    </row>
    <row r="1613" spans="1:5" ht="30" customHeight="1">
      <c r="A1613" s="6">
        <v>1611</v>
      </c>
      <c r="B1613" s="7" t="str">
        <f>"29802021051115140789753"</f>
        <v>29802021051115140789753</v>
      </c>
      <c r="C1613" s="7" t="s">
        <v>15</v>
      </c>
      <c r="D1613" s="7" t="str">
        <f>"赖锦朝"</f>
        <v>赖锦朝</v>
      </c>
      <c r="E1613" s="7" t="str">
        <f>"男"</f>
        <v>男</v>
      </c>
    </row>
    <row r="1614" spans="1:5" ht="30" customHeight="1">
      <c r="A1614" s="6">
        <v>1612</v>
      </c>
      <c r="B1614" s="7" t="str">
        <f>"29802021051115194689788"</f>
        <v>29802021051115194689788</v>
      </c>
      <c r="C1614" s="7" t="s">
        <v>15</v>
      </c>
      <c r="D1614" s="7" t="str">
        <f>"董茂敏"</f>
        <v>董茂敏</v>
      </c>
      <c r="E1614" s="7" t="str">
        <f>"女"</f>
        <v>女</v>
      </c>
    </row>
    <row r="1615" spans="1:5" ht="30" customHeight="1">
      <c r="A1615" s="6">
        <v>1613</v>
      </c>
      <c r="B1615" s="7" t="str">
        <f>"29802021051115270489820"</f>
        <v>29802021051115270489820</v>
      </c>
      <c r="C1615" s="7" t="s">
        <v>15</v>
      </c>
      <c r="D1615" s="7" t="str">
        <f>"唐亮花"</f>
        <v>唐亮花</v>
      </c>
      <c r="E1615" s="7" t="str">
        <f>"女"</f>
        <v>女</v>
      </c>
    </row>
    <row r="1616" spans="1:5" ht="30" customHeight="1">
      <c r="A1616" s="6">
        <v>1614</v>
      </c>
      <c r="B1616" s="7" t="str">
        <f>"29802021051115303289838"</f>
        <v>29802021051115303289838</v>
      </c>
      <c r="C1616" s="7" t="s">
        <v>15</v>
      </c>
      <c r="D1616" s="7" t="str">
        <f>"韩木香"</f>
        <v>韩木香</v>
      </c>
      <c r="E1616" s="7" t="str">
        <f>"女"</f>
        <v>女</v>
      </c>
    </row>
    <row r="1617" spans="1:5" ht="30" customHeight="1">
      <c r="A1617" s="6">
        <v>1615</v>
      </c>
      <c r="B1617" s="7" t="str">
        <f>"29802021051115362289868"</f>
        <v>29802021051115362289868</v>
      </c>
      <c r="C1617" s="7" t="s">
        <v>15</v>
      </c>
      <c r="D1617" s="7" t="str">
        <f>"王彩湖"</f>
        <v>王彩湖</v>
      </c>
      <c r="E1617" s="7" t="str">
        <f>"女"</f>
        <v>女</v>
      </c>
    </row>
    <row r="1618" spans="1:5" ht="30" customHeight="1">
      <c r="A1618" s="6">
        <v>1616</v>
      </c>
      <c r="B1618" s="7" t="str">
        <f>"29802021051115422689899"</f>
        <v>29802021051115422689899</v>
      </c>
      <c r="C1618" s="7" t="s">
        <v>15</v>
      </c>
      <c r="D1618" s="7" t="str">
        <f>"严豪"</f>
        <v>严豪</v>
      </c>
      <c r="E1618" s="7" t="str">
        <f>"男"</f>
        <v>男</v>
      </c>
    </row>
    <row r="1619" spans="1:5" ht="30" customHeight="1">
      <c r="A1619" s="6">
        <v>1617</v>
      </c>
      <c r="B1619" s="7" t="str">
        <f>"29802021051115531589949"</f>
        <v>29802021051115531589949</v>
      </c>
      <c r="C1619" s="7" t="s">
        <v>15</v>
      </c>
      <c r="D1619" s="7" t="str">
        <f>"龙曼"</f>
        <v>龙曼</v>
      </c>
      <c r="E1619" s="7" t="str">
        <f>"女"</f>
        <v>女</v>
      </c>
    </row>
    <row r="1620" spans="1:5" ht="30" customHeight="1">
      <c r="A1620" s="6">
        <v>1618</v>
      </c>
      <c r="B1620" s="7" t="str">
        <f>"29802021051116010689982"</f>
        <v>29802021051116010689982</v>
      </c>
      <c r="C1620" s="7" t="s">
        <v>15</v>
      </c>
      <c r="D1620" s="7" t="str">
        <f>"钟家芬"</f>
        <v>钟家芬</v>
      </c>
      <c r="E1620" s="7" t="str">
        <f>"女"</f>
        <v>女</v>
      </c>
    </row>
    <row r="1621" spans="1:5" ht="30" customHeight="1">
      <c r="A1621" s="6">
        <v>1619</v>
      </c>
      <c r="B1621" s="7" t="str">
        <f>"29802021051116045989995"</f>
        <v>29802021051116045989995</v>
      </c>
      <c r="C1621" s="7" t="s">
        <v>15</v>
      </c>
      <c r="D1621" s="7" t="str">
        <f>"叶明霞"</f>
        <v>叶明霞</v>
      </c>
      <c r="E1621" s="7" t="str">
        <f>"女"</f>
        <v>女</v>
      </c>
    </row>
    <row r="1622" spans="1:5" ht="30" customHeight="1">
      <c r="A1622" s="6">
        <v>1620</v>
      </c>
      <c r="B1622" s="7" t="str">
        <f>"29802021051116083290010"</f>
        <v>29802021051116083290010</v>
      </c>
      <c r="C1622" s="7" t="s">
        <v>15</v>
      </c>
      <c r="D1622" s="7" t="str">
        <f>"袁聪"</f>
        <v>袁聪</v>
      </c>
      <c r="E1622" s="7" t="str">
        <f>"男"</f>
        <v>男</v>
      </c>
    </row>
    <row r="1623" spans="1:5" ht="30" customHeight="1">
      <c r="A1623" s="6">
        <v>1621</v>
      </c>
      <c r="B1623" s="7" t="str">
        <f>"29802021051116103290022"</f>
        <v>29802021051116103290022</v>
      </c>
      <c r="C1623" s="7" t="s">
        <v>15</v>
      </c>
      <c r="D1623" s="7" t="str">
        <f>"许玲玲"</f>
        <v>许玲玲</v>
      </c>
      <c r="E1623" s="7" t="str">
        <f aca="true" t="shared" si="77" ref="E1623:E1631">"女"</f>
        <v>女</v>
      </c>
    </row>
    <row r="1624" spans="1:5" ht="30" customHeight="1">
      <c r="A1624" s="6">
        <v>1622</v>
      </c>
      <c r="B1624" s="7" t="str">
        <f>"29802021051116153090034"</f>
        <v>29802021051116153090034</v>
      </c>
      <c r="C1624" s="7" t="s">
        <v>15</v>
      </c>
      <c r="D1624" s="7" t="str">
        <f>"冯小云"</f>
        <v>冯小云</v>
      </c>
      <c r="E1624" s="7" t="str">
        <f t="shared" si="77"/>
        <v>女</v>
      </c>
    </row>
    <row r="1625" spans="1:5" ht="30" customHeight="1">
      <c r="A1625" s="6">
        <v>1623</v>
      </c>
      <c r="B1625" s="7" t="str">
        <f>"29802021051116204390052"</f>
        <v>29802021051116204390052</v>
      </c>
      <c r="C1625" s="7" t="s">
        <v>15</v>
      </c>
      <c r="D1625" s="7" t="str">
        <f>"徐秋花"</f>
        <v>徐秋花</v>
      </c>
      <c r="E1625" s="7" t="str">
        <f t="shared" si="77"/>
        <v>女</v>
      </c>
    </row>
    <row r="1626" spans="1:5" ht="30" customHeight="1">
      <c r="A1626" s="6">
        <v>1624</v>
      </c>
      <c r="B1626" s="7" t="str">
        <f>"29802021051116235790070"</f>
        <v>29802021051116235790070</v>
      </c>
      <c r="C1626" s="7" t="s">
        <v>15</v>
      </c>
      <c r="D1626" s="7" t="str">
        <f>"杨翠漫"</f>
        <v>杨翠漫</v>
      </c>
      <c r="E1626" s="7" t="str">
        <f t="shared" si="77"/>
        <v>女</v>
      </c>
    </row>
    <row r="1627" spans="1:5" ht="30" customHeight="1">
      <c r="A1627" s="6">
        <v>1625</v>
      </c>
      <c r="B1627" s="7" t="str">
        <f>"29802021051116514590162"</f>
        <v>29802021051116514590162</v>
      </c>
      <c r="C1627" s="7" t="s">
        <v>15</v>
      </c>
      <c r="D1627" s="7" t="str">
        <f>"薛和玉"</f>
        <v>薛和玉</v>
      </c>
      <c r="E1627" s="7" t="str">
        <f t="shared" si="77"/>
        <v>女</v>
      </c>
    </row>
    <row r="1628" spans="1:5" ht="30" customHeight="1">
      <c r="A1628" s="6">
        <v>1626</v>
      </c>
      <c r="B1628" s="7" t="str">
        <f>"29802021051116524390165"</f>
        <v>29802021051116524390165</v>
      </c>
      <c r="C1628" s="7" t="s">
        <v>15</v>
      </c>
      <c r="D1628" s="7" t="str">
        <f>"曾娜"</f>
        <v>曾娜</v>
      </c>
      <c r="E1628" s="7" t="str">
        <f t="shared" si="77"/>
        <v>女</v>
      </c>
    </row>
    <row r="1629" spans="1:5" ht="30" customHeight="1">
      <c r="A1629" s="6">
        <v>1627</v>
      </c>
      <c r="B1629" s="7" t="str">
        <f>"29802021051116542190172"</f>
        <v>29802021051116542190172</v>
      </c>
      <c r="C1629" s="7" t="s">
        <v>15</v>
      </c>
      <c r="D1629" s="7" t="str">
        <f>"李玉珍"</f>
        <v>李玉珍</v>
      </c>
      <c r="E1629" s="7" t="str">
        <f t="shared" si="77"/>
        <v>女</v>
      </c>
    </row>
    <row r="1630" spans="1:5" ht="30" customHeight="1">
      <c r="A1630" s="6">
        <v>1628</v>
      </c>
      <c r="B1630" s="7" t="str">
        <f>"29802021051117020990202"</f>
        <v>29802021051117020990202</v>
      </c>
      <c r="C1630" s="7" t="s">
        <v>15</v>
      </c>
      <c r="D1630" s="7" t="str">
        <f>"张茹"</f>
        <v>张茹</v>
      </c>
      <c r="E1630" s="7" t="str">
        <f t="shared" si="77"/>
        <v>女</v>
      </c>
    </row>
    <row r="1631" spans="1:5" ht="30" customHeight="1">
      <c r="A1631" s="6">
        <v>1629</v>
      </c>
      <c r="B1631" s="7" t="str">
        <f>"29802021051117184890262"</f>
        <v>29802021051117184890262</v>
      </c>
      <c r="C1631" s="7" t="s">
        <v>15</v>
      </c>
      <c r="D1631" s="7" t="str">
        <f>"陈石女"</f>
        <v>陈石女</v>
      </c>
      <c r="E1631" s="7" t="str">
        <f t="shared" si="77"/>
        <v>女</v>
      </c>
    </row>
    <row r="1632" spans="1:5" ht="30" customHeight="1">
      <c r="A1632" s="6">
        <v>1630</v>
      </c>
      <c r="B1632" s="7" t="str">
        <f>"29802021051117415390332"</f>
        <v>29802021051117415390332</v>
      </c>
      <c r="C1632" s="7" t="s">
        <v>15</v>
      </c>
      <c r="D1632" s="7" t="str">
        <f>"文成磊"</f>
        <v>文成磊</v>
      </c>
      <c r="E1632" s="7" t="str">
        <f>"男"</f>
        <v>男</v>
      </c>
    </row>
    <row r="1633" spans="1:5" ht="30" customHeight="1">
      <c r="A1633" s="6">
        <v>1631</v>
      </c>
      <c r="B1633" s="7" t="str">
        <f>"29802021051118004190383"</f>
        <v>29802021051118004190383</v>
      </c>
      <c r="C1633" s="7" t="s">
        <v>15</v>
      </c>
      <c r="D1633" s="7" t="str">
        <f>"林宗唐"</f>
        <v>林宗唐</v>
      </c>
      <c r="E1633" s="7" t="str">
        <f>"男"</f>
        <v>男</v>
      </c>
    </row>
    <row r="1634" spans="1:5" ht="30" customHeight="1">
      <c r="A1634" s="6">
        <v>1632</v>
      </c>
      <c r="B1634" s="7" t="str">
        <f>"29802021051118064490401"</f>
        <v>29802021051118064490401</v>
      </c>
      <c r="C1634" s="7" t="s">
        <v>15</v>
      </c>
      <c r="D1634" s="7" t="str">
        <f>"张世波"</f>
        <v>张世波</v>
      </c>
      <c r="E1634" s="7" t="str">
        <f>"女"</f>
        <v>女</v>
      </c>
    </row>
    <row r="1635" spans="1:5" ht="30" customHeight="1">
      <c r="A1635" s="6">
        <v>1633</v>
      </c>
      <c r="B1635" s="7" t="str">
        <f>"29802021051118113590417"</f>
        <v>29802021051118113590417</v>
      </c>
      <c r="C1635" s="7" t="s">
        <v>15</v>
      </c>
      <c r="D1635" s="7" t="str">
        <f>"林文女"</f>
        <v>林文女</v>
      </c>
      <c r="E1635" s="7" t="str">
        <f>"女"</f>
        <v>女</v>
      </c>
    </row>
    <row r="1636" spans="1:5" ht="30" customHeight="1">
      <c r="A1636" s="6">
        <v>1634</v>
      </c>
      <c r="B1636" s="7" t="str">
        <f>"29802021051118113990418"</f>
        <v>29802021051118113990418</v>
      </c>
      <c r="C1636" s="7" t="s">
        <v>15</v>
      </c>
      <c r="D1636" s="7" t="str">
        <f>"蔡小静"</f>
        <v>蔡小静</v>
      </c>
      <c r="E1636" s="7" t="str">
        <f>"女"</f>
        <v>女</v>
      </c>
    </row>
    <row r="1637" spans="1:5" ht="30" customHeight="1">
      <c r="A1637" s="6">
        <v>1635</v>
      </c>
      <c r="B1637" s="7" t="str">
        <f>"29802021051118400190501"</f>
        <v>29802021051118400190501</v>
      </c>
      <c r="C1637" s="7" t="s">
        <v>15</v>
      </c>
      <c r="D1637" s="7" t="str">
        <f>"刘亚强"</f>
        <v>刘亚强</v>
      </c>
      <c r="E1637" s="7" t="str">
        <f>"女"</f>
        <v>女</v>
      </c>
    </row>
    <row r="1638" spans="1:5" ht="30" customHeight="1">
      <c r="A1638" s="6">
        <v>1636</v>
      </c>
      <c r="B1638" s="7" t="str">
        <f>"29802021051118421190503"</f>
        <v>29802021051118421190503</v>
      </c>
      <c r="C1638" s="7" t="s">
        <v>15</v>
      </c>
      <c r="D1638" s="7" t="str">
        <f>"许月辽"</f>
        <v>许月辽</v>
      </c>
      <c r="E1638" s="7" t="str">
        <f>"女"</f>
        <v>女</v>
      </c>
    </row>
    <row r="1639" spans="1:5" ht="30" customHeight="1">
      <c r="A1639" s="6">
        <v>1637</v>
      </c>
      <c r="B1639" s="7" t="str">
        <f>"29802021051118441990508"</f>
        <v>29802021051118441990508</v>
      </c>
      <c r="C1639" s="7" t="s">
        <v>15</v>
      </c>
      <c r="D1639" s="7" t="str">
        <f>"林朝鹏"</f>
        <v>林朝鹏</v>
      </c>
      <c r="E1639" s="7" t="str">
        <f>"男"</f>
        <v>男</v>
      </c>
    </row>
    <row r="1640" spans="1:5" ht="30" customHeight="1">
      <c r="A1640" s="6">
        <v>1638</v>
      </c>
      <c r="B1640" s="7" t="str">
        <f>"29802021051118470190517"</f>
        <v>29802021051118470190517</v>
      </c>
      <c r="C1640" s="7" t="s">
        <v>15</v>
      </c>
      <c r="D1640" s="7" t="str">
        <f>"林佳婷"</f>
        <v>林佳婷</v>
      </c>
      <c r="E1640" s="7" t="str">
        <f>"女"</f>
        <v>女</v>
      </c>
    </row>
    <row r="1641" spans="1:5" ht="30" customHeight="1">
      <c r="A1641" s="6">
        <v>1639</v>
      </c>
      <c r="B1641" s="7" t="str">
        <f>"29802021051118572890544"</f>
        <v>29802021051118572890544</v>
      </c>
      <c r="C1641" s="7" t="s">
        <v>15</v>
      </c>
      <c r="D1641" s="7" t="str">
        <f>"陈崇省"</f>
        <v>陈崇省</v>
      </c>
      <c r="E1641" s="7" t="str">
        <f>"男"</f>
        <v>男</v>
      </c>
    </row>
    <row r="1642" spans="1:5" ht="30" customHeight="1">
      <c r="A1642" s="6">
        <v>1640</v>
      </c>
      <c r="B1642" s="7" t="str">
        <f>"29802021051119033390557"</f>
        <v>29802021051119033390557</v>
      </c>
      <c r="C1642" s="7" t="s">
        <v>15</v>
      </c>
      <c r="D1642" s="7" t="str">
        <f>"吕秋妹"</f>
        <v>吕秋妹</v>
      </c>
      <c r="E1642" s="7" t="str">
        <f aca="true" t="shared" si="78" ref="E1642:E1653">"女"</f>
        <v>女</v>
      </c>
    </row>
    <row r="1643" spans="1:5" ht="30" customHeight="1">
      <c r="A1643" s="6">
        <v>1641</v>
      </c>
      <c r="B1643" s="7" t="str">
        <f>"29802021051119292890625"</f>
        <v>29802021051119292890625</v>
      </c>
      <c r="C1643" s="7" t="s">
        <v>15</v>
      </c>
      <c r="D1643" s="7" t="str">
        <f>"苏惠伦"</f>
        <v>苏惠伦</v>
      </c>
      <c r="E1643" s="7" t="str">
        <f t="shared" si="78"/>
        <v>女</v>
      </c>
    </row>
    <row r="1644" spans="1:5" ht="30" customHeight="1">
      <c r="A1644" s="6">
        <v>1642</v>
      </c>
      <c r="B1644" s="7" t="str">
        <f>"29802021051119442390669"</f>
        <v>29802021051119442390669</v>
      </c>
      <c r="C1644" s="7" t="s">
        <v>15</v>
      </c>
      <c r="D1644" s="7" t="str">
        <f>"林玉"</f>
        <v>林玉</v>
      </c>
      <c r="E1644" s="7" t="str">
        <f t="shared" si="78"/>
        <v>女</v>
      </c>
    </row>
    <row r="1645" spans="1:5" ht="30" customHeight="1">
      <c r="A1645" s="6">
        <v>1643</v>
      </c>
      <c r="B1645" s="7" t="str">
        <f>"29802021051119592390715"</f>
        <v>29802021051119592390715</v>
      </c>
      <c r="C1645" s="7" t="s">
        <v>15</v>
      </c>
      <c r="D1645" s="7" t="str">
        <f>"薛海娜"</f>
        <v>薛海娜</v>
      </c>
      <c r="E1645" s="7" t="str">
        <f t="shared" si="78"/>
        <v>女</v>
      </c>
    </row>
    <row r="1646" spans="1:5" ht="30" customHeight="1">
      <c r="A1646" s="6">
        <v>1644</v>
      </c>
      <c r="B1646" s="7" t="str">
        <f>"29802021051120015590727"</f>
        <v>29802021051120015590727</v>
      </c>
      <c r="C1646" s="7" t="s">
        <v>15</v>
      </c>
      <c r="D1646" s="7" t="str">
        <f>"王元余"</f>
        <v>王元余</v>
      </c>
      <c r="E1646" s="7" t="str">
        <f t="shared" si="78"/>
        <v>女</v>
      </c>
    </row>
    <row r="1647" spans="1:5" ht="30" customHeight="1">
      <c r="A1647" s="6">
        <v>1645</v>
      </c>
      <c r="B1647" s="7" t="str">
        <f>"29802021051120151890759"</f>
        <v>29802021051120151890759</v>
      </c>
      <c r="C1647" s="7" t="s">
        <v>15</v>
      </c>
      <c r="D1647" s="7" t="str">
        <f>"陈艺灵"</f>
        <v>陈艺灵</v>
      </c>
      <c r="E1647" s="7" t="str">
        <f t="shared" si="78"/>
        <v>女</v>
      </c>
    </row>
    <row r="1648" spans="1:5" ht="30" customHeight="1">
      <c r="A1648" s="6">
        <v>1646</v>
      </c>
      <c r="B1648" s="7" t="str">
        <f>"29802021051120265290800"</f>
        <v>29802021051120265290800</v>
      </c>
      <c r="C1648" s="7" t="s">
        <v>15</v>
      </c>
      <c r="D1648" s="7" t="str">
        <f>"符林霞"</f>
        <v>符林霞</v>
      </c>
      <c r="E1648" s="7" t="str">
        <f t="shared" si="78"/>
        <v>女</v>
      </c>
    </row>
    <row r="1649" spans="1:5" ht="30" customHeight="1">
      <c r="A1649" s="6">
        <v>1647</v>
      </c>
      <c r="B1649" s="7" t="str">
        <f>"29802021051120265990801"</f>
        <v>29802021051120265990801</v>
      </c>
      <c r="C1649" s="7" t="s">
        <v>15</v>
      </c>
      <c r="D1649" s="7" t="str">
        <f>"任琳琳"</f>
        <v>任琳琳</v>
      </c>
      <c r="E1649" s="7" t="str">
        <f t="shared" si="78"/>
        <v>女</v>
      </c>
    </row>
    <row r="1650" spans="1:5" ht="30" customHeight="1">
      <c r="A1650" s="6">
        <v>1648</v>
      </c>
      <c r="B1650" s="7" t="str">
        <f>"29802021051120290090805"</f>
        <v>29802021051120290090805</v>
      </c>
      <c r="C1650" s="7" t="s">
        <v>15</v>
      </c>
      <c r="D1650" s="7" t="str">
        <f>"陈丽云"</f>
        <v>陈丽云</v>
      </c>
      <c r="E1650" s="7" t="str">
        <f t="shared" si="78"/>
        <v>女</v>
      </c>
    </row>
    <row r="1651" spans="1:5" ht="30" customHeight="1">
      <c r="A1651" s="6">
        <v>1649</v>
      </c>
      <c r="B1651" s="7" t="str">
        <f>"29802021051120431290848"</f>
        <v>29802021051120431290848</v>
      </c>
      <c r="C1651" s="7" t="s">
        <v>15</v>
      </c>
      <c r="D1651" s="7" t="str">
        <f>"吴雪芬"</f>
        <v>吴雪芬</v>
      </c>
      <c r="E1651" s="7" t="str">
        <f t="shared" si="78"/>
        <v>女</v>
      </c>
    </row>
    <row r="1652" spans="1:5" ht="30" customHeight="1">
      <c r="A1652" s="6">
        <v>1650</v>
      </c>
      <c r="B1652" s="7" t="str">
        <f>"29802021051120590090899"</f>
        <v>29802021051120590090899</v>
      </c>
      <c r="C1652" s="7" t="s">
        <v>15</v>
      </c>
      <c r="D1652" s="7" t="str">
        <f>"方其财"</f>
        <v>方其财</v>
      </c>
      <c r="E1652" s="7" t="str">
        <f t="shared" si="78"/>
        <v>女</v>
      </c>
    </row>
    <row r="1653" spans="1:5" ht="30" customHeight="1">
      <c r="A1653" s="6">
        <v>1651</v>
      </c>
      <c r="B1653" s="7" t="str">
        <f>"29802021051121032490909"</f>
        <v>29802021051121032490909</v>
      </c>
      <c r="C1653" s="7" t="s">
        <v>15</v>
      </c>
      <c r="D1653" s="7" t="str">
        <f>"林侨仙"</f>
        <v>林侨仙</v>
      </c>
      <c r="E1653" s="7" t="str">
        <f t="shared" si="78"/>
        <v>女</v>
      </c>
    </row>
    <row r="1654" spans="1:5" ht="30" customHeight="1">
      <c r="A1654" s="6">
        <v>1652</v>
      </c>
      <c r="B1654" s="7" t="str">
        <f>"29802021051121111190939"</f>
        <v>29802021051121111190939</v>
      </c>
      <c r="C1654" s="7" t="s">
        <v>15</v>
      </c>
      <c r="D1654" s="7" t="str">
        <f>"许环煜"</f>
        <v>许环煜</v>
      </c>
      <c r="E1654" s="7" t="str">
        <f>"男"</f>
        <v>男</v>
      </c>
    </row>
    <row r="1655" spans="1:5" ht="30" customHeight="1">
      <c r="A1655" s="6">
        <v>1653</v>
      </c>
      <c r="B1655" s="7" t="str">
        <f>"29802021051121131490947"</f>
        <v>29802021051121131490947</v>
      </c>
      <c r="C1655" s="7" t="s">
        <v>15</v>
      </c>
      <c r="D1655" s="7" t="str">
        <f>"廖婷婷"</f>
        <v>廖婷婷</v>
      </c>
      <c r="E1655" s="7" t="str">
        <f aca="true" t="shared" si="79" ref="E1655:E1662">"女"</f>
        <v>女</v>
      </c>
    </row>
    <row r="1656" spans="1:5" ht="30" customHeight="1">
      <c r="A1656" s="6">
        <v>1654</v>
      </c>
      <c r="B1656" s="7" t="str">
        <f>"29802021051121151890955"</f>
        <v>29802021051121151890955</v>
      </c>
      <c r="C1656" s="7" t="s">
        <v>15</v>
      </c>
      <c r="D1656" s="7" t="str">
        <f>"张晓蕾"</f>
        <v>张晓蕾</v>
      </c>
      <c r="E1656" s="7" t="str">
        <f t="shared" si="79"/>
        <v>女</v>
      </c>
    </row>
    <row r="1657" spans="1:5" ht="30" customHeight="1">
      <c r="A1657" s="6">
        <v>1655</v>
      </c>
      <c r="B1657" s="7" t="str">
        <f>"29802021051121305690987"</f>
        <v>29802021051121305690987</v>
      </c>
      <c r="C1657" s="7" t="s">
        <v>15</v>
      </c>
      <c r="D1657" s="7" t="str">
        <f>"李彩玉"</f>
        <v>李彩玉</v>
      </c>
      <c r="E1657" s="7" t="str">
        <f t="shared" si="79"/>
        <v>女</v>
      </c>
    </row>
    <row r="1658" spans="1:5" ht="30" customHeight="1">
      <c r="A1658" s="6">
        <v>1656</v>
      </c>
      <c r="B1658" s="7" t="str">
        <f>"29802021051121332890999"</f>
        <v>29802021051121332890999</v>
      </c>
      <c r="C1658" s="7" t="s">
        <v>15</v>
      </c>
      <c r="D1658" s="7" t="str">
        <f>"王小燕"</f>
        <v>王小燕</v>
      </c>
      <c r="E1658" s="7" t="str">
        <f t="shared" si="79"/>
        <v>女</v>
      </c>
    </row>
    <row r="1659" spans="1:5" ht="30" customHeight="1">
      <c r="A1659" s="6">
        <v>1657</v>
      </c>
      <c r="B1659" s="7" t="str">
        <f>"29802021051121401091026"</f>
        <v>29802021051121401091026</v>
      </c>
      <c r="C1659" s="7" t="s">
        <v>15</v>
      </c>
      <c r="D1659" s="7" t="str">
        <f>"陈晶晶"</f>
        <v>陈晶晶</v>
      </c>
      <c r="E1659" s="7" t="str">
        <f t="shared" si="79"/>
        <v>女</v>
      </c>
    </row>
    <row r="1660" spans="1:5" ht="30" customHeight="1">
      <c r="A1660" s="6">
        <v>1658</v>
      </c>
      <c r="B1660" s="7" t="str">
        <f>"29802021051121495591063"</f>
        <v>29802021051121495591063</v>
      </c>
      <c r="C1660" s="7" t="s">
        <v>15</v>
      </c>
      <c r="D1660" s="7" t="str">
        <f>"黄艳艳"</f>
        <v>黄艳艳</v>
      </c>
      <c r="E1660" s="7" t="str">
        <f t="shared" si="79"/>
        <v>女</v>
      </c>
    </row>
    <row r="1661" spans="1:5" ht="30" customHeight="1">
      <c r="A1661" s="6">
        <v>1659</v>
      </c>
      <c r="B1661" s="7" t="str">
        <f>"29802021051121580591078"</f>
        <v>29802021051121580591078</v>
      </c>
      <c r="C1661" s="7" t="s">
        <v>15</v>
      </c>
      <c r="D1661" s="7" t="str">
        <f>"吴英榕"</f>
        <v>吴英榕</v>
      </c>
      <c r="E1661" s="7" t="str">
        <f t="shared" si="79"/>
        <v>女</v>
      </c>
    </row>
    <row r="1662" spans="1:5" ht="30" customHeight="1">
      <c r="A1662" s="6">
        <v>1660</v>
      </c>
      <c r="B1662" s="7" t="str">
        <f>"29802021051121585391082"</f>
        <v>29802021051121585391082</v>
      </c>
      <c r="C1662" s="7" t="s">
        <v>15</v>
      </c>
      <c r="D1662" s="7" t="str">
        <f>"李梦珍"</f>
        <v>李梦珍</v>
      </c>
      <c r="E1662" s="7" t="str">
        <f t="shared" si="79"/>
        <v>女</v>
      </c>
    </row>
    <row r="1663" spans="1:5" ht="30" customHeight="1">
      <c r="A1663" s="6">
        <v>1661</v>
      </c>
      <c r="B1663" s="7" t="str">
        <f>"29802021051122004691090"</f>
        <v>29802021051122004691090</v>
      </c>
      <c r="C1663" s="7" t="s">
        <v>15</v>
      </c>
      <c r="D1663" s="7" t="str">
        <f>"陈鹏"</f>
        <v>陈鹏</v>
      </c>
      <c r="E1663" s="7" t="str">
        <f>"男"</f>
        <v>男</v>
      </c>
    </row>
    <row r="1664" spans="1:5" ht="30" customHeight="1">
      <c r="A1664" s="6">
        <v>1662</v>
      </c>
      <c r="B1664" s="7" t="str">
        <f>"29802021051122162991133"</f>
        <v>29802021051122162991133</v>
      </c>
      <c r="C1664" s="7" t="s">
        <v>15</v>
      </c>
      <c r="D1664" s="7" t="str">
        <f>"古子英"</f>
        <v>古子英</v>
      </c>
      <c r="E1664" s="7" t="str">
        <f>"女"</f>
        <v>女</v>
      </c>
    </row>
    <row r="1665" spans="1:5" ht="30" customHeight="1">
      <c r="A1665" s="6">
        <v>1663</v>
      </c>
      <c r="B1665" s="7" t="str">
        <f>"29802021051122171291135"</f>
        <v>29802021051122171291135</v>
      </c>
      <c r="C1665" s="7" t="s">
        <v>15</v>
      </c>
      <c r="D1665" s="7" t="str">
        <f>"王乙程"</f>
        <v>王乙程</v>
      </c>
      <c r="E1665" s="7" t="str">
        <f>"男"</f>
        <v>男</v>
      </c>
    </row>
    <row r="1666" spans="1:5" ht="30" customHeight="1">
      <c r="A1666" s="6">
        <v>1664</v>
      </c>
      <c r="B1666" s="7" t="str">
        <f>"29802021051122174991136"</f>
        <v>29802021051122174991136</v>
      </c>
      <c r="C1666" s="7" t="s">
        <v>15</v>
      </c>
      <c r="D1666" s="7" t="str">
        <f>"王春颜"</f>
        <v>王春颜</v>
      </c>
      <c r="E1666" s="7" t="str">
        <f aca="true" t="shared" si="80" ref="E1666:E1701">"女"</f>
        <v>女</v>
      </c>
    </row>
    <row r="1667" spans="1:5" ht="30" customHeight="1">
      <c r="A1667" s="6">
        <v>1665</v>
      </c>
      <c r="B1667" s="7" t="str">
        <f>"29802021051122224091153"</f>
        <v>29802021051122224091153</v>
      </c>
      <c r="C1667" s="7" t="s">
        <v>15</v>
      </c>
      <c r="D1667" s="7" t="str">
        <f>"吴丽姑"</f>
        <v>吴丽姑</v>
      </c>
      <c r="E1667" s="7" t="str">
        <f t="shared" si="80"/>
        <v>女</v>
      </c>
    </row>
    <row r="1668" spans="1:5" ht="30" customHeight="1">
      <c r="A1668" s="6">
        <v>1666</v>
      </c>
      <c r="B1668" s="7" t="str">
        <f>"29802021051122233691156"</f>
        <v>29802021051122233691156</v>
      </c>
      <c r="C1668" s="7" t="s">
        <v>15</v>
      </c>
      <c r="D1668" s="7" t="str">
        <f>"陈华妹"</f>
        <v>陈华妹</v>
      </c>
      <c r="E1668" s="7" t="str">
        <f t="shared" si="80"/>
        <v>女</v>
      </c>
    </row>
    <row r="1669" spans="1:5" ht="30" customHeight="1">
      <c r="A1669" s="6">
        <v>1667</v>
      </c>
      <c r="B1669" s="7" t="str">
        <f>"29802021051122282091173"</f>
        <v>29802021051122282091173</v>
      </c>
      <c r="C1669" s="7" t="s">
        <v>15</v>
      </c>
      <c r="D1669" s="7" t="str">
        <f>"蔡娟娟"</f>
        <v>蔡娟娟</v>
      </c>
      <c r="E1669" s="7" t="str">
        <f t="shared" si="80"/>
        <v>女</v>
      </c>
    </row>
    <row r="1670" spans="1:5" ht="30" customHeight="1">
      <c r="A1670" s="6">
        <v>1668</v>
      </c>
      <c r="B1670" s="7" t="str">
        <f>"29802021051122301091178"</f>
        <v>29802021051122301091178</v>
      </c>
      <c r="C1670" s="7" t="s">
        <v>15</v>
      </c>
      <c r="D1670" s="7" t="str">
        <f>"庄秋玲"</f>
        <v>庄秋玲</v>
      </c>
      <c r="E1670" s="7" t="str">
        <f t="shared" si="80"/>
        <v>女</v>
      </c>
    </row>
    <row r="1671" spans="1:5" ht="30" customHeight="1">
      <c r="A1671" s="6">
        <v>1669</v>
      </c>
      <c r="B1671" s="7" t="str">
        <f>"29802021051122435891224"</f>
        <v>29802021051122435891224</v>
      </c>
      <c r="C1671" s="7" t="s">
        <v>15</v>
      </c>
      <c r="D1671" s="7" t="str">
        <f>"莫美英"</f>
        <v>莫美英</v>
      </c>
      <c r="E1671" s="7" t="str">
        <f t="shared" si="80"/>
        <v>女</v>
      </c>
    </row>
    <row r="1672" spans="1:5" ht="30" customHeight="1">
      <c r="A1672" s="6">
        <v>1670</v>
      </c>
      <c r="B1672" s="7" t="str">
        <f>"29802021051122450691227"</f>
        <v>29802021051122450691227</v>
      </c>
      <c r="C1672" s="7" t="s">
        <v>15</v>
      </c>
      <c r="D1672" s="7" t="str">
        <f>"张香芳"</f>
        <v>张香芳</v>
      </c>
      <c r="E1672" s="7" t="str">
        <f t="shared" si="80"/>
        <v>女</v>
      </c>
    </row>
    <row r="1673" spans="1:5" ht="30" customHeight="1">
      <c r="A1673" s="6">
        <v>1671</v>
      </c>
      <c r="B1673" s="7" t="str">
        <f>"29802021051123094191277"</f>
        <v>29802021051123094191277</v>
      </c>
      <c r="C1673" s="7" t="s">
        <v>15</v>
      </c>
      <c r="D1673" s="7" t="str">
        <f>"王雅婷"</f>
        <v>王雅婷</v>
      </c>
      <c r="E1673" s="7" t="str">
        <f t="shared" si="80"/>
        <v>女</v>
      </c>
    </row>
    <row r="1674" spans="1:5" ht="30" customHeight="1">
      <c r="A1674" s="6">
        <v>1672</v>
      </c>
      <c r="B1674" s="7" t="str">
        <f>"29802021051123144091292"</f>
        <v>29802021051123144091292</v>
      </c>
      <c r="C1674" s="7" t="s">
        <v>15</v>
      </c>
      <c r="D1674" s="7" t="str">
        <f>"李少仪"</f>
        <v>李少仪</v>
      </c>
      <c r="E1674" s="7" t="str">
        <f t="shared" si="80"/>
        <v>女</v>
      </c>
    </row>
    <row r="1675" spans="1:5" ht="30" customHeight="1">
      <c r="A1675" s="6">
        <v>1673</v>
      </c>
      <c r="B1675" s="7" t="str">
        <f>"29802021051200010991351"</f>
        <v>29802021051200010991351</v>
      </c>
      <c r="C1675" s="7" t="s">
        <v>15</v>
      </c>
      <c r="D1675" s="7" t="str">
        <f>"羊小妹"</f>
        <v>羊小妹</v>
      </c>
      <c r="E1675" s="7" t="str">
        <f t="shared" si="80"/>
        <v>女</v>
      </c>
    </row>
    <row r="1676" spans="1:5" ht="30" customHeight="1">
      <c r="A1676" s="6">
        <v>1674</v>
      </c>
      <c r="B1676" s="7" t="str">
        <f>"29802021051200074591354"</f>
        <v>29802021051200074591354</v>
      </c>
      <c r="C1676" s="7" t="s">
        <v>15</v>
      </c>
      <c r="D1676" s="7" t="str">
        <f>"李颖"</f>
        <v>李颖</v>
      </c>
      <c r="E1676" s="7" t="str">
        <f t="shared" si="80"/>
        <v>女</v>
      </c>
    </row>
    <row r="1677" spans="1:5" ht="30" customHeight="1">
      <c r="A1677" s="6">
        <v>1675</v>
      </c>
      <c r="B1677" s="7" t="str">
        <f>"29802021051207430491435"</f>
        <v>29802021051207430491435</v>
      </c>
      <c r="C1677" s="7" t="s">
        <v>15</v>
      </c>
      <c r="D1677" s="7" t="str">
        <f>"薛乾妃"</f>
        <v>薛乾妃</v>
      </c>
      <c r="E1677" s="7" t="str">
        <f t="shared" si="80"/>
        <v>女</v>
      </c>
    </row>
    <row r="1678" spans="1:5" ht="30" customHeight="1">
      <c r="A1678" s="6">
        <v>1676</v>
      </c>
      <c r="B1678" s="7" t="str">
        <f>"29802021051207453191437"</f>
        <v>29802021051207453191437</v>
      </c>
      <c r="C1678" s="7" t="s">
        <v>15</v>
      </c>
      <c r="D1678" s="7" t="str">
        <f>"汤表莉"</f>
        <v>汤表莉</v>
      </c>
      <c r="E1678" s="7" t="str">
        <f t="shared" si="80"/>
        <v>女</v>
      </c>
    </row>
    <row r="1679" spans="1:5" ht="30" customHeight="1">
      <c r="A1679" s="6">
        <v>1677</v>
      </c>
      <c r="B1679" s="7" t="str">
        <f>"29802021051208593691532"</f>
        <v>29802021051208593691532</v>
      </c>
      <c r="C1679" s="7" t="s">
        <v>15</v>
      </c>
      <c r="D1679" s="7" t="str">
        <f>"黄丽燕"</f>
        <v>黄丽燕</v>
      </c>
      <c r="E1679" s="7" t="str">
        <f t="shared" si="80"/>
        <v>女</v>
      </c>
    </row>
    <row r="1680" spans="1:5" ht="30" customHeight="1">
      <c r="A1680" s="6">
        <v>1678</v>
      </c>
      <c r="B1680" s="7" t="str">
        <f>"29802021051209071091572"</f>
        <v>29802021051209071091572</v>
      </c>
      <c r="C1680" s="7" t="s">
        <v>15</v>
      </c>
      <c r="D1680" s="7" t="str">
        <f>"郑学月"</f>
        <v>郑学月</v>
      </c>
      <c r="E1680" s="7" t="str">
        <f t="shared" si="80"/>
        <v>女</v>
      </c>
    </row>
    <row r="1681" spans="1:5" ht="30" customHeight="1">
      <c r="A1681" s="6">
        <v>1679</v>
      </c>
      <c r="B1681" s="7" t="str">
        <f>"29802021051209123691599"</f>
        <v>29802021051209123691599</v>
      </c>
      <c r="C1681" s="7" t="s">
        <v>15</v>
      </c>
      <c r="D1681" s="7" t="str">
        <f>"陈茹"</f>
        <v>陈茹</v>
      </c>
      <c r="E1681" s="7" t="str">
        <f t="shared" si="80"/>
        <v>女</v>
      </c>
    </row>
    <row r="1682" spans="1:5" ht="30" customHeight="1">
      <c r="A1682" s="6">
        <v>1680</v>
      </c>
      <c r="B1682" s="7" t="str">
        <f>"29802021051209375291706"</f>
        <v>29802021051209375291706</v>
      </c>
      <c r="C1682" s="7" t="s">
        <v>15</v>
      </c>
      <c r="D1682" s="7" t="str">
        <f>"覃金莹"</f>
        <v>覃金莹</v>
      </c>
      <c r="E1682" s="7" t="str">
        <f t="shared" si="80"/>
        <v>女</v>
      </c>
    </row>
    <row r="1683" spans="1:5" ht="30" customHeight="1">
      <c r="A1683" s="6">
        <v>1681</v>
      </c>
      <c r="B1683" s="7" t="str">
        <f>"29802021051209405591719"</f>
        <v>29802021051209405591719</v>
      </c>
      <c r="C1683" s="7" t="s">
        <v>15</v>
      </c>
      <c r="D1683" s="7" t="str">
        <f>"王佳佳"</f>
        <v>王佳佳</v>
      </c>
      <c r="E1683" s="7" t="str">
        <f t="shared" si="80"/>
        <v>女</v>
      </c>
    </row>
    <row r="1684" spans="1:5" ht="30" customHeight="1">
      <c r="A1684" s="6">
        <v>1682</v>
      </c>
      <c r="B1684" s="7" t="str">
        <f>"29802021051209494091755"</f>
        <v>29802021051209494091755</v>
      </c>
      <c r="C1684" s="7" t="s">
        <v>15</v>
      </c>
      <c r="D1684" s="7" t="str">
        <f>"王英云"</f>
        <v>王英云</v>
      </c>
      <c r="E1684" s="7" t="str">
        <f t="shared" si="80"/>
        <v>女</v>
      </c>
    </row>
    <row r="1685" spans="1:5" ht="30" customHeight="1">
      <c r="A1685" s="6">
        <v>1683</v>
      </c>
      <c r="B1685" s="7" t="str">
        <f>"29802021051209495291758"</f>
        <v>29802021051209495291758</v>
      </c>
      <c r="C1685" s="7" t="s">
        <v>15</v>
      </c>
      <c r="D1685" s="7" t="str">
        <f>"陈教美"</f>
        <v>陈教美</v>
      </c>
      <c r="E1685" s="7" t="str">
        <f t="shared" si="80"/>
        <v>女</v>
      </c>
    </row>
    <row r="1686" spans="1:5" ht="30" customHeight="1">
      <c r="A1686" s="6">
        <v>1684</v>
      </c>
      <c r="B1686" s="7" t="str">
        <f>"29802021051209502591762"</f>
        <v>29802021051209502591762</v>
      </c>
      <c r="C1686" s="7" t="s">
        <v>15</v>
      </c>
      <c r="D1686" s="7" t="str">
        <f>"梁金盈"</f>
        <v>梁金盈</v>
      </c>
      <c r="E1686" s="7" t="str">
        <f t="shared" si="80"/>
        <v>女</v>
      </c>
    </row>
    <row r="1687" spans="1:5" ht="30" customHeight="1">
      <c r="A1687" s="6">
        <v>1685</v>
      </c>
      <c r="B1687" s="7" t="str">
        <f>"29802021051209592691799"</f>
        <v>29802021051209592691799</v>
      </c>
      <c r="C1687" s="7" t="s">
        <v>15</v>
      </c>
      <c r="D1687" s="7" t="str">
        <f>"冯晓敏"</f>
        <v>冯晓敏</v>
      </c>
      <c r="E1687" s="7" t="str">
        <f t="shared" si="80"/>
        <v>女</v>
      </c>
    </row>
    <row r="1688" spans="1:5" ht="30" customHeight="1">
      <c r="A1688" s="6">
        <v>1686</v>
      </c>
      <c r="B1688" s="7" t="str">
        <f>"29802021051210041591822"</f>
        <v>29802021051210041591822</v>
      </c>
      <c r="C1688" s="7" t="s">
        <v>15</v>
      </c>
      <c r="D1688" s="7" t="str">
        <f>"梁冬苗"</f>
        <v>梁冬苗</v>
      </c>
      <c r="E1688" s="7" t="str">
        <f t="shared" si="80"/>
        <v>女</v>
      </c>
    </row>
    <row r="1689" spans="1:5" ht="30" customHeight="1">
      <c r="A1689" s="6">
        <v>1687</v>
      </c>
      <c r="B1689" s="7" t="str">
        <f>"29802021051210054591833"</f>
        <v>29802021051210054591833</v>
      </c>
      <c r="C1689" s="7" t="s">
        <v>15</v>
      </c>
      <c r="D1689" s="7" t="str">
        <f>"李家凤"</f>
        <v>李家凤</v>
      </c>
      <c r="E1689" s="7" t="str">
        <f t="shared" si="80"/>
        <v>女</v>
      </c>
    </row>
    <row r="1690" spans="1:5" ht="30" customHeight="1">
      <c r="A1690" s="6">
        <v>1688</v>
      </c>
      <c r="B1690" s="7" t="str">
        <f>"29802021051210124691862"</f>
        <v>29802021051210124691862</v>
      </c>
      <c r="C1690" s="7" t="s">
        <v>15</v>
      </c>
      <c r="D1690" s="7" t="str">
        <f>"王桂香"</f>
        <v>王桂香</v>
      </c>
      <c r="E1690" s="7" t="str">
        <f t="shared" si="80"/>
        <v>女</v>
      </c>
    </row>
    <row r="1691" spans="1:5" ht="30" customHeight="1">
      <c r="A1691" s="6">
        <v>1689</v>
      </c>
      <c r="B1691" s="7" t="str">
        <f>"29802021051210160791882"</f>
        <v>29802021051210160791882</v>
      </c>
      <c r="C1691" s="7" t="s">
        <v>15</v>
      </c>
      <c r="D1691" s="7" t="str">
        <f>"许秋香"</f>
        <v>许秋香</v>
      </c>
      <c r="E1691" s="7" t="str">
        <f t="shared" si="80"/>
        <v>女</v>
      </c>
    </row>
    <row r="1692" spans="1:5" ht="30" customHeight="1">
      <c r="A1692" s="6">
        <v>1690</v>
      </c>
      <c r="B1692" s="7" t="str">
        <f>"29802021051210202891904"</f>
        <v>29802021051210202891904</v>
      </c>
      <c r="C1692" s="7" t="s">
        <v>15</v>
      </c>
      <c r="D1692" s="7" t="str">
        <f>"吴琼菊"</f>
        <v>吴琼菊</v>
      </c>
      <c r="E1692" s="7" t="str">
        <f t="shared" si="80"/>
        <v>女</v>
      </c>
    </row>
    <row r="1693" spans="1:5" ht="30" customHeight="1">
      <c r="A1693" s="6">
        <v>1691</v>
      </c>
      <c r="B1693" s="7" t="str">
        <f>"29802021051210262891933"</f>
        <v>29802021051210262891933</v>
      </c>
      <c r="C1693" s="7" t="s">
        <v>15</v>
      </c>
      <c r="D1693" s="7" t="str">
        <f>"符铭云"</f>
        <v>符铭云</v>
      </c>
      <c r="E1693" s="7" t="str">
        <f t="shared" si="80"/>
        <v>女</v>
      </c>
    </row>
    <row r="1694" spans="1:5" ht="30" customHeight="1">
      <c r="A1694" s="6">
        <v>1692</v>
      </c>
      <c r="B1694" s="7" t="str">
        <f>"29802021051210410692009"</f>
        <v>29802021051210410692009</v>
      </c>
      <c r="C1694" s="7" t="s">
        <v>15</v>
      </c>
      <c r="D1694" s="7" t="str">
        <f>"钟信念"</f>
        <v>钟信念</v>
      </c>
      <c r="E1694" s="7" t="str">
        <f t="shared" si="80"/>
        <v>女</v>
      </c>
    </row>
    <row r="1695" spans="1:5" ht="30" customHeight="1">
      <c r="A1695" s="6">
        <v>1693</v>
      </c>
      <c r="B1695" s="7" t="str">
        <f>"29802021051210474692052"</f>
        <v>29802021051210474692052</v>
      </c>
      <c r="C1695" s="7" t="s">
        <v>15</v>
      </c>
      <c r="D1695" s="7" t="str">
        <f>"吴珍珍"</f>
        <v>吴珍珍</v>
      </c>
      <c r="E1695" s="7" t="str">
        <f t="shared" si="80"/>
        <v>女</v>
      </c>
    </row>
    <row r="1696" spans="1:5" ht="30" customHeight="1">
      <c r="A1696" s="6">
        <v>1694</v>
      </c>
      <c r="B1696" s="7" t="str">
        <f>"29802021051210552392102"</f>
        <v>29802021051210552392102</v>
      </c>
      <c r="C1696" s="7" t="s">
        <v>15</v>
      </c>
      <c r="D1696" s="7" t="str">
        <f>"吴茹"</f>
        <v>吴茹</v>
      </c>
      <c r="E1696" s="7" t="str">
        <f t="shared" si="80"/>
        <v>女</v>
      </c>
    </row>
    <row r="1697" spans="1:5" ht="30" customHeight="1">
      <c r="A1697" s="6">
        <v>1695</v>
      </c>
      <c r="B1697" s="7" t="str">
        <f>"29802021051210593492124"</f>
        <v>29802021051210593492124</v>
      </c>
      <c r="C1697" s="7" t="s">
        <v>15</v>
      </c>
      <c r="D1697" s="7" t="str">
        <f>"云倩蕾"</f>
        <v>云倩蕾</v>
      </c>
      <c r="E1697" s="7" t="str">
        <f t="shared" si="80"/>
        <v>女</v>
      </c>
    </row>
    <row r="1698" spans="1:5" ht="30" customHeight="1">
      <c r="A1698" s="6">
        <v>1696</v>
      </c>
      <c r="B1698" s="7" t="str">
        <f>"29802021051211063992151"</f>
        <v>29802021051211063992151</v>
      </c>
      <c r="C1698" s="7" t="s">
        <v>15</v>
      </c>
      <c r="D1698" s="7" t="str">
        <f>"吴桂金"</f>
        <v>吴桂金</v>
      </c>
      <c r="E1698" s="7" t="str">
        <f t="shared" si="80"/>
        <v>女</v>
      </c>
    </row>
    <row r="1699" spans="1:5" ht="30" customHeight="1">
      <c r="A1699" s="6">
        <v>1697</v>
      </c>
      <c r="B1699" s="7" t="str">
        <f>"29802021051211393692286"</f>
        <v>29802021051211393692286</v>
      </c>
      <c r="C1699" s="7" t="s">
        <v>15</v>
      </c>
      <c r="D1699" s="7" t="str">
        <f>"陈亚风"</f>
        <v>陈亚风</v>
      </c>
      <c r="E1699" s="7" t="str">
        <f t="shared" si="80"/>
        <v>女</v>
      </c>
    </row>
    <row r="1700" spans="1:5" ht="30" customHeight="1">
      <c r="A1700" s="6">
        <v>1698</v>
      </c>
      <c r="B1700" s="7" t="str">
        <f>"29802021051211425292295"</f>
        <v>29802021051211425292295</v>
      </c>
      <c r="C1700" s="7" t="s">
        <v>15</v>
      </c>
      <c r="D1700" s="7" t="str">
        <f>"陈井桃"</f>
        <v>陈井桃</v>
      </c>
      <c r="E1700" s="7" t="str">
        <f t="shared" si="80"/>
        <v>女</v>
      </c>
    </row>
    <row r="1701" spans="1:5" ht="30" customHeight="1">
      <c r="A1701" s="6">
        <v>1699</v>
      </c>
      <c r="B1701" s="7" t="str">
        <f>"29802021051211474192313"</f>
        <v>29802021051211474192313</v>
      </c>
      <c r="C1701" s="7" t="s">
        <v>15</v>
      </c>
      <c r="D1701" s="7" t="str">
        <f>"李金燕"</f>
        <v>李金燕</v>
      </c>
      <c r="E1701" s="7" t="str">
        <f t="shared" si="80"/>
        <v>女</v>
      </c>
    </row>
    <row r="1702" spans="1:5" ht="30" customHeight="1">
      <c r="A1702" s="6">
        <v>1700</v>
      </c>
      <c r="B1702" s="7" t="str">
        <f>"29802021051212184392393"</f>
        <v>29802021051212184392393</v>
      </c>
      <c r="C1702" s="7" t="s">
        <v>15</v>
      </c>
      <c r="D1702" s="7" t="str">
        <f>"翁时豪"</f>
        <v>翁时豪</v>
      </c>
      <c r="E1702" s="7" t="str">
        <f>"男"</f>
        <v>男</v>
      </c>
    </row>
    <row r="1703" spans="1:5" ht="30" customHeight="1">
      <c r="A1703" s="6">
        <v>1701</v>
      </c>
      <c r="B1703" s="7" t="str">
        <f>"29802021051213010192531"</f>
        <v>29802021051213010192531</v>
      </c>
      <c r="C1703" s="7" t="s">
        <v>15</v>
      </c>
      <c r="D1703" s="7" t="str">
        <f>"李江玲"</f>
        <v>李江玲</v>
      </c>
      <c r="E1703" s="7" t="str">
        <f>"女"</f>
        <v>女</v>
      </c>
    </row>
    <row r="1704" spans="1:5" ht="30" customHeight="1">
      <c r="A1704" s="6">
        <v>1702</v>
      </c>
      <c r="B1704" s="7" t="str">
        <f>"29802021051213135192574"</f>
        <v>29802021051213135192574</v>
      </c>
      <c r="C1704" s="7" t="s">
        <v>15</v>
      </c>
      <c r="D1704" s="7" t="str">
        <f>"蔡传会"</f>
        <v>蔡传会</v>
      </c>
      <c r="E1704" s="7" t="str">
        <f>"男"</f>
        <v>男</v>
      </c>
    </row>
    <row r="1705" spans="1:5" ht="30" customHeight="1">
      <c r="A1705" s="6">
        <v>1703</v>
      </c>
      <c r="B1705" s="7" t="str">
        <f>"29802021051214004992658"</f>
        <v>29802021051214004992658</v>
      </c>
      <c r="C1705" s="7" t="s">
        <v>15</v>
      </c>
      <c r="D1705" s="7" t="str">
        <f>"王小玲"</f>
        <v>王小玲</v>
      </c>
      <c r="E1705" s="7" t="str">
        <f>"女"</f>
        <v>女</v>
      </c>
    </row>
    <row r="1706" spans="1:5" ht="30" customHeight="1">
      <c r="A1706" s="6">
        <v>1704</v>
      </c>
      <c r="B1706" s="7" t="str">
        <f>"29802021051214354592730"</f>
        <v>29802021051214354592730</v>
      </c>
      <c r="C1706" s="7" t="s">
        <v>15</v>
      </c>
      <c r="D1706" s="7" t="str">
        <f>"陈垂俊"</f>
        <v>陈垂俊</v>
      </c>
      <c r="E1706" s="7" t="str">
        <f>"男"</f>
        <v>男</v>
      </c>
    </row>
    <row r="1707" spans="1:5" ht="30" customHeight="1">
      <c r="A1707" s="6">
        <v>1705</v>
      </c>
      <c r="B1707" s="7" t="str">
        <f>"29802021051215111492846"</f>
        <v>29802021051215111492846</v>
      </c>
      <c r="C1707" s="7" t="s">
        <v>15</v>
      </c>
      <c r="D1707" s="7" t="str">
        <f>"陈海花"</f>
        <v>陈海花</v>
      </c>
      <c r="E1707" s="7" t="str">
        <f aca="true" t="shared" si="81" ref="E1707:E1721">"女"</f>
        <v>女</v>
      </c>
    </row>
    <row r="1708" spans="1:5" ht="30" customHeight="1">
      <c r="A1708" s="6">
        <v>1706</v>
      </c>
      <c r="B1708" s="7" t="str">
        <f>"29802021051215423592981"</f>
        <v>29802021051215423592981</v>
      </c>
      <c r="C1708" s="7" t="s">
        <v>15</v>
      </c>
      <c r="D1708" s="7" t="str">
        <f>"符月正"</f>
        <v>符月正</v>
      </c>
      <c r="E1708" s="7" t="str">
        <f t="shared" si="81"/>
        <v>女</v>
      </c>
    </row>
    <row r="1709" spans="1:5" ht="30" customHeight="1">
      <c r="A1709" s="6">
        <v>1707</v>
      </c>
      <c r="B1709" s="7" t="str">
        <f>"29802021051215565993041"</f>
        <v>29802021051215565993041</v>
      </c>
      <c r="C1709" s="7" t="s">
        <v>15</v>
      </c>
      <c r="D1709" s="7" t="str">
        <f>"黎兰桂"</f>
        <v>黎兰桂</v>
      </c>
      <c r="E1709" s="7" t="str">
        <f t="shared" si="81"/>
        <v>女</v>
      </c>
    </row>
    <row r="1710" spans="1:5" ht="30" customHeight="1">
      <c r="A1710" s="6">
        <v>1708</v>
      </c>
      <c r="B1710" s="7" t="str">
        <f>"29802021051216094793082"</f>
        <v>29802021051216094793082</v>
      </c>
      <c r="C1710" s="7" t="s">
        <v>15</v>
      </c>
      <c r="D1710" s="7" t="str">
        <f>"韦琦"</f>
        <v>韦琦</v>
      </c>
      <c r="E1710" s="7" t="str">
        <f t="shared" si="81"/>
        <v>女</v>
      </c>
    </row>
    <row r="1711" spans="1:5" ht="30" customHeight="1">
      <c r="A1711" s="6">
        <v>1709</v>
      </c>
      <c r="B1711" s="7" t="str">
        <f>"29802021051216100593084"</f>
        <v>29802021051216100593084</v>
      </c>
      <c r="C1711" s="7" t="s">
        <v>15</v>
      </c>
      <c r="D1711" s="7" t="str">
        <f>"高紫虹"</f>
        <v>高紫虹</v>
      </c>
      <c r="E1711" s="7" t="str">
        <f t="shared" si="81"/>
        <v>女</v>
      </c>
    </row>
    <row r="1712" spans="1:5" ht="30" customHeight="1">
      <c r="A1712" s="6">
        <v>1710</v>
      </c>
      <c r="B1712" s="7" t="str">
        <f>"29802021051216132693096"</f>
        <v>29802021051216132693096</v>
      </c>
      <c r="C1712" s="7" t="s">
        <v>15</v>
      </c>
      <c r="D1712" s="7" t="str">
        <f>"徐晓春"</f>
        <v>徐晓春</v>
      </c>
      <c r="E1712" s="7" t="str">
        <f t="shared" si="81"/>
        <v>女</v>
      </c>
    </row>
    <row r="1713" spans="1:5" ht="30" customHeight="1">
      <c r="A1713" s="6">
        <v>1711</v>
      </c>
      <c r="B1713" s="7" t="str">
        <f>"29802021051216155693107"</f>
        <v>29802021051216155693107</v>
      </c>
      <c r="C1713" s="7" t="s">
        <v>15</v>
      </c>
      <c r="D1713" s="7" t="str">
        <f>"吴景琛"</f>
        <v>吴景琛</v>
      </c>
      <c r="E1713" s="7" t="str">
        <f t="shared" si="81"/>
        <v>女</v>
      </c>
    </row>
    <row r="1714" spans="1:5" ht="30" customHeight="1">
      <c r="A1714" s="6">
        <v>1712</v>
      </c>
      <c r="B1714" s="7" t="str">
        <f>"29802021051216170293113"</f>
        <v>29802021051216170293113</v>
      </c>
      <c r="C1714" s="7" t="s">
        <v>15</v>
      </c>
      <c r="D1714" s="7" t="str">
        <f>"何梅霞"</f>
        <v>何梅霞</v>
      </c>
      <c r="E1714" s="7" t="str">
        <f t="shared" si="81"/>
        <v>女</v>
      </c>
    </row>
    <row r="1715" spans="1:5" ht="30" customHeight="1">
      <c r="A1715" s="6">
        <v>1713</v>
      </c>
      <c r="B1715" s="7" t="str">
        <f>"29802021051216263593149"</f>
        <v>29802021051216263593149</v>
      </c>
      <c r="C1715" s="7" t="s">
        <v>15</v>
      </c>
      <c r="D1715" s="7" t="str">
        <f>"黄春美"</f>
        <v>黄春美</v>
      </c>
      <c r="E1715" s="7" t="str">
        <f t="shared" si="81"/>
        <v>女</v>
      </c>
    </row>
    <row r="1716" spans="1:5" ht="30" customHeight="1">
      <c r="A1716" s="6">
        <v>1714</v>
      </c>
      <c r="B1716" s="7" t="str">
        <f>"29802021051216300093162"</f>
        <v>29802021051216300093162</v>
      </c>
      <c r="C1716" s="7" t="s">
        <v>15</v>
      </c>
      <c r="D1716" s="7" t="str">
        <f>"陈秋可"</f>
        <v>陈秋可</v>
      </c>
      <c r="E1716" s="7" t="str">
        <f t="shared" si="81"/>
        <v>女</v>
      </c>
    </row>
    <row r="1717" spans="1:5" ht="30" customHeight="1">
      <c r="A1717" s="6">
        <v>1715</v>
      </c>
      <c r="B1717" s="7" t="str">
        <f>"29802021051216370993199"</f>
        <v>29802021051216370993199</v>
      </c>
      <c r="C1717" s="7" t="s">
        <v>15</v>
      </c>
      <c r="D1717" s="7" t="str">
        <f>"孟思琳"</f>
        <v>孟思琳</v>
      </c>
      <c r="E1717" s="7" t="str">
        <f t="shared" si="81"/>
        <v>女</v>
      </c>
    </row>
    <row r="1718" spans="1:5" ht="30" customHeight="1">
      <c r="A1718" s="6">
        <v>1716</v>
      </c>
      <c r="B1718" s="7" t="str">
        <f>"29802021051216480893256"</f>
        <v>29802021051216480893256</v>
      </c>
      <c r="C1718" s="7" t="s">
        <v>15</v>
      </c>
      <c r="D1718" s="7" t="str">
        <f>"林敏"</f>
        <v>林敏</v>
      </c>
      <c r="E1718" s="7" t="str">
        <f t="shared" si="81"/>
        <v>女</v>
      </c>
    </row>
    <row r="1719" spans="1:5" ht="30" customHeight="1">
      <c r="A1719" s="6">
        <v>1717</v>
      </c>
      <c r="B1719" s="7" t="str">
        <f>"29802021051216575793297"</f>
        <v>29802021051216575793297</v>
      </c>
      <c r="C1719" s="7" t="s">
        <v>15</v>
      </c>
      <c r="D1719" s="7" t="str">
        <f>"李海英"</f>
        <v>李海英</v>
      </c>
      <c r="E1719" s="7" t="str">
        <f t="shared" si="81"/>
        <v>女</v>
      </c>
    </row>
    <row r="1720" spans="1:5" ht="30" customHeight="1">
      <c r="A1720" s="6">
        <v>1718</v>
      </c>
      <c r="B1720" s="7" t="str">
        <f>"29802021051216584293304"</f>
        <v>29802021051216584293304</v>
      </c>
      <c r="C1720" s="7" t="s">
        <v>15</v>
      </c>
      <c r="D1720" s="7" t="str">
        <f>"赖忆连"</f>
        <v>赖忆连</v>
      </c>
      <c r="E1720" s="7" t="str">
        <f t="shared" si="81"/>
        <v>女</v>
      </c>
    </row>
    <row r="1721" spans="1:5" ht="30" customHeight="1">
      <c r="A1721" s="6">
        <v>1719</v>
      </c>
      <c r="B1721" s="7" t="str">
        <f>"29802021051217155193362"</f>
        <v>29802021051217155193362</v>
      </c>
      <c r="C1721" s="7" t="s">
        <v>15</v>
      </c>
      <c r="D1721" s="7" t="str">
        <f>"王丽婷"</f>
        <v>王丽婷</v>
      </c>
      <c r="E1721" s="7" t="str">
        <f t="shared" si="81"/>
        <v>女</v>
      </c>
    </row>
    <row r="1722" spans="1:5" ht="30" customHeight="1">
      <c r="A1722" s="6">
        <v>1720</v>
      </c>
      <c r="B1722" s="7" t="str">
        <f>"29802021051217431193445"</f>
        <v>29802021051217431193445</v>
      </c>
      <c r="C1722" s="7" t="s">
        <v>15</v>
      </c>
      <c r="D1722" s="7" t="str">
        <f>"林明福"</f>
        <v>林明福</v>
      </c>
      <c r="E1722" s="7" t="str">
        <f>"男"</f>
        <v>男</v>
      </c>
    </row>
    <row r="1723" spans="1:5" ht="30" customHeight="1">
      <c r="A1723" s="6">
        <v>1721</v>
      </c>
      <c r="B1723" s="7" t="str">
        <f>"29802021051218514293577"</f>
        <v>29802021051218514293577</v>
      </c>
      <c r="C1723" s="7" t="s">
        <v>15</v>
      </c>
      <c r="D1723" s="7" t="str">
        <f>"林春妮"</f>
        <v>林春妮</v>
      </c>
      <c r="E1723" s="7" t="str">
        <f aca="true" t="shared" si="82" ref="E1723:E1741">"女"</f>
        <v>女</v>
      </c>
    </row>
    <row r="1724" spans="1:5" ht="30" customHeight="1">
      <c r="A1724" s="6">
        <v>1722</v>
      </c>
      <c r="B1724" s="7" t="str">
        <f>"29802021051218560793585"</f>
        <v>29802021051218560793585</v>
      </c>
      <c r="C1724" s="7" t="s">
        <v>15</v>
      </c>
      <c r="D1724" s="7" t="str">
        <f>"韩翠芳"</f>
        <v>韩翠芳</v>
      </c>
      <c r="E1724" s="7" t="str">
        <f t="shared" si="82"/>
        <v>女</v>
      </c>
    </row>
    <row r="1725" spans="1:5" ht="30" customHeight="1">
      <c r="A1725" s="6">
        <v>1723</v>
      </c>
      <c r="B1725" s="7" t="str">
        <f>"29802021051219085693605"</f>
        <v>29802021051219085693605</v>
      </c>
      <c r="C1725" s="7" t="s">
        <v>15</v>
      </c>
      <c r="D1725" s="7" t="str">
        <f>"陈水萍"</f>
        <v>陈水萍</v>
      </c>
      <c r="E1725" s="7" t="str">
        <f t="shared" si="82"/>
        <v>女</v>
      </c>
    </row>
    <row r="1726" spans="1:5" ht="30" customHeight="1">
      <c r="A1726" s="6">
        <v>1724</v>
      </c>
      <c r="B1726" s="7" t="str">
        <f>"29802021051219414693654"</f>
        <v>29802021051219414693654</v>
      </c>
      <c r="C1726" s="7" t="s">
        <v>15</v>
      </c>
      <c r="D1726" s="7" t="str">
        <f>"王长姑"</f>
        <v>王长姑</v>
      </c>
      <c r="E1726" s="7" t="str">
        <f t="shared" si="82"/>
        <v>女</v>
      </c>
    </row>
    <row r="1727" spans="1:5" ht="30" customHeight="1">
      <c r="A1727" s="6">
        <v>1725</v>
      </c>
      <c r="B1727" s="7" t="str">
        <f>"29802021051220024293703"</f>
        <v>29802021051220024293703</v>
      </c>
      <c r="C1727" s="7" t="s">
        <v>15</v>
      </c>
      <c r="D1727" s="7" t="str">
        <f>"杨春妮"</f>
        <v>杨春妮</v>
      </c>
      <c r="E1727" s="7" t="str">
        <f t="shared" si="82"/>
        <v>女</v>
      </c>
    </row>
    <row r="1728" spans="1:5" ht="30" customHeight="1">
      <c r="A1728" s="6">
        <v>1726</v>
      </c>
      <c r="B1728" s="7" t="str">
        <f>"29802021051220354093778"</f>
        <v>29802021051220354093778</v>
      </c>
      <c r="C1728" s="7" t="s">
        <v>15</v>
      </c>
      <c r="D1728" s="7" t="str">
        <f>"王少秀"</f>
        <v>王少秀</v>
      </c>
      <c r="E1728" s="7" t="str">
        <f t="shared" si="82"/>
        <v>女</v>
      </c>
    </row>
    <row r="1729" spans="1:5" ht="30" customHeight="1">
      <c r="A1729" s="6">
        <v>1727</v>
      </c>
      <c r="B1729" s="7" t="str">
        <f>"29802021051220355293779"</f>
        <v>29802021051220355293779</v>
      </c>
      <c r="C1729" s="7" t="s">
        <v>15</v>
      </c>
      <c r="D1729" s="7" t="str">
        <f>"陈菊"</f>
        <v>陈菊</v>
      </c>
      <c r="E1729" s="7" t="str">
        <f t="shared" si="82"/>
        <v>女</v>
      </c>
    </row>
    <row r="1730" spans="1:5" ht="30" customHeight="1">
      <c r="A1730" s="6">
        <v>1728</v>
      </c>
      <c r="B1730" s="7" t="str">
        <f>"29802021051221030593842"</f>
        <v>29802021051221030593842</v>
      </c>
      <c r="C1730" s="7" t="s">
        <v>15</v>
      </c>
      <c r="D1730" s="7" t="str">
        <f>"文秀琪"</f>
        <v>文秀琪</v>
      </c>
      <c r="E1730" s="7" t="str">
        <f t="shared" si="82"/>
        <v>女</v>
      </c>
    </row>
    <row r="1731" spans="1:5" ht="30" customHeight="1">
      <c r="A1731" s="6">
        <v>1729</v>
      </c>
      <c r="B1731" s="7" t="str">
        <f>"29802021051221105793863"</f>
        <v>29802021051221105793863</v>
      </c>
      <c r="C1731" s="7" t="s">
        <v>15</v>
      </c>
      <c r="D1731" s="7" t="str">
        <f>"薛桃花"</f>
        <v>薛桃花</v>
      </c>
      <c r="E1731" s="7" t="str">
        <f t="shared" si="82"/>
        <v>女</v>
      </c>
    </row>
    <row r="1732" spans="1:5" ht="30" customHeight="1">
      <c r="A1732" s="6">
        <v>1730</v>
      </c>
      <c r="B1732" s="7" t="str">
        <f>"29802021051221234393897"</f>
        <v>29802021051221234393897</v>
      </c>
      <c r="C1732" s="7" t="s">
        <v>15</v>
      </c>
      <c r="D1732" s="7" t="str">
        <f>"何瑞萍"</f>
        <v>何瑞萍</v>
      </c>
      <c r="E1732" s="7" t="str">
        <f t="shared" si="82"/>
        <v>女</v>
      </c>
    </row>
    <row r="1733" spans="1:5" ht="30" customHeight="1">
      <c r="A1733" s="6">
        <v>1731</v>
      </c>
      <c r="B1733" s="7" t="str">
        <f>"29802021051221293893915"</f>
        <v>29802021051221293893915</v>
      </c>
      <c r="C1733" s="7" t="s">
        <v>15</v>
      </c>
      <c r="D1733" s="7" t="str">
        <f>"赖玉利"</f>
        <v>赖玉利</v>
      </c>
      <c r="E1733" s="7" t="str">
        <f t="shared" si="82"/>
        <v>女</v>
      </c>
    </row>
    <row r="1734" spans="1:5" ht="30" customHeight="1">
      <c r="A1734" s="6">
        <v>1732</v>
      </c>
      <c r="B1734" s="7" t="str">
        <f>"29802021051221300793917"</f>
        <v>29802021051221300793917</v>
      </c>
      <c r="C1734" s="7" t="s">
        <v>15</v>
      </c>
      <c r="D1734" s="7" t="str">
        <f>"黄日春"</f>
        <v>黄日春</v>
      </c>
      <c r="E1734" s="7" t="str">
        <f t="shared" si="82"/>
        <v>女</v>
      </c>
    </row>
    <row r="1735" spans="1:5" ht="30" customHeight="1">
      <c r="A1735" s="6">
        <v>1733</v>
      </c>
      <c r="B1735" s="7" t="str">
        <f>"29802021051221370293933"</f>
        <v>29802021051221370293933</v>
      </c>
      <c r="C1735" s="7" t="s">
        <v>15</v>
      </c>
      <c r="D1735" s="7" t="str">
        <f>"邱宇"</f>
        <v>邱宇</v>
      </c>
      <c r="E1735" s="7" t="str">
        <f t="shared" si="82"/>
        <v>女</v>
      </c>
    </row>
    <row r="1736" spans="1:5" ht="30" customHeight="1">
      <c r="A1736" s="6">
        <v>1734</v>
      </c>
      <c r="B1736" s="7" t="str">
        <f>"29802021051221465593956"</f>
        <v>29802021051221465593956</v>
      </c>
      <c r="C1736" s="7" t="s">
        <v>15</v>
      </c>
      <c r="D1736" s="7" t="str">
        <f>"钟颖"</f>
        <v>钟颖</v>
      </c>
      <c r="E1736" s="7" t="str">
        <f t="shared" si="82"/>
        <v>女</v>
      </c>
    </row>
    <row r="1737" spans="1:5" ht="30" customHeight="1">
      <c r="A1737" s="6">
        <v>1735</v>
      </c>
      <c r="B1737" s="7" t="str">
        <f>"29802021051222034994001"</f>
        <v>29802021051222034994001</v>
      </c>
      <c r="C1737" s="7" t="s">
        <v>15</v>
      </c>
      <c r="D1737" s="7" t="str">
        <f>"李朝丹"</f>
        <v>李朝丹</v>
      </c>
      <c r="E1737" s="7" t="str">
        <f t="shared" si="82"/>
        <v>女</v>
      </c>
    </row>
    <row r="1738" spans="1:5" ht="30" customHeight="1">
      <c r="A1738" s="6">
        <v>1736</v>
      </c>
      <c r="B1738" s="7" t="str">
        <f>"29802021051222361394072"</f>
        <v>29802021051222361394072</v>
      </c>
      <c r="C1738" s="7" t="s">
        <v>15</v>
      </c>
      <c r="D1738" s="7" t="str">
        <f>"何守菊"</f>
        <v>何守菊</v>
      </c>
      <c r="E1738" s="7" t="str">
        <f t="shared" si="82"/>
        <v>女</v>
      </c>
    </row>
    <row r="1739" spans="1:5" ht="30" customHeight="1">
      <c r="A1739" s="6">
        <v>1737</v>
      </c>
      <c r="B1739" s="7" t="str">
        <f>"29802021051222492394105"</f>
        <v>29802021051222492394105</v>
      </c>
      <c r="C1739" s="7" t="s">
        <v>15</v>
      </c>
      <c r="D1739" s="7" t="str">
        <f>"邢楠楠"</f>
        <v>邢楠楠</v>
      </c>
      <c r="E1739" s="7" t="str">
        <f t="shared" si="82"/>
        <v>女</v>
      </c>
    </row>
    <row r="1740" spans="1:5" ht="30" customHeight="1">
      <c r="A1740" s="6">
        <v>1738</v>
      </c>
      <c r="B1740" s="7" t="str">
        <f>"29802021051222543894117"</f>
        <v>29802021051222543894117</v>
      </c>
      <c r="C1740" s="7" t="s">
        <v>15</v>
      </c>
      <c r="D1740" s="7" t="str">
        <f>"陈素妮"</f>
        <v>陈素妮</v>
      </c>
      <c r="E1740" s="7" t="str">
        <f t="shared" si="82"/>
        <v>女</v>
      </c>
    </row>
    <row r="1741" spans="1:5" ht="30" customHeight="1">
      <c r="A1741" s="6">
        <v>1739</v>
      </c>
      <c r="B1741" s="7" t="str">
        <f>"29802021051222552294118"</f>
        <v>29802021051222552294118</v>
      </c>
      <c r="C1741" s="7" t="s">
        <v>15</v>
      </c>
      <c r="D1741" s="7" t="str">
        <f>"陈梅丽"</f>
        <v>陈梅丽</v>
      </c>
      <c r="E1741" s="7" t="str">
        <f t="shared" si="82"/>
        <v>女</v>
      </c>
    </row>
    <row r="1742" spans="1:5" ht="30" customHeight="1">
      <c r="A1742" s="6">
        <v>1740</v>
      </c>
      <c r="B1742" s="7" t="str">
        <f>"29802021051222573794123"</f>
        <v>29802021051222573794123</v>
      </c>
      <c r="C1742" s="7" t="s">
        <v>15</v>
      </c>
      <c r="D1742" s="7" t="str">
        <f>"邱庆征"</f>
        <v>邱庆征</v>
      </c>
      <c r="E1742" s="7" t="str">
        <f>"男"</f>
        <v>男</v>
      </c>
    </row>
    <row r="1743" spans="1:5" ht="30" customHeight="1">
      <c r="A1743" s="6">
        <v>1741</v>
      </c>
      <c r="B1743" s="7" t="str">
        <f>"29802021051223124994156"</f>
        <v>29802021051223124994156</v>
      </c>
      <c r="C1743" s="7" t="s">
        <v>15</v>
      </c>
      <c r="D1743" s="7" t="str">
        <f>"许智闻"</f>
        <v>许智闻</v>
      </c>
      <c r="E1743" s="7" t="str">
        <f aca="true" t="shared" si="83" ref="E1743:E1758">"女"</f>
        <v>女</v>
      </c>
    </row>
    <row r="1744" spans="1:5" ht="30" customHeight="1">
      <c r="A1744" s="6">
        <v>1742</v>
      </c>
      <c r="B1744" s="7" t="str">
        <f>"29802021051223173494166"</f>
        <v>29802021051223173494166</v>
      </c>
      <c r="C1744" s="7" t="s">
        <v>15</v>
      </c>
      <c r="D1744" s="7" t="str">
        <f>"莫兰玉"</f>
        <v>莫兰玉</v>
      </c>
      <c r="E1744" s="7" t="str">
        <f t="shared" si="83"/>
        <v>女</v>
      </c>
    </row>
    <row r="1745" spans="1:5" ht="30" customHeight="1">
      <c r="A1745" s="6">
        <v>1743</v>
      </c>
      <c r="B1745" s="7" t="str">
        <f>"29802021051223192394168"</f>
        <v>29802021051223192394168</v>
      </c>
      <c r="C1745" s="7" t="s">
        <v>15</v>
      </c>
      <c r="D1745" s="7" t="str">
        <f>"张少芳"</f>
        <v>张少芳</v>
      </c>
      <c r="E1745" s="7" t="str">
        <f t="shared" si="83"/>
        <v>女</v>
      </c>
    </row>
    <row r="1746" spans="1:5" ht="30" customHeight="1">
      <c r="A1746" s="6">
        <v>1744</v>
      </c>
      <c r="B1746" s="7" t="str">
        <f>"29802021051223425794199"</f>
        <v>29802021051223425794199</v>
      </c>
      <c r="C1746" s="7" t="s">
        <v>15</v>
      </c>
      <c r="D1746" s="7" t="str">
        <f>"欧艳虹"</f>
        <v>欧艳虹</v>
      </c>
      <c r="E1746" s="7" t="str">
        <f t="shared" si="83"/>
        <v>女</v>
      </c>
    </row>
    <row r="1747" spans="1:5" ht="30" customHeight="1">
      <c r="A1747" s="6">
        <v>1745</v>
      </c>
      <c r="B1747" s="7" t="str">
        <f>"29802021051304102994255"</f>
        <v>29802021051304102994255</v>
      </c>
      <c r="C1747" s="7" t="s">
        <v>15</v>
      </c>
      <c r="D1747" s="7" t="str">
        <f>"欧阳柳"</f>
        <v>欧阳柳</v>
      </c>
      <c r="E1747" s="7" t="str">
        <f t="shared" si="83"/>
        <v>女</v>
      </c>
    </row>
    <row r="1748" spans="1:5" ht="30" customHeight="1">
      <c r="A1748" s="6">
        <v>1746</v>
      </c>
      <c r="B1748" s="7" t="str">
        <f>"29802021051307502894277"</f>
        <v>29802021051307502894277</v>
      </c>
      <c r="C1748" s="7" t="s">
        <v>15</v>
      </c>
      <c r="D1748" s="7" t="str">
        <f>"许梦珍"</f>
        <v>许梦珍</v>
      </c>
      <c r="E1748" s="7" t="str">
        <f t="shared" si="83"/>
        <v>女</v>
      </c>
    </row>
    <row r="1749" spans="1:5" ht="30" customHeight="1">
      <c r="A1749" s="6">
        <v>1747</v>
      </c>
      <c r="B1749" s="7" t="str">
        <f>"29802021051308234194312"</f>
        <v>29802021051308234194312</v>
      </c>
      <c r="C1749" s="7" t="s">
        <v>15</v>
      </c>
      <c r="D1749" s="7" t="str">
        <f>"冯宝珠"</f>
        <v>冯宝珠</v>
      </c>
      <c r="E1749" s="7" t="str">
        <f t="shared" si="83"/>
        <v>女</v>
      </c>
    </row>
    <row r="1750" spans="1:5" ht="30" customHeight="1">
      <c r="A1750" s="6">
        <v>1748</v>
      </c>
      <c r="B1750" s="7" t="str">
        <f>"29802021051308341094331"</f>
        <v>29802021051308341094331</v>
      </c>
      <c r="C1750" s="7" t="s">
        <v>15</v>
      </c>
      <c r="D1750" s="7" t="str">
        <f>"郭坤女"</f>
        <v>郭坤女</v>
      </c>
      <c r="E1750" s="7" t="str">
        <f t="shared" si="83"/>
        <v>女</v>
      </c>
    </row>
    <row r="1751" spans="1:5" ht="30" customHeight="1">
      <c r="A1751" s="6">
        <v>1749</v>
      </c>
      <c r="B1751" s="7" t="str">
        <f>"29802021051308512594366"</f>
        <v>29802021051308512594366</v>
      </c>
      <c r="C1751" s="7" t="s">
        <v>15</v>
      </c>
      <c r="D1751" s="7" t="str">
        <f>"王艳妹"</f>
        <v>王艳妹</v>
      </c>
      <c r="E1751" s="7" t="str">
        <f t="shared" si="83"/>
        <v>女</v>
      </c>
    </row>
    <row r="1752" spans="1:5" ht="30" customHeight="1">
      <c r="A1752" s="6">
        <v>1750</v>
      </c>
      <c r="B1752" s="7" t="str">
        <f>"29802021051309165594438"</f>
        <v>29802021051309165594438</v>
      </c>
      <c r="C1752" s="7" t="s">
        <v>15</v>
      </c>
      <c r="D1752" s="7" t="str">
        <f>"陈金凡"</f>
        <v>陈金凡</v>
      </c>
      <c r="E1752" s="7" t="str">
        <f t="shared" si="83"/>
        <v>女</v>
      </c>
    </row>
    <row r="1753" spans="1:5" ht="30" customHeight="1">
      <c r="A1753" s="6">
        <v>1751</v>
      </c>
      <c r="B1753" s="7" t="str">
        <f>"29802021051309194994444"</f>
        <v>29802021051309194994444</v>
      </c>
      <c r="C1753" s="7" t="s">
        <v>15</v>
      </c>
      <c r="D1753" s="7" t="str">
        <f>"杨少丽"</f>
        <v>杨少丽</v>
      </c>
      <c r="E1753" s="7" t="str">
        <f t="shared" si="83"/>
        <v>女</v>
      </c>
    </row>
    <row r="1754" spans="1:5" ht="30" customHeight="1">
      <c r="A1754" s="6">
        <v>1752</v>
      </c>
      <c r="B1754" s="7" t="str">
        <f>"29802021051309324994486"</f>
        <v>29802021051309324994486</v>
      </c>
      <c r="C1754" s="7" t="s">
        <v>15</v>
      </c>
      <c r="D1754" s="7" t="str">
        <f>"林欣薇"</f>
        <v>林欣薇</v>
      </c>
      <c r="E1754" s="7" t="str">
        <f t="shared" si="83"/>
        <v>女</v>
      </c>
    </row>
    <row r="1755" spans="1:5" ht="30" customHeight="1">
      <c r="A1755" s="6">
        <v>1753</v>
      </c>
      <c r="B1755" s="7" t="str">
        <f>"29802021051309330794488"</f>
        <v>29802021051309330794488</v>
      </c>
      <c r="C1755" s="7" t="s">
        <v>15</v>
      </c>
      <c r="D1755" s="7" t="str">
        <f>"符之雅"</f>
        <v>符之雅</v>
      </c>
      <c r="E1755" s="7" t="str">
        <f t="shared" si="83"/>
        <v>女</v>
      </c>
    </row>
    <row r="1756" spans="1:5" ht="30" customHeight="1">
      <c r="A1756" s="6">
        <v>1754</v>
      </c>
      <c r="B1756" s="7" t="str">
        <f>"29802021051309402794509"</f>
        <v>29802021051309402794509</v>
      </c>
      <c r="C1756" s="7" t="s">
        <v>15</v>
      </c>
      <c r="D1756" s="7" t="str">
        <f>"吴燕美"</f>
        <v>吴燕美</v>
      </c>
      <c r="E1756" s="7" t="str">
        <f t="shared" si="83"/>
        <v>女</v>
      </c>
    </row>
    <row r="1757" spans="1:5" ht="30" customHeight="1">
      <c r="A1757" s="6">
        <v>1755</v>
      </c>
      <c r="B1757" s="7" t="str">
        <f>"29802021051309543494539"</f>
        <v>29802021051309543494539</v>
      </c>
      <c r="C1757" s="7" t="s">
        <v>15</v>
      </c>
      <c r="D1757" s="7" t="str">
        <f>"谢春梁"</f>
        <v>谢春梁</v>
      </c>
      <c r="E1757" s="7" t="str">
        <f t="shared" si="83"/>
        <v>女</v>
      </c>
    </row>
    <row r="1758" spans="1:5" ht="30" customHeight="1">
      <c r="A1758" s="6">
        <v>1756</v>
      </c>
      <c r="B1758" s="7" t="str">
        <f>"29802021051309553594547"</f>
        <v>29802021051309553594547</v>
      </c>
      <c r="C1758" s="7" t="s">
        <v>15</v>
      </c>
      <c r="D1758" s="7" t="str">
        <f>"杨阿智"</f>
        <v>杨阿智</v>
      </c>
      <c r="E1758" s="7" t="str">
        <f t="shared" si="83"/>
        <v>女</v>
      </c>
    </row>
    <row r="1759" spans="1:5" ht="30" customHeight="1">
      <c r="A1759" s="6">
        <v>1757</v>
      </c>
      <c r="B1759" s="7" t="str">
        <f>"29802021051310002894560"</f>
        <v>29802021051310002894560</v>
      </c>
      <c r="C1759" s="7" t="s">
        <v>15</v>
      </c>
      <c r="D1759" s="7" t="str">
        <f>"王海鹏"</f>
        <v>王海鹏</v>
      </c>
      <c r="E1759" s="7" t="str">
        <f>"男"</f>
        <v>男</v>
      </c>
    </row>
    <row r="1760" spans="1:5" ht="30" customHeight="1">
      <c r="A1760" s="6">
        <v>1758</v>
      </c>
      <c r="B1760" s="7" t="str">
        <f>"29802021051310274094648"</f>
        <v>29802021051310274094648</v>
      </c>
      <c r="C1760" s="7" t="s">
        <v>15</v>
      </c>
      <c r="D1760" s="7" t="str">
        <f>"李观南"</f>
        <v>李观南</v>
      </c>
      <c r="E1760" s="7" t="str">
        <f>"男"</f>
        <v>男</v>
      </c>
    </row>
    <row r="1761" spans="1:5" ht="30" customHeight="1">
      <c r="A1761" s="6">
        <v>1759</v>
      </c>
      <c r="B1761" s="7" t="str">
        <f>"29802021051310463594713"</f>
        <v>29802021051310463594713</v>
      </c>
      <c r="C1761" s="7" t="s">
        <v>15</v>
      </c>
      <c r="D1761" s="7" t="str">
        <f>"吴带竹"</f>
        <v>吴带竹</v>
      </c>
      <c r="E1761" s="7" t="str">
        <f aca="true" t="shared" si="84" ref="E1761:E1766">"女"</f>
        <v>女</v>
      </c>
    </row>
    <row r="1762" spans="1:5" ht="30" customHeight="1">
      <c r="A1762" s="6">
        <v>1760</v>
      </c>
      <c r="B1762" s="7" t="str">
        <f>"29802021051310474694723"</f>
        <v>29802021051310474694723</v>
      </c>
      <c r="C1762" s="7" t="s">
        <v>15</v>
      </c>
      <c r="D1762" s="7" t="str">
        <f>"李江艳"</f>
        <v>李江艳</v>
      </c>
      <c r="E1762" s="7" t="str">
        <f t="shared" si="84"/>
        <v>女</v>
      </c>
    </row>
    <row r="1763" spans="1:5" ht="30" customHeight="1">
      <c r="A1763" s="6">
        <v>1761</v>
      </c>
      <c r="B1763" s="7" t="str">
        <f>"29802021051310560894748"</f>
        <v>29802021051310560894748</v>
      </c>
      <c r="C1763" s="7" t="s">
        <v>15</v>
      </c>
      <c r="D1763" s="7" t="str">
        <f>"林福爽"</f>
        <v>林福爽</v>
      </c>
      <c r="E1763" s="7" t="str">
        <f t="shared" si="84"/>
        <v>女</v>
      </c>
    </row>
    <row r="1764" spans="1:5" ht="30" customHeight="1">
      <c r="A1764" s="6">
        <v>1762</v>
      </c>
      <c r="B1764" s="7" t="str">
        <f>"29802021051311482794914"</f>
        <v>29802021051311482794914</v>
      </c>
      <c r="C1764" s="7" t="s">
        <v>15</v>
      </c>
      <c r="D1764" s="7" t="str">
        <f>"罗洁"</f>
        <v>罗洁</v>
      </c>
      <c r="E1764" s="7" t="str">
        <f t="shared" si="84"/>
        <v>女</v>
      </c>
    </row>
    <row r="1765" spans="1:5" ht="30" customHeight="1">
      <c r="A1765" s="6">
        <v>1763</v>
      </c>
      <c r="B1765" s="7" t="str">
        <f>"29802021051311541694932"</f>
        <v>29802021051311541694932</v>
      </c>
      <c r="C1765" s="7" t="s">
        <v>15</v>
      </c>
      <c r="D1765" s="7" t="str">
        <f>"万火玉"</f>
        <v>万火玉</v>
      </c>
      <c r="E1765" s="7" t="str">
        <f t="shared" si="84"/>
        <v>女</v>
      </c>
    </row>
    <row r="1766" spans="1:5" ht="30" customHeight="1">
      <c r="A1766" s="6">
        <v>1764</v>
      </c>
      <c r="B1766" s="7" t="str">
        <f>"29802021051312023894944"</f>
        <v>29802021051312023894944</v>
      </c>
      <c r="C1766" s="7" t="s">
        <v>15</v>
      </c>
      <c r="D1766" s="7" t="str">
        <f>"潘付桑"</f>
        <v>潘付桑</v>
      </c>
      <c r="E1766" s="7" t="str">
        <f t="shared" si="84"/>
        <v>女</v>
      </c>
    </row>
    <row r="1767" spans="1:5" ht="30" customHeight="1">
      <c r="A1767" s="6">
        <v>1765</v>
      </c>
      <c r="B1767" s="7" t="str">
        <f>"29802021051312161594970"</f>
        <v>29802021051312161594970</v>
      </c>
      <c r="C1767" s="7" t="s">
        <v>15</v>
      </c>
      <c r="D1767" s="7" t="str">
        <f>"周杨敏"</f>
        <v>周杨敏</v>
      </c>
      <c r="E1767" s="7" t="str">
        <f>"男"</f>
        <v>男</v>
      </c>
    </row>
    <row r="1768" spans="1:5" ht="30" customHeight="1">
      <c r="A1768" s="6">
        <v>1766</v>
      </c>
      <c r="B1768" s="7" t="str">
        <f>"29802021051312201394979"</f>
        <v>29802021051312201394979</v>
      </c>
      <c r="C1768" s="7" t="s">
        <v>15</v>
      </c>
      <c r="D1768" s="7" t="str">
        <f>"彭彩云"</f>
        <v>彭彩云</v>
      </c>
      <c r="E1768" s="7" t="str">
        <f>"女"</f>
        <v>女</v>
      </c>
    </row>
    <row r="1769" spans="1:5" ht="30" customHeight="1">
      <c r="A1769" s="6">
        <v>1767</v>
      </c>
      <c r="B1769" s="7" t="str">
        <f>"29802021051312320894992"</f>
        <v>29802021051312320894992</v>
      </c>
      <c r="C1769" s="7" t="s">
        <v>15</v>
      </c>
      <c r="D1769" s="7" t="str">
        <f>"谢沐萍"</f>
        <v>谢沐萍</v>
      </c>
      <c r="E1769" s="7" t="str">
        <f>"女"</f>
        <v>女</v>
      </c>
    </row>
    <row r="1770" spans="1:5" ht="30" customHeight="1">
      <c r="A1770" s="6">
        <v>1768</v>
      </c>
      <c r="B1770" s="7" t="str">
        <f>"29802021051312481095024"</f>
        <v>29802021051312481095024</v>
      </c>
      <c r="C1770" s="7" t="s">
        <v>15</v>
      </c>
      <c r="D1770" s="7" t="str">
        <f>"文秋茹"</f>
        <v>文秋茹</v>
      </c>
      <c r="E1770" s="7" t="str">
        <f>"女"</f>
        <v>女</v>
      </c>
    </row>
    <row r="1771" spans="1:5" ht="30" customHeight="1">
      <c r="A1771" s="6">
        <v>1769</v>
      </c>
      <c r="B1771" s="7" t="str">
        <f>"29802021051314041495133"</f>
        <v>29802021051314041495133</v>
      </c>
      <c r="C1771" s="7" t="s">
        <v>15</v>
      </c>
      <c r="D1771" s="7" t="str">
        <f>"蔡亲浩"</f>
        <v>蔡亲浩</v>
      </c>
      <c r="E1771" s="7" t="str">
        <f>"男"</f>
        <v>男</v>
      </c>
    </row>
    <row r="1772" spans="1:5" ht="30" customHeight="1">
      <c r="A1772" s="6">
        <v>1770</v>
      </c>
      <c r="B1772" s="7" t="str">
        <f>"29802021051314235195175"</f>
        <v>29802021051314235195175</v>
      </c>
      <c r="C1772" s="7" t="s">
        <v>15</v>
      </c>
      <c r="D1772" s="7" t="str">
        <f>"丁海波"</f>
        <v>丁海波</v>
      </c>
      <c r="E1772" s="7" t="str">
        <f aca="true" t="shared" si="85" ref="E1772:E1783">"女"</f>
        <v>女</v>
      </c>
    </row>
    <row r="1773" spans="1:5" ht="30" customHeight="1">
      <c r="A1773" s="6">
        <v>1771</v>
      </c>
      <c r="B1773" s="7" t="str">
        <f>"29802021051314485095221"</f>
        <v>29802021051314485095221</v>
      </c>
      <c r="C1773" s="7" t="s">
        <v>15</v>
      </c>
      <c r="D1773" s="7" t="str">
        <f>"林婷"</f>
        <v>林婷</v>
      </c>
      <c r="E1773" s="7" t="str">
        <f t="shared" si="85"/>
        <v>女</v>
      </c>
    </row>
    <row r="1774" spans="1:5" ht="30" customHeight="1">
      <c r="A1774" s="6">
        <v>1772</v>
      </c>
      <c r="B1774" s="7" t="str">
        <f>"29802021051314574595240"</f>
        <v>29802021051314574595240</v>
      </c>
      <c r="C1774" s="7" t="s">
        <v>15</v>
      </c>
      <c r="D1774" s="7" t="str">
        <f>"王秀颖"</f>
        <v>王秀颖</v>
      </c>
      <c r="E1774" s="7" t="str">
        <f t="shared" si="85"/>
        <v>女</v>
      </c>
    </row>
    <row r="1775" spans="1:5" ht="30" customHeight="1">
      <c r="A1775" s="6">
        <v>1773</v>
      </c>
      <c r="B1775" s="7" t="str">
        <f>"29802021051315160595285"</f>
        <v>29802021051315160595285</v>
      </c>
      <c r="C1775" s="7" t="s">
        <v>15</v>
      </c>
      <c r="D1775" s="7" t="str">
        <f>"黄春焱"</f>
        <v>黄春焱</v>
      </c>
      <c r="E1775" s="7" t="str">
        <f t="shared" si="85"/>
        <v>女</v>
      </c>
    </row>
    <row r="1776" spans="1:5" ht="30" customHeight="1">
      <c r="A1776" s="6">
        <v>1774</v>
      </c>
      <c r="B1776" s="7" t="str">
        <f>"29802021051315241595309"</f>
        <v>29802021051315241595309</v>
      </c>
      <c r="C1776" s="7" t="s">
        <v>15</v>
      </c>
      <c r="D1776" s="7" t="str">
        <f>"许莹"</f>
        <v>许莹</v>
      </c>
      <c r="E1776" s="7" t="str">
        <f t="shared" si="85"/>
        <v>女</v>
      </c>
    </row>
    <row r="1777" spans="1:5" ht="30" customHeight="1">
      <c r="A1777" s="6">
        <v>1775</v>
      </c>
      <c r="B1777" s="7" t="str">
        <f>"29802021051315414795347"</f>
        <v>29802021051315414795347</v>
      </c>
      <c r="C1777" s="7" t="s">
        <v>15</v>
      </c>
      <c r="D1777" s="7" t="str">
        <f>"陈应美"</f>
        <v>陈应美</v>
      </c>
      <c r="E1777" s="7" t="str">
        <f t="shared" si="85"/>
        <v>女</v>
      </c>
    </row>
    <row r="1778" spans="1:5" ht="30" customHeight="1">
      <c r="A1778" s="6">
        <v>1776</v>
      </c>
      <c r="B1778" s="7" t="str">
        <f>"29802021051316071895415"</f>
        <v>29802021051316071895415</v>
      </c>
      <c r="C1778" s="7" t="s">
        <v>15</v>
      </c>
      <c r="D1778" s="7" t="str">
        <f>"陈令"</f>
        <v>陈令</v>
      </c>
      <c r="E1778" s="7" t="str">
        <f t="shared" si="85"/>
        <v>女</v>
      </c>
    </row>
    <row r="1779" spans="1:5" ht="30" customHeight="1">
      <c r="A1779" s="6">
        <v>1777</v>
      </c>
      <c r="B1779" s="7" t="str">
        <f>"29802021051316313495476"</f>
        <v>29802021051316313495476</v>
      </c>
      <c r="C1779" s="7" t="s">
        <v>15</v>
      </c>
      <c r="D1779" s="7" t="str">
        <f>"陈小翠"</f>
        <v>陈小翠</v>
      </c>
      <c r="E1779" s="7" t="str">
        <f t="shared" si="85"/>
        <v>女</v>
      </c>
    </row>
    <row r="1780" spans="1:5" ht="30" customHeight="1">
      <c r="A1780" s="6">
        <v>1778</v>
      </c>
      <c r="B1780" s="7" t="str">
        <f>"29802021051316492795519"</f>
        <v>29802021051316492795519</v>
      </c>
      <c r="C1780" s="7" t="s">
        <v>15</v>
      </c>
      <c r="D1780" s="7" t="str">
        <f>"刘飞"</f>
        <v>刘飞</v>
      </c>
      <c r="E1780" s="7" t="str">
        <f t="shared" si="85"/>
        <v>女</v>
      </c>
    </row>
    <row r="1781" spans="1:5" ht="30" customHeight="1">
      <c r="A1781" s="6">
        <v>1779</v>
      </c>
      <c r="B1781" s="7" t="str">
        <f>"29802021051317085595575"</f>
        <v>29802021051317085595575</v>
      </c>
      <c r="C1781" s="7" t="s">
        <v>15</v>
      </c>
      <c r="D1781" s="7" t="str">
        <f>"王恋"</f>
        <v>王恋</v>
      </c>
      <c r="E1781" s="7" t="str">
        <f t="shared" si="85"/>
        <v>女</v>
      </c>
    </row>
    <row r="1782" spans="1:5" ht="30" customHeight="1">
      <c r="A1782" s="6">
        <v>1780</v>
      </c>
      <c r="B1782" s="7" t="str">
        <f>"29802021051317122995586"</f>
        <v>29802021051317122995586</v>
      </c>
      <c r="C1782" s="7" t="s">
        <v>15</v>
      </c>
      <c r="D1782" s="7" t="str">
        <f>"符光怀"</f>
        <v>符光怀</v>
      </c>
      <c r="E1782" s="7" t="str">
        <f t="shared" si="85"/>
        <v>女</v>
      </c>
    </row>
    <row r="1783" spans="1:5" ht="30" customHeight="1">
      <c r="A1783" s="6">
        <v>1781</v>
      </c>
      <c r="B1783" s="7" t="str">
        <f>"29802021051317423795648"</f>
        <v>29802021051317423795648</v>
      </c>
      <c r="C1783" s="7" t="s">
        <v>15</v>
      </c>
      <c r="D1783" s="7" t="str">
        <f>"罗少妹"</f>
        <v>罗少妹</v>
      </c>
      <c r="E1783" s="7" t="str">
        <f t="shared" si="85"/>
        <v>女</v>
      </c>
    </row>
    <row r="1784" spans="1:5" ht="30" customHeight="1">
      <c r="A1784" s="6">
        <v>1782</v>
      </c>
      <c r="B1784" s="7" t="str">
        <f>"29802021051318103895706"</f>
        <v>29802021051318103895706</v>
      </c>
      <c r="C1784" s="7" t="s">
        <v>15</v>
      </c>
      <c r="D1784" s="7" t="str">
        <f>"柳重春"</f>
        <v>柳重春</v>
      </c>
      <c r="E1784" s="7" t="str">
        <f>"男"</f>
        <v>男</v>
      </c>
    </row>
    <row r="1785" spans="1:5" ht="30" customHeight="1">
      <c r="A1785" s="6">
        <v>1783</v>
      </c>
      <c r="B1785" s="7" t="str">
        <f>"29802021051318173395719"</f>
        <v>29802021051318173395719</v>
      </c>
      <c r="C1785" s="7" t="s">
        <v>15</v>
      </c>
      <c r="D1785" s="7" t="str">
        <f>"云秋雨"</f>
        <v>云秋雨</v>
      </c>
      <c r="E1785" s="7" t="str">
        <f aca="true" t="shared" si="86" ref="E1785:E1808">"女"</f>
        <v>女</v>
      </c>
    </row>
    <row r="1786" spans="1:5" ht="30" customHeight="1">
      <c r="A1786" s="6">
        <v>1784</v>
      </c>
      <c r="B1786" s="7" t="str">
        <f>"29802021051318202395724"</f>
        <v>29802021051318202395724</v>
      </c>
      <c r="C1786" s="7" t="s">
        <v>15</v>
      </c>
      <c r="D1786" s="7" t="str">
        <f>"李艳萍"</f>
        <v>李艳萍</v>
      </c>
      <c r="E1786" s="7" t="str">
        <f t="shared" si="86"/>
        <v>女</v>
      </c>
    </row>
    <row r="1787" spans="1:5" ht="30" customHeight="1">
      <c r="A1787" s="6">
        <v>1785</v>
      </c>
      <c r="B1787" s="7" t="str">
        <f>"29802021051319393395878"</f>
        <v>29802021051319393395878</v>
      </c>
      <c r="C1787" s="7" t="s">
        <v>15</v>
      </c>
      <c r="D1787" s="7" t="str">
        <f>"陈蕊"</f>
        <v>陈蕊</v>
      </c>
      <c r="E1787" s="7" t="str">
        <f t="shared" si="86"/>
        <v>女</v>
      </c>
    </row>
    <row r="1788" spans="1:5" ht="30" customHeight="1">
      <c r="A1788" s="6">
        <v>1786</v>
      </c>
      <c r="B1788" s="7" t="str">
        <f>"29802021051319402695880"</f>
        <v>29802021051319402695880</v>
      </c>
      <c r="C1788" s="7" t="s">
        <v>15</v>
      </c>
      <c r="D1788" s="7" t="str">
        <f>"王燕巧"</f>
        <v>王燕巧</v>
      </c>
      <c r="E1788" s="7" t="str">
        <f t="shared" si="86"/>
        <v>女</v>
      </c>
    </row>
    <row r="1789" spans="1:5" ht="30" customHeight="1">
      <c r="A1789" s="6">
        <v>1787</v>
      </c>
      <c r="B1789" s="7" t="str">
        <f>"29802021051320435295998"</f>
        <v>29802021051320435295998</v>
      </c>
      <c r="C1789" s="7" t="s">
        <v>15</v>
      </c>
      <c r="D1789" s="7" t="str">
        <f>"占达星"</f>
        <v>占达星</v>
      </c>
      <c r="E1789" s="7" t="str">
        <f t="shared" si="86"/>
        <v>女</v>
      </c>
    </row>
    <row r="1790" spans="1:5" ht="30" customHeight="1">
      <c r="A1790" s="6">
        <v>1788</v>
      </c>
      <c r="B1790" s="7" t="str">
        <f>"29802021051321193396058"</f>
        <v>29802021051321193396058</v>
      </c>
      <c r="C1790" s="7" t="s">
        <v>15</v>
      </c>
      <c r="D1790" s="7" t="str">
        <f>"程瑶"</f>
        <v>程瑶</v>
      </c>
      <c r="E1790" s="7" t="str">
        <f t="shared" si="86"/>
        <v>女</v>
      </c>
    </row>
    <row r="1791" spans="1:5" ht="30" customHeight="1">
      <c r="A1791" s="6">
        <v>1789</v>
      </c>
      <c r="B1791" s="7" t="str">
        <f>"29802021051321200496060"</f>
        <v>29802021051321200496060</v>
      </c>
      <c r="C1791" s="7" t="s">
        <v>15</v>
      </c>
      <c r="D1791" s="7" t="str">
        <f>"王丹"</f>
        <v>王丹</v>
      </c>
      <c r="E1791" s="7" t="str">
        <f t="shared" si="86"/>
        <v>女</v>
      </c>
    </row>
    <row r="1792" spans="1:5" ht="30" customHeight="1">
      <c r="A1792" s="6">
        <v>1790</v>
      </c>
      <c r="B1792" s="7" t="str">
        <f>"29802021051321422296117"</f>
        <v>29802021051321422296117</v>
      </c>
      <c r="C1792" s="7" t="s">
        <v>15</v>
      </c>
      <c r="D1792" s="7" t="str">
        <f>"王林梅"</f>
        <v>王林梅</v>
      </c>
      <c r="E1792" s="7" t="str">
        <f t="shared" si="86"/>
        <v>女</v>
      </c>
    </row>
    <row r="1793" spans="1:5" ht="30" customHeight="1">
      <c r="A1793" s="6">
        <v>1791</v>
      </c>
      <c r="B1793" s="7" t="str">
        <f>"29802021051322134496194"</f>
        <v>29802021051322134496194</v>
      </c>
      <c r="C1793" s="7" t="s">
        <v>15</v>
      </c>
      <c r="D1793" s="7" t="str">
        <f>"孟柳青"</f>
        <v>孟柳青</v>
      </c>
      <c r="E1793" s="7" t="str">
        <f t="shared" si="86"/>
        <v>女</v>
      </c>
    </row>
    <row r="1794" spans="1:5" ht="30" customHeight="1">
      <c r="A1794" s="6">
        <v>1792</v>
      </c>
      <c r="B1794" s="7" t="str">
        <f>"29802021051323073996303"</f>
        <v>29802021051323073996303</v>
      </c>
      <c r="C1794" s="7" t="s">
        <v>15</v>
      </c>
      <c r="D1794" s="7" t="str">
        <f>"陈二菊"</f>
        <v>陈二菊</v>
      </c>
      <c r="E1794" s="7" t="str">
        <f t="shared" si="86"/>
        <v>女</v>
      </c>
    </row>
    <row r="1795" spans="1:5" ht="30" customHeight="1">
      <c r="A1795" s="6">
        <v>1793</v>
      </c>
      <c r="B1795" s="7" t="str">
        <f>"29802021051323085996307"</f>
        <v>29802021051323085996307</v>
      </c>
      <c r="C1795" s="7" t="s">
        <v>15</v>
      </c>
      <c r="D1795" s="7" t="str">
        <f>"黄萃苑"</f>
        <v>黄萃苑</v>
      </c>
      <c r="E1795" s="7" t="str">
        <f t="shared" si="86"/>
        <v>女</v>
      </c>
    </row>
    <row r="1796" spans="1:5" ht="30" customHeight="1">
      <c r="A1796" s="6">
        <v>1794</v>
      </c>
      <c r="B1796" s="7" t="str">
        <f>"29802021051323365996343"</f>
        <v>29802021051323365996343</v>
      </c>
      <c r="C1796" s="7" t="s">
        <v>15</v>
      </c>
      <c r="D1796" s="7" t="str">
        <f>"羊传柳"</f>
        <v>羊传柳</v>
      </c>
      <c r="E1796" s="7" t="str">
        <f t="shared" si="86"/>
        <v>女</v>
      </c>
    </row>
    <row r="1797" spans="1:5" ht="30" customHeight="1">
      <c r="A1797" s="6">
        <v>1795</v>
      </c>
      <c r="B1797" s="7" t="str">
        <f>"29802021051400052196368"</f>
        <v>29802021051400052196368</v>
      </c>
      <c r="C1797" s="7" t="s">
        <v>15</v>
      </c>
      <c r="D1797" s="7" t="str">
        <f>"翁梦莎"</f>
        <v>翁梦莎</v>
      </c>
      <c r="E1797" s="7" t="str">
        <f t="shared" si="86"/>
        <v>女</v>
      </c>
    </row>
    <row r="1798" spans="1:5" ht="30" customHeight="1">
      <c r="A1798" s="6">
        <v>1796</v>
      </c>
      <c r="B1798" s="7" t="str">
        <f>"29802021051400153496377"</f>
        <v>29802021051400153496377</v>
      </c>
      <c r="C1798" s="7" t="s">
        <v>15</v>
      </c>
      <c r="D1798" s="7" t="str">
        <f>"郑永婷"</f>
        <v>郑永婷</v>
      </c>
      <c r="E1798" s="7" t="str">
        <f t="shared" si="86"/>
        <v>女</v>
      </c>
    </row>
    <row r="1799" spans="1:5" ht="30" customHeight="1">
      <c r="A1799" s="6">
        <v>1797</v>
      </c>
      <c r="B1799" s="7" t="str">
        <f>"29802021051400222496383"</f>
        <v>29802021051400222496383</v>
      </c>
      <c r="C1799" s="7" t="s">
        <v>15</v>
      </c>
      <c r="D1799" s="7" t="str">
        <f>"李施晓"</f>
        <v>李施晓</v>
      </c>
      <c r="E1799" s="7" t="str">
        <f t="shared" si="86"/>
        <v>女</v>
      </c>
    </row>
    <row r="1800" spans="1:5" ht="30" customHeight="1">
      <c r="A1800" s="6">
        <v>1798</v>
      </c>
      <c r="B1800" s="7" t="str">
        <f>"29802021051401541496406"</f>
        <v>29802021051401541496406</v>
      </c>
      <c r="C1800" s="7" t="s">
        <v>15</v>
      </c>
      <c r="D1800" s="7" t="str">
        <f>"许玉灿"</f>
        <v>许玉灿</v>
      </c>
      <c r="E1800" s="7" t="str">
        <f t="shared" si="86"/>
        <v>女</v>
      </c>
    </row>
    <row r="1801" spans="1:5" ht="30" customHeight="1">
      <c r="A1801" s="6">
        <v>1799</v>
      </c>
      <c r="B1801" s="7" t="str">
        <f>"29802021051408004696440"</f>
        <v>29802021051408004696440</v>
      </c>
      <c r="C1801" s="7" t="s">
        <v>15</v>
      </c>
      <c r="D1801" s="7" t="str">
        <f>"曾德珠"</f>
        <v>曾德珠</v>
      </c>
      <c r="E1801" s="7" t="str">
        <f t="shared" si="86"/>
        <v>女</v>
      </c>
    </row>
    <row r="1802" spans="1:5" ht="30" customHeight="1">
      <c r="A1802" s="6">
        <v>1800</v>
      </c>
      <c r="B1802" s="7" t="str">
        <f>"29802021051408144196453"</f>
        <v>29802021051408144196453</v>
      </c>
      <c r="C1802" s="7" t="s">
        <v>15</v>
      </c>
      <c r="D1802" s="7" t="str">
        <f>"吴连娟"</f>
        <v>吴连娟</v>
      </c>
      <c r="E1802" s="7" t="str">
        <f t="shared" si="86"/>
        <v>女</v>
      </c>
    </row>
    <row r="1803" spans="1:5" ht="30" customHeight="1">
      <c r="A1803" s="6">
        <v>1801</v>
      </c>
      <c r="B1803" s="7" t="str">
        <f>"29802021051408184596454"</f>
        <v>29802021051408184596454</v>
      </c>
      <c r="C1803" s="7" t="s">
        <v>15</v>
      </c>
      <c r="D1803" s="7" t="str">
        <f>"钟婷婷"</f>
        <v>钟婷婷</v>
      </c>
      <c r="E1803" s="7" t="str">
        <f t="shared" si="86"/>
        <v>女</v>
      </c>
    </row>
    <row r="1804" spans="1:5" ht="30" customHeight="1">
      <c r="A1804" s="6">
        <v>1802</v>
      </c>
      <c r="B1804" s="7" t="str">
        <f>"29802021051408422696490"</f>
        <v>29802021051408422696490</v>
      </c>
      <c r="C1804" s="7" t="s">
        <v>15</v>
      </c>
      <c r="D1804" s="7" t="str">
        <f>"颜思城"</f>
        <v>颜思城</v>
      </c>
      <c r="E1804" s="7" t="str">
        <f t="shared" si="86"/>
        <v>女</v>
      </c>
    </row>
    <row r="1805" spans="1:5" ht="30" customHeight="1">
      <c r="A1805" s="6">
        <v>1803</v>
      </c>
      <c r="B1805" s="7" t="str">
        <f>"29802021051409094196542"</f>
        <v>29802021051409094196542</v>
      </c>
      <c r="C1805" s="7" t="s">
        <v>15</v>
      </c>
      <c r="D1805" s="7" t="str">
        <f>"池景华"</f>
        <v>池景华</v>
      </c>
      <c r="E1805" s="7" t="str">
        <f t="shared" si="86"/>
        <v>女</v>
      </c>
    </row>
    <row r="1806" spans="1:5" ht="30" customHeight="1">
      <c r="A1806" s="6">
        <v>1804</v>
      </c>
      <c r="B1806" s="7" t="str">
        <f>"29802021051409174696552"</f>
        <v>29802021051409174696552</v>
      </c>
      <c r="C1806" s="7" t="s">
        <v>15</v>
      </c>
      <c r="D1806" s="7" t="str">
        <f>"翁海花"</f>
        <v>翁海花</v>
      </c>
      <c r="E1806" s="7" t="str">
        <f t="shared" si="86"/>
        <v>女</v>
      </c>
    </row>
    <row r="1807" spans="1:5" ht="30" customHeight="1">
      <c r="A1807" s="6">
        <v>1805</v>
      </c>
      <c r="B1807" s="7" t="str">
        <f>"29802021051409413296611"</f>
        <v>29802021051409413296611</v>
      </c>
      <c r="C1807" s="7" t="s">
        <v>15</v>
      </c>
      <c r="D1807" s="7" t="str">
        <f>"谢方岸"</f>
        <v>谢方岸</v>
      </c>
      <c r="E1807" s="7" t="str">
        <f t="shared" si="86"/>
        <v>女</v>
      </c>
    </row>
    <row r="1808" spans="1:5" ht="30" customHeight="1">
      <c r="A1808" s="6">
        <v>1806</v>
      </c>
      <c r="B1808" s="7" t="str">
        <f>"29802021051409450096623"</f>
        <v>29802021051409450096623</v>
      </c>
      <c r="C1808" s="7" t="s">
        <v>15</v>
      </c>
      <c r="D1808" s="7" t="str">
        <f>"顾珈"</f>
        <v>顾珈</v>
      </c>
      <c r="E1808" s="7" t="str">
        <f t="shared" si="86"/>
        <v>女</v>
      </c>
    </row>
    <row r="1809" spans="1:5" ht="30" customHeight="1">
      <c r="A1809" s="6">
        <v>1807</v>
      </c>
      <c r="B1809" s="7" t="str">
        <f>"29802021051410021596664"</f>
        <v>29802021051410021596664</v>
      </c>
      <c r="C1809" s="7" t="s">
        <v>15</v>
      </c>
      <c r="D1809" s="7" t="str">
        <f>"赵华凯"</f>
        <v>赵华凯</v>
      </c>
      <c r="E1809" s="7" t="str">
        <f>"男"</f>
        <v>男</v>
      </c>
    </row>
    <row r="1810" spans="1:5" ht="30" customHeight="1">
      <c r="A1810" s="6">
        <v>1808</v>
      </c>
      <c r="B1810" s="7" t="str">
        <f>"29802021051410143196695"</f>
        <v>29802021051410143196695</v>
      </c>
      <c r="C1810" s="7" t="s">
        <v>15</v>
      </c>
      <c r="D1810" s="7" t="str">
        <f>"吴阿明"</f>
        <v>吴阿明</v>
      </c>
      <c r="E1810" s="7" t="str">
        <f aca="true" t="shared" si="87" ref="E1810:E1822">"女"</f>
        <v>女</v>
      </c>
    </row>
    <row r="1811" spans="1:5" ht="30" customHeight="1">
      <c r="A1811" s="6">
        <v>1809</v>
      </c>
      <c r="B1811" s="7" t="str">
        <f>"29802021051410184296705"</f>
        <v>29802021051410184296705</v>
      </c>
      <c r="C1811" s="7" t="s">
        <v>15</v>
      </c>
      <c r="D1811" s="7" t="str">
        <f>"苏李娟"</f>
        <v>苏李娟</v>
      </c>
      <c r="E1811" s="7" t="str">
        <f t="shared" si="87"/>
        <v>女</v>
      </c>
    </row>
    <row r="1812" spans="1:5" ht="30" customHeight="1">
      <c r="A1812" s="6">
        <v>1810</v>
      </c>
      <c r="B1812" s="7" t="str">
        <f>"29802021051410461496764"</f>
        <v>29802021051410461496764</v>
      </c>
      <c r="C1812" s="7" t="s">
        <v>15</v>
      </c>
      <c r="D1812" s="7" t="str">
        <f>"王转"</f>
        <v>王转</v>
      </c>
      <c r="E1812" s="7" t="str">
        <f t="shared" si="87"/>
        <v>女</v>
      </c>
    </row>
    <row r="1813" spans="1:5" ht="30" customHeight="1">
      <c r="A1813" s="6">
        <v>1811</v>
      </c>
      <c r="B1813" s="7" t="str">
        <f>"29802021051410554996783"</f>
        <v>29802021051410554996783</v>
      </c>
      <c r="C1813" s="7" t="s">
        <v>15</v>
      </c>
      <c r="D1813" s="7" t="str">
        <f>"莫少娟"</f>
        <v>莫少娟</v>
      </c>
      <c r="E1813" s="7" t="str">
        <f t="shared" si="87"/>
        <v>女</v>
      </c>
    </row>
    <row r="1814" spans="1:5" ht="30" customHeight="1">
      <c r="A1814" s="6">
        <v>1812</v>
      </c>
      <c r="B1814" s="7" t="str">
        <f>"29802021051411301296861"</f>
        <v>29802021051411301296861</v>
      </c>
      <c r="C1814" s="7" t="s">
        <v>15</v>
      </c>
      <c r="D1814" s="7" t="str">
        <f>"陈莹欣"</f>
        <v>陈莹欣</v>
      </c>
      <c r="E1814" s="7" t="str">
        <f t="shared" si="87"/>
        <v>女</v>
      </c>
    </row>
    <row r="1815" spans="1:5" ht="30" customHeight="1">
      <c r="A1815" s="6">
        <v>1813</v>
      </c>
      <c r="B1815" s="7" t="str">
        <f>"29802021051411331296869"</f>
        <v>29802021051411331296869</v>
      </c>
      <c r="C1815" s="7" t="s">
        <v>15</v>
      </c>
      <c r="D1815" s="7" t="str">
        <f>"谢昊霖"</f>
        <v>谢昊霖</v>
      </c>
      <c r="E1815" s="7" t="str">
        <f t="shared" si="87"/>
        <v>女</v>
      </c>
    </row>
    <row r="1816" spans="1:5" ht="30" customHeight="1">
      <c r="A1816" s="6">
        <v>1814</v>
      </c>
      <c r="B1816" s="7" t="str">
        <f>"29802021051411425896891"</f>
        <v>29802021051411425896891</v>
      </c>
      <c r="C1816" s="7" t="s">
        <v>15</v>
      </c>
      <c r="D1816" s="7" t="str">
        <f>"王芮"</f>
        <v>王芮</v>
      </c>
      <c r="E1816" s="7" t="str">
        <f t="shared" si="87"/>
        <v>女</v>
      </c>
    </row>
    <row r="1817" spans="1:5" ht="30" customHeight="1">
      <c r="A1817" s="6">
        <v>1815</v>
      </c>
      <c r="B1817" s="7" t="str">
        <f>"29802021051412073196936"</f>
        <v>29802021051412073196936</v>
      </c>
      <c r="C1817" s="7" t="s">
        <v>15</v>
      </c>
      <c r="D1817" s="7" t="str">
        <f>"冯茹曼"</f>
        <v>冯茹曼</v>
      </c>
      <c r="E1817" s="7" t="str">
        <f t="shared" si="87"/>
        <v>女</v>
      </c>
    </row>
    <row r="1818" spans="1:5" ht="30" customHeight="1">
      <c r="A1818" s="6">
        <v>1816</v>
      </c>
      <c r="B1818" s="7" t="str">
        <f>"29802021051412160396958"</f>
        <v>29802021051412160396958</v>
      </c>
      <c r="C1818" s="7" t="s">
        <v>15</v>
      </c>
      <c r="D1818" s="7" t="str">
        <f>"陈小雪"</f>
        <v>陈小雪</v>
      </c>
      <c r="E1818" s="7" t="str">
        <f t="shared" si="87"/>
        <v>女</v>
      </c>
    </row>
    <row r="1819" spans="1:5" ht="30" customHeight="1">
      <c r="A1819" s="6">
        <v>1817</v>
      </c>
      <c r="B1819" s="7" t="str">
        <f>"29802021051412294596978"</f>
        <v>29802021051412294596978</v>
      </c>
      <c r="C1819" s="7" t="s">
        <v>15</v>
      </c>
      <c r="D1819" s="7" t="str">
        <f>"李翠玉"</f>
        <v>李翠玉</v>
      </c>
      <c r="E1819" s="7" t="str">
        <f t="shared" si="87"/>
        <v>女</v>
      </c>
    </row>
    <row r="1820" spans="1:5" ht="30" customHeight="1">
      <c r="A1820" s="6">
        <v>1818</v>
      </c>
      <c r="B1820" s="7" t="str">
        <f>"29802021051412362596991"</f>
        <v>29802021051412362596991</v>
      </c>
      <c r="C1820" s="7" t="s">
        <v>15</v>
      </c>
      <c r="D1820" s="7" t="str">
        <f>"陈丽芳"</f>
        <v>陈丽芳</v>
      </c>
      <c r="E1820" s="7" t="str">
        <f t="shared" si="87"/>
        <v>女</v>
      </c>
    </row>
    <row r="1821" spans="1:5" ht="30" customHeight="1">
      <c r="A1821" s="6">
        <v>1819</v>
      </c>
      <c r="B1821" s="7" t="str">
        <f>"29802021051412552997033"</f>
        <v>29802021051412552997033</v>
      </c>
      <c r="C1821" s="7" t="s">
        <v>15</v>
      </c>
      <c r="D1821" s="7" t="str">
        <f>"陈惠完"</f>
        <v>陈惠完</v>
      </c>
      <c r="E1821" s="7" t="str">
        <f t="shared" si="87"/>
        <v>女</v>
      </c>
    </row>
    <row r="1822" spans="1:5" ht="30" customHeight="1">
      <c r="A1822" s="6">
        <v>1820</v>
      </c>
      <c r="B1822" s="7" t="str">
        <f>"29802021051412582297038"</f>
        <v>29802021051412582297038</v>
      </c>
      <c r="C1822" s="7" t="s">
        <v>15</v>
      </c>
      <c r="D1822" s="7" t="str">
        <f>"李流彬"</f>
        <v>李流彬</v>
      </c>
      <c r="E1822" s="7" t="str">
        <f t="shared" si="87"/>
        <v>女</v>
      </c>
    </row>
    <row r="1823" spans="1:5" ht="30" customHeight="1">
      <c r="A1823" s="6">
        <v>1821</v>
      </c>
      <c r="B1823" s="7" t="str">
        <f>"29802021051413112697068"</f>
        <v>29802021051413112697068</v>
      </c>
      <c r="C1823" s="7" t="s">
        <v>15</v>
      </c>
      <c r="D1823" s="7" t="str">
        <f>"肖灿友"</f>
        <v>肖灿友</v>
      </c>
      <c r="E1823" s="7" t="str">
        <f>"男"</f>
        <v>男</v>
      </c>
    </row>
    <row r="1824" spans="1:5" ht="30" customHeight="1">
      <c r="A1824" s="6">
        <v>1822</v>
      </c>
      <c r="B1824" s="7" t="str">
        <f>"29802021051413272897104"</f>
        <v>29802021051413272897104</v>
      </c>
      <c r="C1824" s="7" t="s">
        <v>15</v>
      </c>
      <c r="D1824" s="7" t="str">
        <f>"许亚雪"</f>
        <v>许亚雪</v>
      </c>
      <c r="E1824" s="7" t="str">
        <f aca="true" t="shared" si="88" ref="E1824:E1855">"女"</f>
        <v>女</v>
      </c>
    </row>
    <row r="1825" spans="1:5" ht="30" customHeight="1">
      <c r="A1825" s="6">
        <v>1823</v>
      </c>
      <c r="B1825" s="7" t="str">
        <f>"29802021051413411797124"</f>
        <v>29802021051413411797124</v>
      </c>
      <c r="C1825" s="7" t="s">
        <v>15</v>
      </c>
      <c r="D1825" s="7" t="str">
        <f>"符亚丽"</f>
        <v>符亚丽</v>
      </c>
      <c r="E1825" s="7" t="str">
        <f t="shared" si="88"/>
        <v>女</v>
      </c>
    </row>
    <row r="1826" spans="1:5" ht="30" customHeight="1">
      <c r="A1826" s="6">
        <v>1824</v>
      </c>
      <c r="B1826" s="7" t="str">
        <f>"29802021051413531797151"</f>
        <v>29802021051413531797151</v>
      </c>
      <c r="C1826" s="7" t="s">
        <v>15</v>
      </c>
      <c r="D1826" s="7" t="str">
        <f>"王丽燕"</f>
        <v>王丽燕</v>
      </c>
      <c r="E1826" s="7" t="str">
        <f t="shared" si="88"/>
        <v>女</v>
      </c>
    </row>
    <row r="1827" spans="1:5" ht="30" customHeight="1">
      <c r="A1827" s="6">
        <v>1825</v>
      </c>
      <c r="B1827" s="7" t="str">
        <f>"29802021051414154697175"</f>
        <v>29802021051414154697175</v>
      </c>
      <c r="C1827" s="7" t="s">
        <v>15</v>
      </c>
      <c r="D1827" s="7" t="str">
        <f>"林保暖"</f>
        <v>林保暖</v>
      </c>
      <c r="E1827" s="7" t="str">
        <f t="shared" si="88"/>
        <v>女</v>
      </c>
    </row>
    <row r="1828" spans="1:5" ht="30" customHeight="1">
      <c r="A1828" s="6">
        <v>1826</v>
      </c>
      <c r="B1828" s="7" t="str">
        <f>"29802021051414335897207"</f>
        <v>29802021051414335897207</v>
      </c>
      <c r="C1828" s="7" t="s">
        <v>15</v>
      </c>
      <c r="D1828" s="7" t="str">
        <f>"陈孝珍"</f>
        <v>陈孝珍</v>
      </c>
      <c r="E1828" s="7" t="str">
        <f t="shared" si="88"/>
        <v>女</v>
      </c>
    </row>
    <row r="1829" spans="1:5" ht="30" customHeight="1">
      <c r="A1829" s="6">
        <v>1827</v>
      </c>
      <c r="B1829" s="7" t="str">
        <f>"29802021051414421197226"</f>
        <v>29802021051414421197226</v>
      </c>
      <c r="C1829" s="7" t="s">
        <v>15</v>
      </c>
      <c r="D1829" s="7" t="str">
        <f>"汪陈栓"</f>
        <v>汪陈栓</v>
      </c>
      <c r="E1829" s="7" t="str">
        <f t="shared" si="88"/>
        <v>女</v>
      </c>
    </row>
    <row r="1830" spans="1:5" ht="30" customHeight="1">
      <c r="A1830" s="6">
        <v>1828</v>
      </c>
      <c r="B1830" s="7" t="str">
        <f>"29802021051414475597236"</f>
        <v>29802021051414475597236</v>
      </c>
      <c r="C1830" s="7" t="s">
        <v>15</v>
      </c>
      <c r="D1830" s="7" t="str">
        <f>"黎春桃"</f>
        <v>黎春桃</v>
      </c>
      <c r="E1830" s="7" t="str">
        <f t="shared" si="88"/>
        <v>女</v>
      </c>
    </row>
    <row r="1831" spans="1:5" ht="30" customHeight="1">
      <c r="A1831" s="6">
        <v>1829</v>
      </c>
      <c r="B1831" s="7" t="str">
        <f>"29802021051415002897255"</f>
        <v>29802021051415002897255</v>
      </c>
      <c r="C1831" s="7" t="s">
        <v>15</v>
      </c>
      <c r="D1831" s="7" t="str">
        <f>"杜桂强"</f>
        <v>杜桂强</v>
      </c>
      <c r="E1831" s="7" t="str">
        <f t="shared" si="88"/>
        <v>女</v>
      </c>
    </row>
    <row r="1832" spans="1:5" ht="30" customHeight="1">
      <c r="A1832" s="6">
        <v>1830</v>
      </c>
      <c r="B1832" s="7" t="str">
        <f>"29802021051415142197282"</f>
        <v>29802021051415142197282</v>
      </c>
      <c r="C1832" s="7" t="s">
        <v>15</v>
      </c>
      <c r="D1832" s="7" t="str">
        <f>"林夏兰"</f>
        <v>林夏兰</v>
      </c>
      <c r="E1832" s="7" t="str">
        <f t="shared" si="88"/>
        <v>女</v>
      </c>
    </row>
    <row r="1833" spans="1:5" ht="30" customHeight="1">
      <c r="A1833" s="6">
        <v>1831</v>
      </c>
      <c r="B1833" s="7" t="str">
        <f>"29802021051415250097312"</f>
        <v>29802021051415250097312</v>
      </c>
      <c r="C1833" s="7" t="s">
        <v>15</v>
      </c>
      <c r="D1833" s="7" t="str">
        <f>"温雅妮"</f>
        <v>温雅妮</v>
      </c>
      <c r="E1833" s="7" t="str">
        <f t="shared" si="88"/>
        <v>女</v>
      </c>
    </row>
    <row r="1834" spans="1:5" ht="30" customHeight="1">
      <c r="A1834" s="6">
        <v>1832</v>
      </c>
      <c r="B1834" s="7" t="str">
        <f>"29802021051415365797346"</f>
        <v>29802021051415365797346</v>
      </c>
      <c r="C1834" s="7" t="s">
        <v>15</v>
      </c>
      <c r="D1834" s="7" t="str">
        <f>"邝红英"</f>
        <v>邝红英</v>
      </c>
      <c r="E1834" s="7" t="str">
        <f t="shared" si="88"/>
        <v>女</v>
      </c>
    </row>
    <row r="1835" spans="1:5" ht="30" customHeight="1">
      <c r="A1835" s="6">
        <v>1833</v>
      </c>
      <c r="B1835" s="7" t="str">
        <f>"29802021051415581897398"</f>
        <v>29802021051415581897398</v>
      </c>
      <c r="C1835" s="7" t="s">
        <v>15</v>
      </c>
      <c r="D1835" s="7" t="str">
        <f>"唐昌绣"</f>
        <v>唐昌绣</v>
      </c>
      <c r="E1835" s="7" t="str">
        <f t="shared" si="88"/>
        <v>女</v>
      </c>
    </row>
    <row r="1836" spans="1:5" ht="30" customHeight="1">
      <c r="A1836" s="6">
        <v>1834</v>
      </c>
      <c r="B1836" s="7" t="str">
        <f>"29802021051415590497402"</f>
        <v>29802021051415590497402</v>
      </c>
      <c r="C1836" s="7" t="s">
        <v>15</v>
      </c>
      <c r="D1836" s="7" t="str">
        <f>"韩宜"</f>
        <v>韩宜</v>
      </c>
      <c r="E1836" s="7" t="str">
        <f t="shared" si="88"/>
        <v>女</v>
      </c>
    </row>
    <row r="1837" spans="1:5" ht="30" customHeight="1">
      <c r="A1837" s="6">
        <v>1835</v>
      </c>
      <c r="B1837" s="7" t="str">
        <f>"29802021051416221497460"</f>
        <v>29802021051416221497460</v>
      </c>
      <c r="C1837" s="7" t="s">
        <v>15</v>
      </c>
      <c r="D1837" s="7" t="str">
        <f>"羊红妍"</f>
        <v>羊红妍</v>
      </c>
      <c r="E1837" s="7" t="str">
        <f t="shared" si="88"/>
        <v>女</v>
      </c>
    </row>
    <row r="1838" spans="1:5" ht="30" customHeight="1">
      <c r="A1838" s="6">
        <v>1836</v>
      </c>
      <c r="B1838" s="7" t="str">
        <f>"29802021051416421097508"</f>
        <v>29802021051416421097508</v>
      </c>
      <c r="C1838" s="7" t="s">
        <v>15</v>
      </c>
      <c r="D1838" s="7" t="str">
        <f>"王海和"</f>
        <v>王海和</v>
      </c>
      <c r="E1838" s="7" t="str">
        <f t="shared" si="88"/>
        <v>女</v>
      </c>
    </row>
    <row r="1839" spans="1:5" ht="30" customHeight="1">
      <c r="A1839" s="6">
        <v>1837</v>
      </c>
      <c r="B1839" s="7" t="str">
        <f>"29802021051416535797534"</f>
        <v>29802021051416535797534</v>
      </c>
      <c r="C1839" s="7" t="s">
        <v>15</v>
      </c>
      <c r="D1839" s="7" t="str">
        <f>"邢维婷"</f>
        <v>邢维婷</v>
      </c>
      <c r="E1839" s="7" t="str">
        <f t="shared" si="88"/>
        <v>女</v>
      </c>
    </row>
    <row r="1840" spans="1:5" ht="30" customHeight="1">
      <c r="A1840" s="6">
        <v>1838</v>
      </c>
      <c r="B1840" s="7" t="str">
        <f>"29802021051417173897590"</f>
        <v>29802021051417173897590</v>
      </c>
      <c r="C1840" s="7" t="s">
        <v>15</v>
      </c>
      <c r="D1840" s="7" t="str">
        <f>"吴清雅"</f>
        <v>吴清雅</v>
      </c>
      <c r="E1840" s="7" t="str">
        <f t="shared" si="88"/>
        <v>女</v>
      </c>
    </row>
    <row r="1841" spans="1:5" ht="30" customHeight="1">
      <c r="A1841" s="6">
        <v>1839</v>
      </c>
      <c r="B1841" s="7" t="str">
        <f>"29802021051417463097628"</f>
        <v>29802021051417463097628</v>
      </c>
      <c r="C1841" s="7" t="s">
        <v>15</v>
      </c>
      <c r="D1841" s="7" t="str">
        <f>"谢海敏"</f>
        <v>谢海敏</v>
      </c>
      <c r="E1841" s="7" t="str">
        <f t="shared" si="88"/>
        <v>女</v>
      </c>
    </row>
    <row r="1842" spans="1:5" ht="30" customHeight="1">
      <c r="A1842" s="6">
        <v>1840</v>
      </c>
      <c r="B1842" s="7" t="str">
        <f>"29802021051417565897645"</f>
        <v>29802021051417565897645</v>
      </c>
      <c r="C1842" s="7" t="s">
        <v>15</v>
      </c>
      <c r="D1842" s="7" t="str">
        <f>"符景艳"</f>
        <v>符景艳</v>
      </c>
      <c r="E1842" s="7" t="str">
        <f t="shared" si="88"/>
        <v>女</v>
      </c>
    </row>
    <row r="1843" spans="1:5" ht="30" customHeight="1">
      <c r="A1843" s="6">
        <v>1841</v>
      </c>
      <c r="B1843" s="7" t="str">
        <f>"29802021051418025997659"</f>
        <v>29802021051418025997659</v>
      </c>
      <c r="C1843" s="7" t="s">
        <v>15</v>
      </c>
      <c r="D1843" s="7" t="str">
        <f>"蔡冰倩"</f>
        <v>蔡冰倩</v>
      </c>
      <c r="E1843" s="7" t="str">
        <f t="shared" si="88"/>
        <v>女</v>
      </c>
    </row>
    <row r="1844" spans="1:5" ht="30" customHeight="1">
      <c r="A1844" s="6">
        <v>1842</v>
      </c>
      <c r="B1844" s="7" t="str">
        <f>"29802021051418045797666"</f>
        <v>29802021051418045797666</v>
      </c>
      <c r="C1844" s="7" t="s">
        <v>15</v>
      </c>
      <c r="D1844" s="7" t="str">
        <f>"周小妹"</f>
        <v>周小妹</v>
      </c>
      <c r="E1844" s="7" t="str">
        <f t="shared" si="88"/>
        <v>女</v>
      </c>
    </row>
    <row r="1845" spans="1:5" ht="30" customHeight="1">
      <c r="A1845" s="6">
        <v>1843</v>
      </c>
      <c r="B1845" s="7" t="str">
        <f>"29802021051418144197682"</f>
        <v>29802021051418144197682</v>
      </c>
      <c r="C1845" s="7" t="s">
        <v>15</v>
      </c>
      <c r="D1845" s="7" t="str">
        <f>"刘莉霞"</f>
        <v>刘莉霞</v>
      </c>
      <c r="E1845" s="7" t="str">
        <f t="shared" si="88"/>
        <v>女</v>
      </c>
    </row>
    <row r="1846" spans="1:5" ht="30" customHeight="1">
      <c r="A1846" s="6">
        <v>1844</v>
      </c>
      <c r="B1846" s="7" t="str">
        <f>"29802021051418575297744"</f>
        <v>29802021051418575297744</v>
      </c>
      <c r="C1846" s="7" t="s">
        <v>15</v>
      </c>
      <c r="D1846" s="7" t="str">
        <f>"徐日丹"</f>
        <v>徐日丹</v>
      </c>
      <c r="E1846" s="7" t="str">
        <f t="shared" si="88"/>
        <v>女</v>
      </c>
    </row>
    <row r="1847" spans="1:5" ht="30" customHeight="1">
      <c r="A1847" s="6">
        <v>1845</v>
      </c>
      <c r="B1847" s="7" t="str">
        <f>"29802021051419241097786"</f>
        <v>29802021051419241097786</v>
      </c>
      <c r="C1847" s="7" t="s">
        <v>15</v>
      </c>
      <c r="D1847" s="7" t="str">
        <f>"郑霞霞"</f>
        <v>郑霞霞</v>
      </c>
      <c r="E1847" s="7" t="str">
        <f t="shared" si="88"/>
        <v>女</v>
      </c>
    </row>
    <row r="1848" spans="1:5" ht="30" customHeight="1">
      <c r="A1848" s="6">
        <v>1846</v>
      </c>
      <c r="B1848" s="7" t="str">
        <f>"29802021051420305697886"</f>
        <v>29802021051420305697886</v>
      </c>
      <c r="C1848" s="7" t="s">
        <v>15</v>
      </c>
      <c r="D1848" s="7" t="str">
        <f>"吉欢"</f>
        <v>吉欢</v>
      </c>
      <c r="E1848" s="7" t="str">
        <f t="shared" si="88"/>
        <v>女</v>
      </c>
    </row>
    <row r="1849" spans="1:5" ht="30" customHeight="1">
      <c r="A1849" s="6">
        <v>1847</v>
      </c>
      <c r="B1849" s="7" t="str">
        <f>"29802021051420501897918"</f>
        <v>29802021051420501897918</v>
      </c>
      <c r="C1849" s="7" t="s">
        <v>15</v>
      </c>
      <c r="D1849" s="7" t="str">
        <f>"黄玉玲"</f>
        <v>黄玉玲</v>
      </c>
      <c r="E1849" s="7" t="str">
        <f t="shared" si="88"/>
        <v>女</v>
      </c>
    </row>
    <row r="1850" spans="1:5" ht="30" customHeight="1">
      <c r="A1850" s="6">
        <v>1848</v>
      </c>
      <c r="B1850" s="7" t="str">
        <f>"29802021051420525397921"</f>
        <v>29802021051420525397921</v>
      </c>
      <c r="C1850" s="7" t="s">
        <v>15</v>
      </c>
      <c r="D1850" s="7" t="str">
        <f>"张丽兰"</f>
        <v>张丽兰</v>
      </c>
      <c r="E1850" s="7" t="str">
        <f t="shared" si="88"/>
        <v>女</v>
      </c>
    </row>
    <row r="1851" spans="1:5" ht="30" customHeight="1">
      <c r="A1851" s="6">
        <v>1849</v>
      </c>
      <c r="B1851" s="7" t="str">
        <f>"29802021051421173597962"</f>
        <v>29802021051421173597962</v>
      </c>
      <c r="C1851" s="7" t="s">
        <v>15</v>
      </c>
      <c r="D1851" s="7" t="str">
        <f>"梁妹"</f>
        <v>梁妹</v>
      </c>
      <c r="E1851" s="7" t="str">
        <f t="shared" si="88"/>
        <v>女</v>
      </c>
    </row>
    <row r="1852" spans="1:5" ht="30" customHeight="1">
      <c r="A1852" s="6">
        <v>1850</v>
      </c>
      <c r="B1852" s="7" t="str">
        <f>"29802021051421223397970"</f>
        <v>29802021051421223397970</v>
      </c>
      <c r="C1852" s="7" t="s">
        <v>15</v>
      </c>
      <c r="D1852" s="7" t="str">
        <f>"周丽雅"</f>
        <v>周丽雅</v>
      </c>
      <c r="E1852" s="7" t="str">
        <f t="shared" si="88"/>
        <v>女</v>
      </c>
    </row>
    <row r="1853" spans="1:5" ht="30" customHeight="1">
      <c r="A1853" s="6">
        <v>1851</v>
      </c>
      <c r="B1853" s="7" t="str">
        <f>"29802021051422134598068"</f>
        <v>29802021051422134598068</v>
      </c>
      <c r="C1853" s="7" t="s">
        <v>15</v>
      </c>
      <c r="D1853" s="7" t="str">
        <f>"黎观荣"</f>
        <v>黎观荣</v>
      </c>
      <c r="E1853" s="7" t="str">
        <f t="shared" si="88"/>
        <v>女</v>
      </c>
    </row>
    <row r="1854" spans="1:5" ht="30" customHeight="1">
      <c r="A1854" s="6">
        <v>1852</v>
      </c>
      <c r="B1854" s="7" t="str">
        <f>"29802021051423112898162"</f>
        <v>29802021051423112898162</v>
      </c>
      <c r="C1854" s="7" t="s">
        <v>15</v>
      </c>
      <c r="D1854" s="7" t="str">
        <f>"洪茹"</f>
        <v>洪茹</v>
      </c>
      <c r="E1854" s="7" t="str">
        <f t="shared" si="88"/>
        <v>女</v>
      </c>
    </row>
    <row r="1855" spans="1:5" ht="30" customHeight="1">
      <c r="A1855" s="6">
        <v>1853</v>
      </c>
      <c r="B1855" s="7" t="str">
        <f>"29802021051423293698189"</f>
        <v>29802021051423293698189</v>
      </c>
      <c r="C1855" s="7" t="s">
        <v>15</v>
      </c>
      <c r="D1855" s="7" t="str">
        <f>"吉霞丽"</f>
        <v>吉霞丽</v>
      </c>
      <c r="E1855" s="7" t="str">
        <f t="shared" si="88"/>
        <v>女</v>
      </c>
    </row>
    <row r="1856" spans="1:5" ht="30" customHeight="1">
      <c r="A1856" s="6">
        <v>1854</v>
      </c>
      <c r="B1856" s="7" t="str">
        <f>"29802021051423411498199"</f>
        <v>29802021051423411498199</v>
      </c>
      <c r="C1856" s="7" t="s">
        <v>15</v>
      </c>
      <c r="D1856" s="7" t="str">
        <f>"王伟"</f>
        <v>王伟</v>
      </c>
      <c r="E1856" s="7" t="str">
        <f>"男"</f>
        <v>男</v>
      </c>
    </row>
    <row r="1857" spans="1:5" ht="30" customHeight="1">
      <c r="A1857" s="6">
        <v>1855</v>
      </c>
      <c r="B1857" s="7" t="str">
        <f>"29802021051423461998207"</f>
        <v>29802021051423461998207</v>
      </c>
      <c r="C1857" s="7" t="s">
        <v>15</v>
      </c>
      <c r="D1857" s="7" t="str">
        <f>"苏美玲"</f>
        <v>苏美玲</v>
      </c>
      <c r="E1857" s="7" t="str">
        <f>"女"</f>
        <v>女</v>
      </c>
    </row>
    <row r="1858" spans="1:5" ht="30" customHeight="1">
      <c r="A1858" s="6">
        <v>1856</v>
      </c>
      <c r="B1858" s="7" t="str">
        <f>"29802021051423525198215"</f>
        <v>29802021051423525198215</v>
      </c>
      <c r="C1858" s="7" t="s">
        <v>15</v>
      </c>
      <c r="D1858" s="7" t="str">
        <f>"方清泉"</f>
        <v>方清泉</v>
      </c>
      <c r="E1858" s="7" t="str">
        <f>"女"</f>
        <v>女</v>
      </c>
    </row>
    <row r="1859" spans="1:5" ht="30" customHeight="1">
      <c r="A1859" s="6">
        <v>1857</v>
      </c>
      <c r="B1859" s="7" t="str">
        <f>"29802021051423575398224"</f>
        <v>29802021051423575398224</v>
      </c>
      <c r="C1859" s="7" t="s">
        <v>15</v>
      </c>
      <c r="D1859" s="7" t="str">
        <f>"林方婷"</f>
        <v>林方婷</v>
      </c>
      <c r="E1859" s="7" t="str">
        <f>"女"</f>
        <v>女</v>
      </c>
    </row>
    <row r="1860" spans="1:5" ht="30" customHeight="1">
      <c r="A1860" s="6">
        <v>1858</v>
      </c>
      <c r="B1860" s="7" t="str">
        <f>"29802021051500004498225"</f>
        <v>29802021051500004498225</v>
      </c>
      <c r="C1860" s="7" t="s">
        <v>15</v>
      </c>
      <c r="D1860" s="7" t="str">
        <f>"陈宜海"</f>
        <v>陈宜海</v>
      </c>
      <c r="E1860" s="7" t="str">
        <f>"男"</f>
        <v>男</v>
      </c>
    </row>
    <row r="1861" spans="1:5" ht="30" customHeight="1">
      <c r="A1861" s="6">
        <v>1859</v>
      </c>
      <c r="B1861" s="7" t="str">
        <f>"29802021051500350498259"</f>
        <v>29802021051500350498259</v>
      </c>
      <c r="C1861" s="7" t="s">
        <v>15</v>
      </c>
      <c r="D1861" s="7" t="str">
        <f>"蒙泽霞"</f>
        <v>蒙泽霞</v>
      </c>
      <c r="E1861" s="7" t="str">
        <f aca="true" t="shared" si="89" ref="E1861:E1869">"女"</f>
        <v>女</v>
      </c>
    </row>
    <row r="1862" spans="1:5" ht="30" customHeight="1">
      <c r="A1862" s="6">
        <v>1860</v>
      </c>
      <c r="B1862" s="7" t="str">
        <f>"29802021051501240298273"</f>
        <v>29802021051501240298273</v>
      </c>
      <c r="C1862" s="7" t="s">
        <v>15</v>
      </c>
      <c r="D1862" s="7" t="str">
        <f>"何洁仪"</f>
        <v>何洁仪</v>
      </c>
      <c r="E1862" s="7" t="str">
        <f t="shared" si="89"/>
        <v>女</v>
      </c>
    </row>
    <row r="1863" spans="1:5" ht="30" customHeight="1">
      <c r="A1863" s="6">
        <v>1861</v>
      </c>
      <c r="B1863" s="7" t="str">
        <f>"29802021051508103098320"</f>
        <v>29802021051508103098320</v>
      </c>
      <c r="C1863" s="7" t="s">
        <v>15</v>
      </c>
      <c r="D1863" s="7" t="str">
        <f>"陈颖三"</f>
        <v>陈颖三</v>
      </c>
      <c r="E1863" s="7" t="str">
        <f t="shared" si="89"/>
        <v>女</v>
      </c>
    </row>
    <row r="1864" spans="1:5" ht="30" customHeight="1">
      <c r="A1864" s="6">
        <v>1862</v>
      </c>
      <c r="B1864" s="7" t="str">
        <f>"29802021051508392298338"</f>
        <v>29802021051508392298338</v>
      </c>
      <c r="C1864" s="7" t="s">
        <v>15</v>
      </c>
      <c r="D1864" s="7" t="str">
        <f>"邓华清"</f>
        <v>邓华清</v>
      </c>
      <c r="E1864" s="7" t="str">
        <f t="shared" si="89"/>
        <v>女</v>
      </c>
    </row>
    <row r="1865" spans="1:5" ht="30" customHeight="1">
      <c r="A1865" s="6">
        <v>1863</v>
      </c>
      <c r="B1865" s="7" t="str">
        <f>"29802021051508484698341"</f>
        <v>29802021051508484698341</v>
      </c>
      <c r="C1865" s="7" t="s">
        <v>15</v>
      </c>
      <c r="D1865" s="7" t="str">
        <f>"唐小丽"</f>
        <v>唐小丽</v>
      </c>
      <c r="E1865" s="7" t="str">
        <f t="shared" si="89"/>
        <v>女</v>
      </c>
    </row>
    <row r="1866" spans="1:5" ht="30" customHeight="1">
      <c r="A1866" s="6">
        <v>1864</v>
      </c>
      <c r="B1866" s="7" t="str">
        <f>"29802021051508583698350"</f>
        <v>29802021051508583698350</v>
      </c>
      <c r="C1866" s="7" t="s">
        <v>15</v>
      </c>
      <c r="D1866" s="7" t="str">
        <f>"刘小娟"</f>
        <v>刘小娟</v>
      </c>
      <c r="E1866" s="7" t="str">
        <f t="shared" si="89"/>
        <v>女</v>
      </c>
    </row>
    <row r="1867" spans="1:5" ht="30" customHeight="1">
      <c r="A1867" s="6">
        <v>1865</v>
      </c>
      <c r="B1867" s="7" t="str">
        <f>"29802021051509130298363"</f>
        <v>29802021051509130298363</v>
      </c>
      <c r="C1867" s="7" t="s">
        <v>15</v>
      </c>
      <c r="D1867" s="7" t="str">
        <f>"许涛"</f>
        <v>许涛</v>
      </c>
      <c r="E1867" s="7" t="str">
        <f t="shared" si="89"/>
        <v>女</v>
      </c>
    </row>
    <row r="1868" spans="1:5" ht="30" customHeight="1">
      <c r="A1868" s="6">
        <v>1866</v>
      </c>
      <c r="B1868" s="7" t="str">
        <f>"29802021051509284298383"</f>
        <v>29802021051509284298383</v>
      </c>
      <c r="C1868" s="7" t="s">
        <v>15</v>
      </c>
      <c r="D1868" s="7" t="str">
        <f>"肖林琳"</f>
        <v>肖林琳</v>
      </c>
      <c r="E1868" s="7" t="str">
        <f t="shared" si="89"/>
        <v>女</v>
      </c>
    </row>
    <row r="1869" spans="1:5" ht="30" customHeight="1">
      <c r="A1869" s="6">
        <v>1867</v>
      </c>
      <c r="B1869" s="7" t="str">
        <f>"29802021051509403398395"</f>
        <v>29802021051509403398395</v>
      </c>
      <c r="C1869" s="7" t="s">
        <v>15</v>
      </c>
      <c r="D1869" s="7" t="str">
        <f>"王宝嫦"</f>
        <v>王宝嫦</v>
      </c>
      <c r="E1869" s="7" t="str">
        <f t="shared" si="89"/>
        <v>女</v>
      </c>
    </row>
    <row r="1870" spans="1:5" ht="30" customHeight="1">
      <c r="A1870" s="6">
        <v>1868</v>
      </c>
      <c r="B1870" s="7" t="str">
        <f>"29802021051509432998398"</f>
        <v>29802021051509432998398</v>
      </c>
      <c r="C1870" s="7" t="s">
        <v>15</v>
      </c>
      <c r="D1870" s="7" t="str">
        <f>"黎经川"</f>
        <v>黎经川</v>
      </c>
      <c r="E1870" s="7" t="str">
        <f>"男"</f>
        <v>男</v>
      </c>
    </row>
    <row r="1871" spans="1:5" ht="30" customHeight="1">
      <c r="A1871" s="6">
        <v>1869</v>
      </c>
      <c r="B1871" s="7" t="str">
        <f>"29802021051510033098427"</f>
        <v>29802021051510033098427</v>
      </c>
      <c r="C1871" s="7" t="s">
        <v>15</v>
      </c>
      <c r="D1871" s="7" t="str">
        <f>"王炳花"</f>
        <v>王炳花</v>
      </c>
      <c r="E1871" s="7" t="str">
        <f>"女"</f>
        <v>女</v>
      </c>
    </row>
    <row r="1872" spans="1:5" ht="30" customHeight="1">
      <c r="A1872" s="6">
        <v>1870</v>
      </c>
      <c r="B1872" s="7" t="str">
        <f>"29802021051510080698436"</f>
        <v>29802021051510080698436</v>
      </c>
      <c r="C1872" s="7" t="s">
        <v>15</v>
      </c>
      <c r="D1872" s="7" t="str">
        <f>"蔡慧先"</f>
        <v>蔡慧先</v>
      </c>
      <c r="E1872" s="7" t="str">
        <f>"女"</f>
        <v>女</v>
      </c>
    </row>
    <row r="1873" spans="1:5" ht="30" customHeight="1">
      <c r="A1873" s="6">
        <v>1871</v>
      </c>
      <c r="B1873" s="7" t="str">
        <f>"29802021051510261698466"</f>
        <v>29802021051510261698466</v>
      </c>
      <c r="C1873" s="7" t="s">
        <v>15</v>
      </c>
      <c r="D1873" s="7" t="str">
        <f>"黄冬竹"</f>
        <v>黄冬竹</v>
      </c>
      <c r="E1873" s="7" t="str">
        <f>"女"</f>
        <v>女</v>
      </c>
    </row>
    <row r="1874" spans="1:5" ht="30" customHeight="1">
      <c r="A1874" s="6">
        <v>1872</v>
      </c>
      <c r="B1874" s="7" t="str">
        <f>"29802021051510413598495"</f>
        <v>29802021051510413598495</v>
      </c>
      <c r="C1874" s="7" t="s">
        <v>15</v>
      </c>
      <c r="D1874" s="7" t="str">
        <f>"钟珍波"</f>
        <v>钟珍波</v>
      </c>
      <c r="E1874" s="7" t="str">
        <f>"女"</f>
        <v>女</v>
      </c>
    </row>
    <row r="1875" spans="1:5" ht="30" customHeight="1">
      <c r="A1875" s="6">
        <v>1873</v>
      </c>
      <c r="B1875" s="7" t="str">
        <f>"29802021051510443898501"</f>
        <v>29802021051510443898501</v>
      </c>
      <c r="C1875" s="7" t="s">
        <v>15</v>
      </c>
      <c r="D1875" s="7" t="str">
        <f>"冯绍驰"</f>
        <v>冯绍驰</v>
      </c>
      <c r="E1875" s="7" t="str">
        <f>"男"</f>
        <v>男</v>
      </c>
    </row>
    <row r="1876" spans="1:5" ht="30" customHeight="1">
      <c r="A1876" s="6">
        <v>1874</v>
      </c>
      <c r="B1876" s="7" t="str">
        <f>"29802021051510504498519"</f>
        <v>29802021051510504498519</v>
      </c>
      <c r="C1876" s="7" t="s">
        <v>15</v>
      </c>
      <c r="D1876" s="7" t="str">
        <f>"苏元丽"</f>
        <v>苏元丽</v>
      </c>
      <c r="E1876" s="7" t="str">
        <f>"女"</f>
        <v>女</v>
      </c>
    </row>
    <row r="1877" spans="1:5" ht="30" customHeight="1">
      <c r="A1877" s="6">
        <v>1875</v>
      </c>
      <c r="B1877" s="7" t="str">
        <f>"29802021051511095198547"</f>
        <v>29802021051511095198547</v>
      </c>
      <c r="C1877" s="7" t="s">
        <v>15</v>
      </c>
      <c r="D1877" s="7" t="str">
        <f>"许卓科"</f>
        <v>许卓科</v>
      </c>
      <c r="E1877" s="7" t="str">
        <f>"男"</f>
        <v>男</v>
      </c>
    </row>
    <row r="1878" spans="1:5" ht="30" customHeight="1">
      <c r="A1878" s="6">
        <v>1876</v>
      </c>
      <c r="B1878" s="7" t="str">
        <f>"29802021051511162098563"</f>
        <v>29802021051511162098563</v>
      </c>
      <c r="C1878" s="7" t="s">
        <v>15</v>
      </c>
      <c r="D1878" s="7" t="str">
        <f>"张早淑"</f>
        <v>张早淑</v>
      </c>
      <c r="E1878" s="7" t="str">
        <f aca="true" t="shared" si="90" ref="E1878:E1899">"女"</f>
        <v>女</v>
      </c>
    </row>
    <row r="1879" spans="1:5" ht="30" customHeight="1">
      <c r="A1879" s="6">
        <v>1877</v>
      </c>
      <c r="B1879" s="7" t="str">
        <f>"29802021051511182198565"</f>
        <v>29802021051511182198565</v>
      </c>
      <c r="C1879" s="7" t="s">
        <v>15</v>
      </c>
      <c r="D1879" s="7" t="str">
        <f>"苏佳华"</f>
        <v>苏佳华</v>
      </c>
      <c r="E1879" s="7" t="str">
        <f t="shared" si="90"/>
        <v>女</v>
      </c>
    </row>
    <row r="1880" spans="1:5" ht="30" customHeight="1">
      <c r="A1880" s="6">
        <v>1878</v>
      </c>
      <c r="B1880" s="7" t="str">
        <f>"29802021051511205198570"</f>
        <v>29802021051511205198570</v>
      </c>
      <c r="C1880" s="7" t="s">
        <v>15</v>
      </c>
      <c r="D1880" s="7" t="str">
        <f>"符玲花"</f>
        <v>符玲花</v>
      </c>
      <c r="E1880" s="7" t="str">
        <f t="shared" si="90"/>
        <v>女</v>
      </c>
    </row>
    <row r="1881" spans="1:5" ht="30" customHeight="1">
      <c r="A1881" s="6">
        <v>1879</v>
      </c>
      <c r="B1881" s="7" t="str">
        <f>"29802021051511314298580"</f>
        <v>29802021051511314298580</v>
      </c>
      <c r="C1881" s="7" t="s">
        <v>15</v>
      </c>
      <c r="D1881" s="7" t="str">
        <f>"周宇萧"</f>
        <v>周宇萧</v>
      </c>
      <c r="E1881" s="7" t="str">
        <f t="shared" si="90"/>
        <v>女</v>
      </c>
    </row>
    <row r="1882" spans="1:5" ht="30" customHeight="1">
      <c r="A1882" s="6">
        <v>1880</v>
      </c>
      <c r="B1882" s="7" t="str">
        <f>"29802021051511321598583"</f>
        <v>29802021051511321598583</v>
      </c>
      <c r="C1882" s="7" t="s">
        <v>15</v>
      </c>
      <c r="D1882" s="7" t="str">
        <f>"李梦艺"</f>
        <v>李梦艺</v>
      </c>
      <c r="E1882" s="7" t="str">
        <f t="shared" si="90"/>
        <v>女</v>
      </c>
    </row>
    <row r="1883" spans="1:5" ht="30" customHeight="1">
      <c r="A1883" s="6">
        <v>1881</v>
      </c>
      <c r="B1883" s="7" t="str">
        <f>"29802021051511345698587"</f>
        <v>29802021051511345698587</v>
      </c>
      <c r="C1883" s="7" t="s">
        <v>15</v>
      </c>
      <c r="D1883" s="7" t="str">
        <f>"许环媛"</f>
        <v>许环媛</v>
      </c>
      <c r="E1883" s="7" t="str">
        <f t="shared" si="90"/>
        <v>女</v>
      </c>
    </row>
    <row r="1884" spans="1:5" ht="30" customHeight="1">
      <c r="A1884" s="6">
        <v>1882</v>
      </c>
      <c r="B1884" s="7" t="str">
        <f>"29802021051511364198593"</f>
        <v>29802021051511364198593</v>
      </c>
      <c r="C1884" s="7" t="s">
        <v>15</v>
      </c>
      <c r="D1884" s="7" t="str">
        <f>"钟玲"</f>
        <v>钟玲</v>
      </c>
      <c r="E1884" s="7" t="str">
        <f t="shared" si="90"/>
        <v>女</v>
      </c>
    </row>
    <row r="1885" spans="1:5" ht="30" customHeight="1">
      <c r="A1885" s="6">
        <v>1883</v>
      </c>
      <c r="B1885" s="7" t="str">
        <f>"29802021051511531298626"</f>
        <v>29802021051511531298626</v>
      </c>
      <c r="C1885" s="7" t="s">
        <v>15</v>
      </c>
      <c r="D1885" s="7" t="str">
        <f>"符春欢"</f>
        <v>符春欢</v>
      </c>
      <c r="E1885" s="7" t="str">
        <f t="shared" si="90"/>
        <v>女</v>
      </c>
    </row>
    <row r="1886" spans="1:5" ht="30" customHeight="1">
      <c r="A1886" s="6">
        <v>1884</v>
      </c>
      <c r="B1886" s="7" t="str">
        <f>"29802021051511595998633"</f>
        <v>29802021051511595998633</v>
      </c>
      <c r="C1886" s="7" t="s">
        <v>15</v>
      </c>
      <c r="D1886" s="7" t="str">
        <f>"麦艳菲"</f>
        <v>麦艳菲</v>
      </c>
      <c r="E1886" s="7" t="str">
        <f t="shared" si="90"/>
        <v>女</v>
      </c>
    </row>
    <row r="1887" spans="1:5" ht="30" customHeight="1">
      <c r="A1887" s="6">
        <v>1885</v>
      </c>
      <c r="B1887" s="7" t="str">
        <f>"29802021051512002898635"</f>
        <v>29802021051512002898635</v>
      </c>
      <c r="C1887" s="7" t="s">
        <v>15</v>
      </c>
      <c r="D1887" s="7" t="str">
        <f>"张宝月"</f>
        <v>张宝月</v>
      </c>
      <c r="E1887" s="7" t="str">
        <f t="shared" si="90"/>
        <v>女</v>
      </c>
    </row>
    <row r="1888" spans="1:5" ht="30" customHeight="1">
      <c r="A1888" s="6">
        <v>1886</v>
      </c>
      <c r="B1888" s="7" t="str">
        <f>"29802021051512083198653"</f>
        <v>29802021051512083198653</v>
      </c>
      <c r="C1888" s="7" t="s">
        <v>15</v>
      </c>
      <c r="D1888" s="7" t="str">
        <f>"羊翠玲"</f>
        <v>羊翠玲</v>
      </c>
      <c r="E1888" s="7" t="str">
        <f t="shared" si="90"/>
        <v>女</v>
      </c>
    </row>
    <row r="1889" spans="1:5" ht="30" customHeight="1">
      <c r="A1889" s="6">
        <v>1887</v>
      </c>
      <c r="B1889" s="7" t="str">
        <f>"29802021051512105598654"</f>
        <v>29802021051512105598654</v>
      </c>
      <c r="C1889" s="7" t="s">
        <v>15</v>
      </c>
      <c r="D1889" s="7" t="str">
        <f>"陈秋蕾"</f>
        <v>陈秋蕾</v>
      </c>
      <c r="E1889" s="7" t="str">
        <f t="shared" si="90"/>
        <v>女</v>
      </c>
    </row>
    <row r="1890" spans="1:5" ht="30" customHeight="1">
      <c r="A1890" s="6">
        <v>1888</v>
      </c>
      <c r="B1890" s="7" t="str">
        <f>"29802021051512113498655"</f>
        <v>29802021051512113498655</v>
      </c>
      <c r="C1890" s="7" t="s">
        <v>15</v>
      </c>
      <c r="D1890" s="7" t="str">
        <f>"符亚恋"</f>
        <v>符亚恋</v>
      </c>
      <c r="E1890" s="7" t="str">
        <f t="shared" si="90"/>
        <v>女</v>
      </c>
    </row>
    <row r="1891" spans="1:5" ht="30" customHeight="1">
      <c r="A1891" s="6">
        <v>1889</v>
      </c>
      <c r="B1891" s="7" t="str">
        <f>"29802021051512234198680"</f>
        <v>29802021051512234198680</v>
      </c>
      <c r="C1891" s="7" t="s">
        <v>15</v>
      </c>
      <c r="D1891" s="7" t="str">
        <f>"林成叶"</f>
        <v>林成叶</v>
      </c>
      <c r="E1891" s="7" t="str">
        <f t="shared" si="90"/>
        <v>女</v>
      </c>
    </row>
    <row r="1892" spans="1:5" ht="30" customHeight="1">
      <c r="A1892" s="6">
        <v>1890</v>
      </c>
      <c r="B1892" s="7" t="str">
        <f>"29802021051512361698698"</f>
        <v>29802021051512361698698</v>
      </c>
      <c r="C1892" s="7" t="s">
        <v>15</v>
      </c>
      <c r="D1892" s="7" t="str">
        <f>"邢维思"</f>
        <v>邢维思</v>
      </c>
      <c r="E1892" s="7" t="str">
        <f t="shared" si="90"/>
        <v>女</v>
      </c>
    </row>
    <row r="1893" spans="1:5" ht="30" customHeight="1">
      <c r="A1893" s="6">
        <v>1891</v>
      </c>
      <c r="B1893" s="7" t="str">
        <f>"29802021051512495098717"</f>
        <v>29802021051512495098717</v>
      </c>
      <c r="C1893" s="7" t="s">
        <v>15</v>
      </c>
      <c r="D1893" s="7" t="str">
        <f>"莫丽"</f>
        <v>莫丽</v>
      </c>
      <c r="E1893" s="7" t="str">
        <f t="shared" si="90"/>
        <v>女</v>
      </c>
    </row>
    <row r="1894" spans="1:5" ht="30" customHeight="1">
      <c r="A1894" s="6">
        <v>1892</v>
      </c>
      <c r="B1894" s="7" t="str">
        <f>"29802021051513104898747"</f>
        <v>29802021051513104898747</v>
      </c>
      <c r="C1894" s="7" t="s">
        <v>15</v>
      </c>
      <c r="D1894" s="7" t="str">
        <f>"周和"</f>
        <v>周和</v>
      </c>
      <c r="E1894" s="7" t="str">
        <f t="shared" si="90"/>
        <v>女</v>
      </c>
    </row>
    <row r="1895" spans="1:5" ht="30" customHeight="1">
      <c r="A1895" s="6">
        <v>1893</v>
      </c>
      <c r="B1895" s="7" t="str">
        <f>"29802021051513203898761"</f>
        <v>29802021051513203898761</v>
      </c>
      <c r="C1895" s="7" t="s">
        <v>15</v>
      </c>
      <c r="D1895" s="7" t="str">
        <f>"梁玲玲"</f>
        <v>梁玲玲</v>
      </c>
      <c r="E1895" s="7" t="str">
        <f t="shared" si="90"/>
        <v>女</v>
      </c>
    </row>
    <row r="1896" spans="1:5" ht="30" customHeight="1">
      <c r="A1896" s="6">
        <v>1894</v>
      </c>
      <c r="B1896" s="7" t="str">
        <f>"29802021051513281598776"</f>
        <v>29802021051513281598776</v>
      </c>
      <c r="C1896" s="7" t="s">
        <v>15</v>
      </c>
      <c r="D1896" s="7" t="str">
        <f>"李东美"</f>
        <v>李东美</v>
      </c>
      <c r="E1896" s="7" t="str">
        <f t="shared" si="90"/>
        <v>女</v>
      </c>
    </row>
    <row r="1897" spans="1:5" ht="30" customHeight="1">
      <c r="A1897" s="6">
        <v>1895</v>
      </c>
      <c r="B1897" s="7" t="str">
        <f>"29802021051513453498809"</f>
        <v>29802021051513453498809</v>
      </c>
      <c r="C1897" s="7" t="s">
        <v>15</v>
      </c>
      <c r="D1897" s="7" t="str">
        <f>"关雯靖"</f>
        <v>关雯靖</v>
      </c>
      <c r="E1897" s="7" t="str">
        <f t="shared" si="90"/>
        <v>女</v>
      </c>
    </row>
    <row r="1898" spans="1:5" ht="30" customHeight="1">
      <c r="A1898" s="6">
        <v>1896</v>
      </c>
      <c r="B1898" s="7" t="str">
        <f>"29802021051514434198894"</f>
        <v>29802021051514434198894</v>
      </c>
      <c r="C1898" s="7" t="s">
        <v>15</v>
      </c>
      <c r="D1898" s="7" t="str">
        <f>"张英惠"</f>
        <v>张英惠</v>
      </c>
      <c r="E1898" s="7" t="str">
        <f t="shared" si="90"/>
        <v>女</v>
      </c>
    </row>
    <row r="1899" spans="1:5" ht="30" customHeight="1">
      <c r="A1899" s="6">
        <v>1897</v>
      </c>
      <c r="B1899" s="7" t="str">
        <f>"29802021051514520198909"</f>
        <v>29802021051514520198909</v>
      </c>
      <c r="C1899" s="7" t="s">
        <v>15</v>
      </c>
      <c r="D1899" s="7" t="str">
        <f>"陈君涯"</f>
        <v>陈君涯</v>
      </c>
      <c r="E1899" s="7" t="str">
        <f t="shared" si="90"/>
        <v>女</v>
      </c>
    </row>
    <row r="1900" spans="1:5" ht="30" customHeight="1">
      <c r="A1900" s="6">
        <v>1898</v>
      </c>
      <c r="B1900" s="7" t="str">
        <f>"29802021051514540398911"</f>
        <v>29802021051514540398911</v>
      </c>
      <c r="C1900" s="7" t="s">
        <v>15</v>
      </c>
      <c r="D1900" s="7" t="str">
        <f>"李国梁"</f>
        <v>李国梁</v>
      </c>
      <c r="E1900" s="7" t="str">
        <f>"男"</f>
        <v>男</v>
      </c>
    </row>
    <row r="1901" spans="1:5" ht="30" customHeight="1">
      <c r="A1901" s="6">
        <v>1899</v>
      </c>
      <c r="B1901" s="7" t="str">
        <f>"29802021051515020698928"</f>
        <v>29802021051515020698928</v>
      </c>
      <c r="C1901" s="7" t="s">
        <v>15</v>
      </c>
      <c r="D1901" s="7" t="str">
        <f>"林升恒"</f>
        <v>林升恒</v>
      </c>
      <c r="E1901" s="7" t="str">
        <f>"男"</f>
        <v>男</v>
      </c>
    </row>
    <row r="1902" spans="1:5" ht="30" customHeight="1">
      <c r="A1902" s="6">
        <v>1900</v>
      </c>
      <c r="B1902" s="7" t="str">
        <f>"29802021051515233498965"</f>
        <v>29802021051515233498965</v>
      </c>
      <c r="C1902" s="7" t="s">
        <v>15</v>
      </c>
      <c r="D1902" s="7" t="str">
        <f>"林莉红"</f>
        <v>林莉红</v>
      </c>
      <c r="E1902" s="7" t="str">
        <f>"女"</f>
        <v>女</v>
      </c>
    </row>
    <row r="1903" spans="1:5" ht="30" customHeight="1">
      <c r="A1903" s="6">
        <v>1901</v>
      </c>
      <c r="B1903" s="7" t="str">
        <f>"29802021051515281898977"</f>
        <v>29802021051515281898977</v>
      </c>
      <c r="C1903" s="7" t="s">
        <v>15</v>
      </c>
      <c r="D1903" s="7" t="str">
        <f>"蒋庆"</f>
        <v>蒋庆</v>
      </c>
      <c r="E1903" s="7" t="str">
        <f>"女"</f>
        <v>女</v>
      </c>
    </row>
    <row r="1904" spans="1:5" ht="30" customHeight="1">
      <c r="A1904" s="6">
        <v>1902</v>
      </c>
      <c r="B1904" s="7" t="str">
        <f>"29802021051515402898996"</f>
        <v>29802021051515402898996</v>
      </c>
      <c r="C1904" s="7" t="s">
        <v>15</v>
      </c>
      <c r="D1904" s="7" t="str">
        <f>"苏文丽"</f>
        <v>苏文丽</v>
      </c>
      <c r="E1904" s="7" t="str">
        <f>"女"</f>
        <v>女</v>
      </c>
    </row>
    <row r="1905" spans="1:5" ht="30" customHeight="1">
      <c r="A1905" s="6">
        <v>1903</v>
      </c>
      <c r="B1905" s="7" t="str">
        <f>"29802021050908043380477"</f>
        <v>29802021050908043380477</v>
      </c>
      <c r="C1905" s="7" t="s">
        <v>16</v>
      </c>
      <c r="D1905" s="7" t="str">
        <f>"叶泰华"</f>
        <v>叶泰华</v>
      </c>
      <c r="E1905" s="7" t="str">
        <f>"男"</f>
        <v>男</v>
      </c>
    </row>
    <row r="1906" spans="1:5" ht="30" customHeight="1">
      <c r="A1906" s="6">
        <v>1904</v>
      </c>
      <c r="B1906" s="7" t="str">
        <f>"29802021050910083780694"</f>
        <v>29802021050910083780694</v>
      </c>
      <c r="C1906" s="7" t="s">
        <v>16</v>
      </c>
      <c r="D1906" s="7" t="str">
        <f>"刘美菊"</f>
        <v>刘美菊</v>
      </c>
      <c r="E1906" s="7" t="str">
        <f aca="true" t="shared" si="91" ref="E1906:E1919">"女"</f>
        <v>女</v>
      </c>
    </row>
    <row r="1907" spans="1:5" ht="30" customHeight="1">
      <c r="A1907" s="6">
        <v>1905</v>
      </c>
      <c r="B1907" s="7" t="str">
        <f>"29802021050910254080730"</f>
        <v>29802021050910254080730</v>
      </c>
      <c r="C1907" s="7" t="s">
        <v>16</v>
      </c>
      <c r="D1907" s="7" t="str">
        <f>"吴燕"</f>
        <v>吴燕</v>
      </c>
      <c r="E1907" s="7" t="str">
        <f t="shared" si="91"/>
        <v>女</v>
      </c>
    </row>
    <row r="1908" spans="1:5" ht="30" customHeight="1">
      <c r="A1908" s="6">
        <v>1906</v>
      </c>
      <c r="B1908" s="7" t="str">
        <f>"29802021050910260580732"</f>
        <v>29802021050910260580732</v>
      </c>
      <c r="C1908" s="7" t="s">
        <v>16</v>
      </c>
      <c r="D1908" s="7" t="str">
        <f>"洪叶"</f>
        <v>洪叶</v>
      </c>
      <c r="E1908" s="7" t="str">
        <f t="shared" si="91"/>
        <v>女</v>
      </c>
    </row>
    <row r="1909" spans="1:5" ht="30" customHeight="1">
      <c r="A1909" s="6">
        <v>1907</v>
      </c>
      <c r="B1909" s="7" t="str">
        <f>"29802021050910362680750"</f>
        <v>29802021050910362680750</v>
      </c>
      <c r="C1909" s="7" t="s">
        <v>16</v>
      </c>
      <c r="D1909" s="7" t="str">
        <f>"唐碧雪"</f>
        <v>唐碧雪</v>
      </c>
      <c r="E1909" s="7" t="str">
        <f t="shared" si="91"/>
        <v>女</v>
      </c>
    </row>
    <row r="1910" spans="1:5" ht="30" customHeight="1">
      <c r="A1910" s="6">
        <v>1908</v>
      </c>
      <c r="B1910" s="7" t="str">
        <f>"29802021050912114080926"</f>
        <v>29802021050912114080926</v>
      </c>
      <c r="C1910" s="7" t="s">
        <v>16</v>
      </c>
      <c r="D1910" s="7" t="str">
        <f>"黄姗姗"</f>
        <v>黄姗姗</v>
      </c>
      <c r="E1910" s="7" t="str">
        <f t="shared" si="91"/>
        <v>女</v>
      </c>
    </row>
    <row r="1911" spans="1:5" ht="30" customHeight="1">
      <c r="A1911" s="6">
        <v>1909</v>
      </c>
      <c r="B1911" s="7" t="str">
        <f>"29802021050913152281026"</f>
        <v>29802021050913152281026</v>
      </c>
      <c r="C1911" s="7" t="s">
        <v>16</v>
      </c>
      <c r="D1911" s="7" t="str">
        <f>"吉小兰"</f>
        <v>吉小兰</v>
      </c>
      <c r="E1911" s="7" t="str">
        <f t="shared" si="91"/>
        <v>女</v>
      </c>
    </row>
    <row r="1912" spans="1:5" ht="30" customHeight="1">
      <c r="A1912" s="6">
        <v>1910</v>
      </c>
      <c r="B1912" s="7" t="str">
        <f>"29802021050916304881339"</f>
        <v>29802021050916304881339</v>
      </c>
      <c r="C1912" s="7" t="s">
        <v>16</v>
      </c>
      <c r="D1912" s="7" t="str">
        <f>"洪杨琴"</f>
        <v>洪杨琴</v>
      </c>
      <c r="E1912" s="7" t="str">
        <f t="shared" si="91"/>
        <v>女</v>
      </c>
    </row>
    <row r="1913" spans="1:5" ht="30" customHeight="1">
      <c r="A1913" s="6">
        <v>1911</v>
      </c>
      <c r="B1913" s="7" t="str">
        <f>"29802021050917164881441"</f>
        <v>29802021050917164881441</v>
      </c>
      <c r="C1913" s="7" t="s">
        <v>16</v>
      </c>
      <c r="D1913" s="7" t="str">
        <f>"王阳超"</f>
        <v>王阳超</v>
      </c>
      <c r="E1913" s="7" t="str">
        <f t="shared" si="91"/>
        <v>女</v>
      </c>
    </row>
    <row r="1914" spans="1:5" ht="30" customHeight="1">
      <c r="A1914" s="6">
        <v>1912</v>
      </c>
      <c r="B1914" s="7" t="str">
        <f>"29802021050917274981473"</f>
        <v>29802021050917274981473</v>
      </c>
      <c r="C1914" s="7" t="s">
        <v>16</v>
      </c>
      <c r="D1914" s="7" t="str">
        <f>"卢燕花"</f>
        <v>卢燕花</v>
      </c>
      <c r="E1914" s="7" t="str">
        <f t="shared" si="91"/>
        <v>女</v>
      </c>
    </row>
    <row r="1915" spans="1:5" ht="30" customHeight="1">
      <c r="A1915" s="6">
        <v>1913</v>
      </c>
      <c r="B1915" s="7" t="str">
        <f>"29802021050917485781522"</f>
        <v>29802021050917485781522</v>
      </c>
      <c r="C1915" s="7" t="s">
        <v>16</v>
      </c>
      <c r="D1915" s="7" t="str">
        <f>"刘小情"</f>
        <v>刘小情</v>
      </c>
      <c r="E1915" s="7" t="str">
        <f t="shared" si="91"/>
        <v>女</v>
      </c>
    </row>
    <row r="1916" spans="1:5" ht="30" customHeight="1">
      <c r="A1916" s="6">
        <v>1914</v>
      </c>
      <c r="B1916" s="7" t="str">
        <f>"29802021050918284481595"</f>
        <v>29802021050918284481595</v>
      </c>
      <c r="C1916" s="7" t="s">
        <v>16</v>
      </c>
      <c r="D1916" s="7" t="str">
        <f>"黄小妹"</f>
        <v>黄小妹</v>
      </c>
      <c r="E1916" s="7" t="str">
        <f t="shared" si="91"/>
        <v>女</v>
      </c>
    </row>
    <row r="1917" spans="1:5" ht="30" customHeight="1">
      <c r="A1917" s="6">
        <v>1915</v>
      </c>
      <c r="B1917" s="7" t="str">
        <f>"29802021050918343881603"</f>
        <v>29802021050918343881603</v>
      </c>
      <c r="C1917" s="7" t="s">
        <v>16</v>
      </c>
      <c r="D1917" s="7" t="str">
        <f>"王声"</f>
        <v>王声</v>
      </c>
      <c r="E1917" s="7" t="str">
        <f t="shared" si="91"/>
        <v>女</v>
      </c>
    </row>
    <row r="1918" spans="1:5" ht="30" customHeight="1">
      <c r="A1918" s="6">
        <v>1916</v>
      </c>
      <c r="B1918" s="7" t="str">
        <f>"29802021050919563581751"</f>
        <v>29802021050919563581751</v>
      </c>
      <c r="C1918" s="7" t="s">
        <v>16</v>
      </c>
      <c r="D1918" s="7" t="str">
        <f>"吉秀如"</f>
        <v>吉秀如</v>
      </c>
      <c r="E1918" s="7" t="str">
        <f t="shared" si="91"/>
        <v>女</v>
      </c>
    </row>
    <row r="1919" spans="1:5" ht="30" customHeight="1">
      <c r="A1919" s="6">
        <v>1917</v>
      </c>
      <c r="B1919" s="7" t="str">
        <f>"29802021050919574281754"</f>
        <v>29802021050919574281754</v>
      </c>
      <c r="C1919" s="7" t="s">
        <v>16</v>
      </c>
      <c r="D1919" s="7" t="str">
        <f>"符芳莉"</f>
        <v>符芳莉</v>
      </c>
      <c r="E1919" s="7" t="str">
        <f t="shared" si="91"/>
        <v>女</v>
      </c>
    </row>
    <row r="1920" spans="1:5" ht="30" customHeight="1">
      <c r="A1920" s="6">
        <v>1918</v>
      </c>
      <c r="B1920" s="7" t="str">
        <f>"29802021050920094081780"</f>
        <v>29802021050920094081780</v>
      </c>
      <c r="C1920" s="7" t="s">
        <v>16</v>
      </c>
      <c r="D1920" s="7" t="str">
        <f>"周德志"</f>
        <v>周德志</v>
      </c>
      <c r="E1920" s="7" t="str">
        <f>"男"</f>
        <v>男</v>
      </c>
    </row>
    <row r="1921" spans="1:5" ht="30" customHeight="1">
      <c r="A1921" s="6">
        <v>1919</v>
      </c>
      <c r="B1921" s="7" t="str">
        <f>"29802021050920193881796"</f>
        <v>29802021050920193881796</v>
      </c>
      <c r="C1921" s="7" t="s">
        <v>16</v>
      </c>
      <c r="D1921" s="7" t="str">
        <f>"林子怡"</f>
        <v>林子怡</v>
      </c>
      <c r="E1921" s="7" t="str">
        <f>"女"</f>
        <v>女</v>
      </c>
    </row>
    <row r="1922" spans="1:5" ht="30" customHeight="1">
      <c r="A1922" s="6">
        <v>1920</v>
      </c>
      <c r="B1922" s="7" t="str">
        <f>"29802021050921391581995"</f>
        <v>29802021050921391581995</v>
      </c>
      <c r="C1922" s="7" t="s">
        <v>16</v>
      </c>
      <c r="D1922" s="7" t="str">
        <f>"李沁"</f>
        <v>李沁</v>
      </c>
      <c r="E1922" s="7" t="str">
        <f>"女"</f>
        <v>女</v>
      </c>
    </row>
    <row r="1923" spans="1:5" ht="30" customHeight="1">
      <c r="A1923" s="6">
        <v>1921</v>
      </c>
      <c r="B1923" s="7" t="str">
        <f>"29802021050922162182092"</f>
        <v>29802021050922162182092</v>
      </c>
      <c r="C1923" s="7" t="s">
        <v>16</v>
      </c>
      <c r="D1923" s="7" t="str">
        <f>"胡义熙"</f>
        <v>胡义熙</v>
      </c>
      <c r="E1923" s="7" t="str">
        <f>"男"</f>
        <v>男</v>
      </c>
    </row>
    <row r="1924" spans="1:5" ht="30" customHeight="1">
      <c r="A1924" s="6">
        <v>1922</v>
      </c>
      <c r="B1924" s="7" t="str">
        <f>"29802021050922513482179"</f>
        <v>29802021050922513482179</v>
      </c>
      <c r="C1924" s="7" t="s">
        <v>16</v>
      </c>
      <c r="D1924" s="7" t="str">
        <f>"刘玉华"</f>
        <v>刘玉华</v>
      </c>
      <c r="E1924" s="7" t="str">
        <f>"女"</f>
        <v>女</v>
      </c>
    </row>
    <row r="1925" spans="1:5" ht="30" customHeight="1">
      <c r="A1925" s="6">
        <v>1923</v>
      </c>
      <c r="B1925" s="7" t="str">
        <f>"29802021051007341482361"</f>
        <v>29802021051007341482361</v>
      </c>
      <c r="C1925" s="7" t="s">
        <v>16</v>
      </c>
      <c r="D1925" s="7" t="str">
        <f>"曾慧婷"</f>
        <v>曾慧婷</v>
      </c>
      <c r="E1925" s="7" t="str">
        <f>"女"</f>
        <v>女</v>
      </c>
    </row>
    <row r="1926" spans="1:5" ht="30" customHeight="1">
      <c r="A1926" s="6">
        <v>1924</v>
      </c>
      <c r="B1926" s="7" t="str">
        <f>"29802021051008242982474"</f>
        <v>29802021051008242982474</v>
      </c>
      <c r="C1926" s="7" t="s">
        <v>16</v>
      </c>
      <c r="D1926" s="7" t="str">
        <f>"万智霞"</f>
        <v>万智霞</v>
      </c>
      <c r="E1926" s="7" t="str">
        <f>"女"</f>
        <v>女</v>
      </c>
    </row>
    <row r="1927" spans="1:5" ht="30" customHeight="1">
      <c r="A1927" s="6">
        <v>1925</v>
      </c>
      <c r="B1927" s="7" t="str">
        <f>"29802021051008364382540"</f>
        <v>29802021051008364382540</v>
      </c>
      <c r="C1927" s="7" t="s">
        <v>16</v>
      </c>
      <c r="D1927" s="7" t="str">
        <f>"洪权"</f>
        <v>洪权</v>
      </c>
      <c r="E1927" s="7" t="str">
        <f>"男"</f>
        <v>男</v>
      </c>
    </row>
    <row r="1928" spans="1:5" ht="30" customHeight="1">
      <c r="A1928" s="6">
        <v>1926</v>
      </c>
      <c r="B1928" s="7" t="str">
        <f>"29802021051008371382546"</f>
        <v>29802021051008371382546</v>
      </c>
      <c r="C1928" s="7" t="s">
        <v>16</v>
      </c>
      <c r="D1928" s="7" t="str">
        <f>"郑有祯"</f>
        <v>郑有祯</v>
      </c>
      <c r="E1928" s="7" t="str">
        <f>"男"</f>
        <v>男</v>
      </c>
    </row>
    <row r="1929" spans="1:5" ht="30" customHeight="1">
      <c r="A1929" s="6">
        <v>1927</v>
      </c>
      <c r="B1929" s="7" t="str">
        <f>"29802021051008594782722"</f>
        <v>29802021051008594782722</v>
      </c>
      <c r="C1929" s="7" t="s">
        <v>16</v>
      </c>
      <c r="D1929" s="7" t="str">
        <f>"罗情"</f>
        <v>罗情</v>
      </c>
      <c r="E1929" s="7" t="str">
        <f aca="true" t="shared" si="92" ref="E1929:E1938">"女"</f>
        <v>女</v>
      </c>
    </row>
    <row r="1930" spans="1:5" ht="30" customHeight="1">
      <c r="A1930" s="6">
        <v>1928</v>
      </c>
      <c r="B1930" s="7" t="str">
        <f>"29802021051009210782997"</f>
        <v>29802021051009210782997</v>
      </c>
      <c r="C1930" s="7" t="s">
        <v>16</v>
      </c>
      <c r="D1930" s="7" t="str">
        <f>"郑亚满"</f>
        <v>郑亚满</v>
      </c>
      <c r="E1930" s="7" t="str">
        <f t="shared" si="92"/>
        <v>女</v>
      </c>
    </row>
    <row r="1931" spans="1:5" ht="30" customHeight="1">
      <c r="A1931" s="6">
        <v>1929</v>
      </c>
      <c r="B1931" s="7" t="str">
        <f>"29802021051009283083081"</f>
        <v>29802021051009283083081</v>
      </c>
      <c r="C1931" s="7" t="s">
        <v>16</v>
      </c>
      <c r="D1931" s="7" t="str">
        <f>"谭舒柳"</f>
        <v>谭舒柳</v>
      </c>
      <c r="E1931" s="7" t="str">
        <f t="shared" si="92"/>
        <v>女</v>
      </c>
    </row>
    <row r="1932" spans="1:5" ht="30" customHeight="1">
      <c r="A1932" s="6">
        <v>1930</v>
      </c>
      <c r="B1932" s="7" t="str">
        <f>"29802021051009302283096"</f>
        <v>29802021051009302283096</v>
      </c>
      <c r="C1932" s="7" t="s">
        <v>16</v>
      </c>
      <c r="D1932" s="7" t="str">
        <f>"杨慧瑶"</f>
        <v>杨慧瑶</v>
      </c>
      <c r="E1932" s="7" t="str">
        <f t="shared" si="92"/>
        <v>女</v>
      </c>
    </row>
    <row r="1933" spans="1:5" ht="30" customHeight="1">
      <c r="A1933" s="6">
        <v>1931</v>
      </c>
      <c r="B1933" s="7" t="str">
        <f>"29802021051009550783344"</f>
        <v>29802021051009550783344</v>
      </c>
      <c r="C1933" s="7" t="s">
        <v>16</v>
      </c>
      <c r="D1933" s="7" t="str">
        <f>"黄妹花"</f>
        <v>黄妹花</v>
      </c>
      <c r="E1933" s="7" t="str">
        <f t="shared" si="92"/>
        <v>女</v>
      </c>
    </row>
    <row r="1934" spans="1:5" ht="30" customHeight="1">
      <c r="A1934" s="6">
        <v>1932</v>
      </c>
      <c r="B1934" s="7" t="str">
        <f>"29802021051009592783389"</f>
        <v>29802021051009592783389</v>
      </c>
      <c r="C1934" s="7" t="s">
        <v>16</v>
      </c>
      <c r="D1934" s="7" t="str">
        <f>"吴秀菊"</f>
        <v>吴秀菊</v>
      </c>
      <c r="E1934" s="7" t="str">
        <f t="shared" si="92"/>
        <v>女</v>
      </c>
    </row>
    <row r="1935" spans="1:5" ht="30" customHeight="1">
      <c r="A1935" s="6">
        <v>1933</v>
      </c>
      <c r="B1935" s="7" t="str">
        <f>"29802021051010014083416"</f>
        <v>29802021051010014083416</v>
      </c>
      <c r="C1935" s="7" t="s">
        <v>16</v>
      </c>
      <c r="D1935" s="7" t="str">
        <f>"陈东妹"</f>
        <v>陈东妹</v>
      </c>
      <c r="E1935" s="7" t="str">
        <f t="shared" si="92"/>
        <v>女</v>
      </c>
    </row>
    <row r="1936" spans="1:5" ht="30" customHeight="1">
      <c r="A1936" s="6">
        <v>1934</v>
      </c>
      <c r="B1936" s="7" t="str">
        <f>"29802021051010205083677"</f>
        <v>29802021051010205083677</v>
      </c>
      <c r="C1936" s="7" t="s">
        <v>16</v>
      </c>
      <c r="D1936" s="7" t="str">
        <f>"傅海星"</f>
        <v>傅海星</v>
      </c>
      <c r="E1936" s="7" t="str">
        <f t="shared" si="92"/>
        <v>女</v>
      </c>
    </row>
    <row r="1937" spans="1:5" ht="30" customHeight="1">
      <c r="A1937" s="6">
        <v>1935</v>
      </c>
      <c r="B1937" s="7" t="str">
        <f>"29802021051010515684050"</f>
        <v>29802021051010515684050</v>
      </c>
      <c r="C1937" s="7" t="s">
        <v>16</v>
      </c>
      <c r="D1937" s="7" t="str">
        <f>"黄柳叶"</f>
        <v>黄柳叶</v>
      </c>
      <c r="E1937" s="7" t="str">
        <f t="shared" si="92"/>
        <v>女</v>
      </c>
    </row>
    <row r="1938" spans="1:5" ht="30" customHeight="1">
      <c r="A1938" s="6">
        <v>1936</v>
      </c>
      <c r="B1938" s="7" t="str">
        <f>"29802021051010544384077"</f>
        <v>29802021051010544384077</v>
      </c>
      <c r="C1938" s="7" t="s">
        <v>16</v>
      </c>
      <c r="D1938" s="7" t="str">
        <f>"梁秀晶"</f>
        <v>梁秀晶</v>
      </c>
      <c r="E1938" s="7" t="str">
        <f t="shared" si="92"/>
        <v>女</v>
      </c>
    </row>
    <row r="1939" spans="1:5" ht="30" customHeight="1">
      <c r="A1939" s="6">
        <v>1937</v>
      </c>
      <c r="B1939" s="7" t="str">
        <f>"29802021051011051984171"</f>
        <v>29802021051011051984171</v>
      </c>
      <c r="C1939" s="7" t="s">
        <v>16</v>
      </c>
      <c r="D1939" s="7" t="str">
        <f>"符明贻"</f>
        <v>符明贻</v>
      </c>
      <c r="E1939" s="7" t="str">
        <f>"男"</f>
        <v>男</v>
      </c>
    </row>
    <row r="1940" spans="1:5" ht="30" customHeight="1">
      <c r="A1940" s="6">
        <v>1938</v>
      </c>
      <c r="B1940" s="7" t="str">
        <f>"29802021051011215784322"</f>
        <v>29802021051011215784322</v>
      </c>
      <c r="C1940" s="7" t="s">
        <v>16</v>
      </c>
      <c r="D1940" s="7" t="str">
        <f>"杨阳"</f>
        <v>杨阳</v>
      </c>
      <c r="E1940" s="7" t="str">
        <f>"男"</f>
        <v>男</v>
      </c>
    </row>
    <row r="1941" spans="1:5" ht="30" customHeight="1">
      <c r="A1941" s="6">
        <v>1939</v>
      </c>
      <c r="B1941" s="7" t="str">
        <f>"29802021051012023184585"</f>
        <v>29802021051012023184585</v>
      </c>
      <c r="C1941" s="7" t="s">
        <v>16</v>
      </c>
      <c r="D1941" s="7" t="str">
        <f>"章惠雅"</f>
        <v>章惠雅</v>
      </c>
      <c r="E1941" s="7" t="str">
        <f>"女"</f>
        <v>女</v>
      </c>
    </row>
    <row r="1942" spans="1:5" ht="30" customHeight="1">
      <c r="A1942" s="6">
        <v>1940</v>
      </c>
      <c r="B1942" s="7" t="str">
        <f>"29802021051012150584651"</f>
        <v>29802021051012150584651</v>
      </c>
      <c r="C1942" s="7" t="s">
        <v>16</v>
      </c>
      <c r="D1942" s="7" t="str">
        <f>"黄丽星"</f>
        <v>黄丽星</v>
      </c>
      <c r="E1942" s="7" t="str">
        <f>"女"</f>
        <v>女</v>
      </c>
    </row>
    <row r="1943" spans="1:5" ht="30" customHeight="1">
      <c r="A1943" s="6">
        <v>1941</v>
      </c>
      <c r="B1943" s="7" t="str">
        <f>"29802021051015385185772"</f>
        <v>29802021051015385185772</v>
      </c>
      <c r="C1943" s="7" t="s">
        <v>16</v>
      </c>
      <c r="D1943" s="7" t="str">
        <f>"黄海绿"</f>
        <v>黄海绿</v>
      </c>
      <c r="E1943" s="7" t="str">
        <f>"女"</f>
        <v>女</v>
      </c>
    </row>
    <row r="1944" spans="1:5" ht="30" customHeight="1">
      <c r="A1944" s="6">
        <v>1942</v>
      </c>
      <c r="B1944" s="7" t="str">
        <f>"29802021051015463085831"</f>
        <v>29802021051015463085831</v>
      </c>
      <c r="C1944" s="7" t="s">
        <v>16</v>
      </c>
      <c r="D1944" s="7" t="str">
        <f>"曾庆贺"</f>
        <v>曾庆贺</v>
      </c>
      <c r="E1944" s="7" t="str">
        <f>"男"</f>
        <v>男</v>
      </c>
    </row>
    <row r="1945" spans="1:5" ht="30" customHeight="1">
      <c r="A1945" s="6">
        <v>1943</v>
      </c>
      <c r="B1945" s="7" t="str">
        <f>"29802021051015544285896"</f>
        <v>29802021051015544285896</v>
      </c>
      <c r="C1945" s="7" t="s">
        <v>16</v>
      </c>
      <c r="D1945" s="7" t="str">
        <f>"符少琼"</f>
        <v>符少琼</v>
      </c>
      <c r="E1945" s="7" t="str">
        <f>"女"</f>
        <v>女</v>
      </c>
    </row>
    <row r="1946" spans="1:5" ht="30" customHeight="1">
      <c r="A1946" s="6">
        <v>1944</v>
      </c>
      <c r="B1946" s="7" t="str">
        <f>"29802021051016003585929"</f>
        <v>29802021051016003585929</v>
      </c>
      <c r="C1946" s="7" t="s">
        <v>16</v>
      </c>
      <c r="D1946" s="7" t="str">
        <f>"高婕"</f>
        <v>高婕</v>
      </c>
      <c r="E1946" s="7" t="str">
        <f>"女"</f>
        <v>女</v>
      </c>
    </row>
    <row r="1947" spans="1:5" ht="30" customHeight="1">
      <c r="A1947" s="6">
        <v>1945</v>
      </c>
      <c r="B1947" s="7" t="str">
        <f>"29802021051016102885991"</f>
        <v>29802021051016102885991</v>
      </c>
      <c r="C1947" s="7" t="s">
        <v>16</v>
      </c>
      <c r="D1947" s="7" t="str">
        <f>"张义妮"</f>
        <v>张义妮</v>
      </c>
      <c r="E1947" s="7" t="str">
        <f>"女"</f>
        <v>女</v>
      </c>
    </row>
    <row r="1948" spans="1:5" ht="30" customHeight="1">
      <c r="A1948" s="6">
        <v>1946</v>
      </c>
      <c r="B1948" s="7" t="str">
        <f>"29802021051016165186039"</f>
        <v>29802021051016165186039</v>
      </c>
      <c r="C1948" s="7" t="s">
        <v>16</v>
      </c>
      <c r="D1948" s="7" t="str">
        <f>"符晓燕"</f>
        <v>符晓燕</v>
      </c>
      <c r="E1948" s="7" t="str">
        <f>"女"</f>
        <v>女</v>
      </c>
    </row>
    <row r="1949" spans="1:5" ht="30" customHeight="1">
      <c r="A1949" s="6">
        <v>1947</v>
      </c>
      <c r="B1949" s="7" t="str">
        <f>"29802021051016171186042"</f>
        <v>29802021051016171186042</v>
      </c>
      <c r="C1949" s="7" t="s">
        <v>16</v>
      </c>
      <c r="D1949" s="7" t="str">
        <f>"杨利军"</f>
        <v>杨利军</v>
      </c>
      <c r="E1949" s="7" t="str">
        <f>"男"</f>
        <v>男</v>
      </c>
    </row>
    <row r="1950" spans="1:5" ht="30" customHeight="1">
      <c r="A1950" s="6">
        <v>1948</v>
      </c>
      <c r="B1950" s="7" t="str">
        <f>"29802021051016192786059"</f>
        <v>29802021051016192786059</v>
      </c>
      <c r="C1950" s="7" t="s">
        <v>16</v>
      </c>
      <c r="D1950" s="7" t="str">
        <f>"刘琼花"</f>
        <v>刘琼花</v>
      </c>
      <c r="E1950" s="7" t="str">
        <f>"女"</f>
        <v>女</v>
      </c>
    </row>
    <row r="1951" spans="1:5" ht="30" customHeight="1">
      <c r="A1951" s="6">
        <v>1949</v>
      </c>
      <c r="B1951" s="7" t="str">
        <f>"29802021051016193686062"</f>
        <v>29802021051016193686062</v>
      </c>
      <c r="C1951" s="7" t="s">
        <v>16</v>
      </c>
      <c r="D1951" s="7" t="str">
        <f>"王秀玲"</f>
        <v>王秀玲</v>
      </c>
      <c r="E1951" s="7" t="str">
        <f>"女"</f>
        <v>女</v>
      </c>
    </row>
    <row r="1952" spans="1:5" ht="30" customHeight="1">
      <c r="A1952" s="6">
        <v>1950</v>
      </c>
      <c r="B1952" s="7" t="str">
        <f>"29802021051016381886200"</f>
        <v>29802021051016381886200</v>
      </c>
      <c r="C1952" s="7" t="s">
        <v>16</v>
      </c>
      <c r="D1952" s="7" t="str">
        <f>"黄紫琳"</f>
        <v>黄紫琳</v>
      </c>
      <c r="E1952" s="7" t="str">
        <f>"女"</f>
        <v>女</v>
      </c>
    </row>
    <row r="1953" spans="1:5" ht="30" customHeight="1">
      <c r="A1953" s="6">
        <v>1951</v>
      </c>
      <c r="B1953" s="7" t="str">
        <f>"29802021051016412986224"</f>
        <v>29802021051016412986224</v>
      </c>
      <c r="C1953" s="7" t="s">
        <v>16</v>
      </c>
      <c r="D1953" s="7" t="str">
        <f>"刘丽剑"</f>
        <v>刘丽剑</v>
      </c>
      <c r="E1953" s="7" t="str">
        <f>"女"</f>
        <v>女</v>
      </c>
    </row>
    <row r="1954" spans="1:5" ht="30" customHeight="1">
      <c r="A1954" s="6">
        <v>1952</v>
      </c>
      <c r="B1954" s="7" t="str">
        <f>"29802021051016422386232"</f>
        <v>29802021051016422386232</v>
      </c>
      <c r="C1954" s="7" t="s">
        <v>16</v>
      </c>
      <c r="D1954" s="7" t="str">
        <f>"冯信义"</f>
        <v>冯信义</v>
      </c>
      <c r="E1954" s="7" t="str">
        <f>"男"</f>
        <v>男</v>
      </c>
    </row>
    <row r="1955" spans="1:5" ht="30" customHeight="1">
      <c r="A1955" s="6">
        <v>1953</v>
      </c>
      <c r="B1955" s="7" t="str">
        <f>"29802021051016501686290"</f>
        <v>29802021051016501686290</v>
      </c>
      <c r="C1955" s="7" t="s">
        <v>16</v>
      </c>
      <c r="D1955" s="7" t="str">
        <f>"朱露瑶"</f>
        <v>朱露瑶</v>
      </c>
      <c r="E1955" s="7" t="str">
        <f>"女"</f>
        <v>女</v>
      </c>
    </row>
    <row r="1956" spans="1:5" ht="30" customHeight="1">
      <c r="A1956" s="6">
        <v>1954</v>
      </c>
      <c r="B1956" s="7" t="str">
        <f>"29802021051016502086291"</f>
        <v>29802021051016502086291</v>
      </c>
      <c r="C1956" s="7" t="s">
        <v>16</v>
      </c>
      <c r="D1956" s="7" t="str">
        <f>"邢益帆"</f>
        <v>邢益帆</v>
      </c>
      <c r="E1956" s="7" t="str">
        <f>"女"</f>
        <v>女</v>
      </c>
    </row>
    <row r="1957" spans="1:5" ht="30" customHeight="1">
      <c r="A1957" s="6">
        <v>1955</v>
      </c>
      <c r="B1957" s="7" t="str">
        <f>"29802021051017111886414"</f>
        <v>29802021051017111886414</v>
      </c>
      <c r="C1957" s="7" t="s">
        <v>16</v>
      </c>
      <c r="D1957" s="7" t="str">
        <f>"吴 崇天"</f>
        <v>吴 崇天</v>
      </c>
      <c r="E1957" s="7" t="str">
        <f>"女"</f>
        <v>女</v>
      </c>
    </row>
    <row r="1958" spans="1:5" ht="30" customHeight="1">
      <c r="A1958" s="6">
        <v>1956</v>
      </c>
      <c r="B1958" s="7" t="str">
        <f>"29802021051017361286545"</f>
        <v>29802021051017361286545</v>
      </c>
      <c r="C1958" s="7" t="s">
        <v>16</v>
      </c>
      <c r="D1958" s="7" t="str">
        <f>"张黛碧"</f>
        <v>张黛碧</v>
      </c>
      <c r="E1958" s="7" t="str">
        <f>"女"</f>
        <v>女</v>
      </c>
    </row>
    <row r="1959" spans="1:5" ht="30" customHeight="1">
      <c r="A1959" s="6">
        <v>1957</v>
      </c>
      <c r="B1959" s="7" t="str">
        <f>"29802021051019012386929"</f>
        <v>29802021051019012386929</v>
      </c>
      <c r="C1959" s="7" t="s">
        <v>16</v>
      </c>
      <c r="D1959" s="7" t="str">
        <f>"刘娜英"</f>
        <v>刘娜英</v>
      </c>
      <c r="E1959" s="7" t="str">
        <f>"女"</f>
        <v>女</v>
      </c>
    </row>
    <row r="1960" spans="1:5" ht="30" customHeight="1">
      <c r="A1960" s="6">
        <v>1958</v>
      </c>
      <c r="B1960" s="7" t="str">
        <f>"29802021051020145487253"</f>
        <v>29802021051020145487253</v>
      </c>
      <c r="C1960" s="7" t="s">
        <v>16</v>
      </c>
      <c r="D1960" s="7" t="str">
        <f>"张晓乾"</f>
        <v>张晓乾</v>
      </c>
      <c r="E1960" s="7" t="str">
        <f>"男"</f>
        <v>男</v>
      </c>
    </row>
    <row r="1961" spans="1:5" ht="30" customHeight="1">
      <c r="A1961" s="6">
        <v>1959</v>
      </c>
      <c r="B1961" s="7" t="str">
        <f>"29802021051020284487309"</f>
        <v>29802021051020284487309</v>
      </c>
      <c r="C1961" s="7" t="s">
        <v>16</v>
      </c>
      <c r="D1961" s="7" t="str">
        <f>"罗哓霞"</f>
        <v>罗哓霞</v>
      </c>
      <c r="E1961" s="7" t="str">
        <f aca="true" t="shared" si="93" ref="E1961:E1970">"女"</f>
        <v>女</v>
      </c>
    </row>
    <row r="1962" spans="1:5" ht="30" customHeight="1">
      <c r="A1962" s="6">
        <v>1960</v>
      </c>
      <c r="B1962" s="7" t="str">
        <f>"29802021051021120787477"</f>
        <v>29802021051021120787477</v>
      </c>
      <c r="C1962" s="7" t="s">
        <v>16</v>
      </c>
      <c r="D1962" s="7" t="str">
        <f>"纪雪芬"</f>
        <v>纪雪芬</v>
      </c>
      <c r="E1962" s="7" t="str">
        <f t="shared" si="93"/>
        <v>女</v>
      </c>
    </row>
    <row r="1963" spans="1:5" ht="30" customHeight="1">
      <c r="A1963" s="6">
        <v>1961</v>
      </c>
      <c r="B1963" s="7" t="str">
        <f>"29802021051021563187704"</f>
        <v>29802021051021563187704</v>
      </c>
      <c r="C1963" s="7" t="s">
        <v>16</v>
      </c>
      <c r="D1963" s="7" t="str">
        <f>"高雨飘"</f>
        <v>高雨飘</v>
      </c>
      <c r="E1963" s="7" t="str">
        <f t="shared" si="93"/>
        <v>女</v>
      </c>
    </row>
    <row r="1964" spans="1:5" ht="30" customHeight="1">
      <c r="A1964" s="6">
        <v>1962</v>
      </c>
      <c r="B1964" s="7" t="str">
        <f>"29802021051022133487784"</f>
        <v>29802021051022133487784</v>
      </c>
      <c r="C1964" s="7" t="s">
        <v>16</v>
      </c>
      <c r="D1964" s="7" t="str">
        <f>"胡晶晶"</f>
        <v>胡晶晶</v>
      </c>
      <c r="E1964" s="7" t="str">
        <f t="shared" si="93"/>
        <v>女</v>
      </c>
    </row>
    <row r="1965" spans="1:5" ht="30" customHeight="1">
      <c r="A1965" s="6">
        <v>1963</v>
      </c>
      <c r="B1965" s="7" t="str">
        <f>"29802021051022461187921"</f>
        <v>29802021051022461187921</v>
      </c>
      <c r="C1965" s="7" t="s">
        <v>16</v>
      </c>
      <c r="D1965" s="7" t="str">
        <f>"周美雅"</f>
        <v>周美雅</v>
      </c>
      <c r="E1965" s="7" t="str">
        <f t="shared" si="93"/>
        <v>女</v>
      </c>
    </row>
    <row r="1966" spans="1:5" ht="30" customHeight="1">
      <c r="A1966" s="6">
        <v>1964</v>
      </c>
      <c r="B1966" s="7" t="str">
        <f>"29802021051023110888002"</f>
        <v>29802021051023110888002</v>
      </c>
      <c r="C1966" s="7" t="s">
        <v>16</v>
      </c>
      <c r="D1966" s="7" t="str">
        <f>"江乔木"</f>
        <v>江乔木</v>
      </c>
      <c r="E1966" s="7" t="str">
        <f t="shared" si="93"/>
        <v>女</v>
      </c>
    </row>
    <row r="1967" spans="1:5" ht="30" customHeight="1">
      <c r="A1967" s="6">
        <v>1965</v>
      </c>
      <c r="B1967" s="7" t="str">
        <f>"29802021051023292088057"</f>
        <v>29802021051023292088057</v>
      </c>
      <c r="C1967" s="7" t="s">
        <v>16</v>
      </c>
      <c r="D1967" s="7" t="str">
        <f>"符惠芬"</f>
        <v>符惠芬</v>
      </c>
      <c r="E1967" s="7" t="str">
        <f t="shared" si="93"/>
        <v>女</v>
      </c>
    </row>
    <row r="1968" spans="1:5" ht="30" customHeight="1">
      <c r="A1968" s="6">
        <v>1966</v>
      </c>
      <c r="B1968" s="7" t="str">
        <f>"29802021051107061388198"</f>
        <v>29802021051107061388198</v>
      </c>
      <c r="C1968" s="7" t="s">
        <v>16</v>
      </c>
      <c r="D1968" s="7" t="str">
        <f>"陈玫玫"</f>
        <v>陈玫玫</v>
      </c>
      <c r="E1968" s="7" t="str">
        <f t="shared" si="93"/>
        <v>女</v>
      </c>
    </row>
    <row r="1969" spans="1:5" ht="30" customHeight="1">
      <c r="A1969" s="6">
        <v>1967</v>
      </c>
      <c r="B1969" s="7" t="str">
        <f>"29802021051108294088286"</f>
        <v>29802021051108294088286</v>
      </c>
      <c r="C1969" s="7" t="s">
        <v>16</v>
      </c>
      <c r="D1969" s="7" t="str">
        <f>"邢秋碧"</f>
        <v>邢秋碧</v>
      </c>
      <c r="E1969" s="7" t="str">
        <f t="shared" si="93"/>
        <v>女</v>
      </c>
    </row>
    <row r="1970" spans="1:5" ht="30" customHeight="1">
      <c r="A1970" s="6">
        <v>1968</v>
      </c>
      <c r="B1970" s="7" t="str">
        <f>"29802021051108560888388"</f>
        <v>29802021051108560888388</v>
      </c>
      <c r="C1970" s="7" t="s">
        <v>16</v>
      </c>
      <c r="D1970" s="7" t="str">
        <f>"黄燕玲"</f>
        <v>黄燕玲</v>
      </c>
      <c r="E1970" s="7" t="str">
        <f t="shared" si="93"/>
        <v>女</v>
      </c>
    </row>
    <row r="1971" spans="1:5" ht="30" customHeight="1">
      <c r="A1971" s="6">
        <v>1969</v>
      </c>
      <c r="B1971" s="7" t="str">
        <f>"29802021051109145488481"</f>
        <v>29802021051109145488481</v>
      </c>
      <c r="C1971" s="7" t="s">
        <v>16</v>
      </c>
      <c r="D1971" s="7" t="str">
        <f>"刘周坚"</f>
        <v>刘周坚</v>
      </c>
      <c r="E1971" s="7" t="str">
        <f>"男"</f>
        <v>男</v>
      </c>
    </row>
    <row r="1972" spans="1:5" ht="30" customHeight="1">
      <c r="A1972" s="6">
        <v>1970</v>
      </c>
      <c r="B1972" s="7" t="str">
        <f>"29802021051109283788547"</f>
        <v>29802021051109283788547</v>
      </c>
      <c r="C1972" s="7" t="s">
        <v>16</v>
      </c>
      <c r="D1972" s="7" t="str">
        <f>"唐昌明"</f>
        <v>唐昌明</v>
      </c>
      <c r="E1972" s="7" t="str">
        <f>"男"</f>
        <v>男</v>
      </c>
    </row>
    <row r="1973" spans="1:5" ht="30" customHeight="1">
      <c r="A1973" s="6">
        <v>1971</v>
      </c>
      <c r="B1973" s="7" t="str">
        <f>"29802021051110175688780"</f>
        <v>29802021051110175688780</v>
      </c>
      <c r="C1973" s="7" t="s">
        <v>16</v>
      </c>
      <c r="D1973" s="7" t="str">
        <f>"曹莉"</f>
        <v>曹莉</v>
      </c>
      <c r="E1973" s="7" t="str">
        <f>"女"</f>
        <v>女</v>
      </c>
    </row>
    <row r="1974" spans="1:5" ht="30" customHeight="1">
      <c r="A1974" s="6">
        <v>1972</v>
      </c>
      <c r="B1974" s="7" t="str">
        <f>"29802021051110495588954"</f>
        <v>29802021051110495588954</v>
      </c>
      <c r="C1974" s="7" t="s">
        <v>16</v>
      </c>
      <c r="D1974" s="7" t="str">
        <f>"吉小亲"</f>
        <v>吉小亲</v>
      </c>
      <c r="E1974" s="7" t="str">
        <f>"女"</f>
        <v>女</v>
      </c>
    </row>
    <row r="1975" spans="1:5" ht="30" customHeight="1">
      <c r="A1975" s="6">
        <v>1973</v>
      </c>
      <c r="B1975" s="7" t="str">
        <f>"29802021051110512888965"</f>
        <v>29802021051110512888965</v>
      </c>
      <c r="C1975" s="7" t="s">
        <v>16</v>
      </c>
      <c r="D1975" s="7" t="str">
        <f>"刘增"</f>
        <v>刘增</v>
      </c>
      <c r="E1975" s="7" t="str">
        <f>"女"</f>
        <v>女</v>
      </c>
    </row>
    <row r="1976" spans="1:5" ht="30" customHeight="1">
      <c r="A1976" s="6">
        <v>1974</v>
      </c>
      <c r="B1976" s="7" t="str">
        <f>"29802021051114312789593"</f>
        <v>29802021051114312789593</v>
      </c>
      <c r="C1976" s="7" t="s">
        <v>16</v>
      </c>
      <c r="D1976" s="7" t="str">
        <f>"胡肖颜"</f>
        <v>胡肖颜</v>
      </c>
      <c r="E1976" s="7" t="str">
        <f>"女"</f>
        <v>女</v>
      </c>
    </row>
    <row r="1977" spans="1:5" ht="30" customHeight="1">
      <c r="A1977" s="6">
        <v>1975</v>
      </c>
      <c r="B1977" s="7" t="str">
        <f>"29802021051114374289615"</f>
        <v>29802021051114374289615</v>
      </c>
      <c r="C1977" s="7" t="s">
        <v>16</v>
      </c>
      <c r="D1977" s="7" t="str">
        <f>"陈小妹"</f>
        <v>陈小妹</v>
      </c>
      <c r="E1977" s="7" t="str">
        <f>"女"</f>
        <v>女</v>
      </c>
    </row>
    <row r="1978" spans="1:5" ht="30" customHeight="1">
      <c r="A1978" s="6">
        <v>1976</v>
      </c>
      <c r="B1978" s="7" t="str">
        <f>"29802021051115394689883"</f>
        <v>29802021051115394689883</v>
      </c>
      <c r="C1978" s="7" t="s">
        <v>16</v>
      </c>
      <c r="D1978" s="7" t="str">
        <f>"唐防"</f>
        <v>唐防</v>
      </c>
      <c r="E1978" s="7" t="str">
        <f>"男"</f>
        <v>男</v>
      </c>
    </row>
    <row r="1979" spans="1:5" ht="30" customHeight="1">
      <c r="A1979" s="6">
        <v>1977</v>
      </c>
      <c r="B1979" s="7" t="str">
        <f>"29802021051117193890266"</f>
        <v>29802021051117193890266</v>
      </c>
      <c r="C1979" s="7" t="s">
        <v>16</v>
      </c>
      <c r="D1979" s="7" t="str">
        <f>"黄昌非"</f>
        <v>黄昌非</v>
      </c>
      <c r="E1979" s="7" t="str">
        <f>"男"</f>
        <v>男</v>
      </c>
    </row>
    <row r="1980" spans="1:5" ht="30" customHeight="1">
      <c r="A1980" s="6">
        <v>1978</v>
      </c>
      <c r="B1980" s="7" t="str">
        <f>"29802021051117222490270"</f>
        <v>29802021051117222490270</v>
      </c>
      <c r="C1980" s="7" t="s">
        <v>16</v>
      </c>
      <c r="D1980" s="7" t="str">
        <f>"文冬怡"</f>
        <v>文冬怡</v>
      </c>
      <c r="E1980" s="7" t="str">
        <f>"女"</f>
        <v>女</v>
      </c>
    </row>
    <row r="1981" spans="1:5" ht="30" customHeight="1">
      <c r="A1981" s="6">
        <v>1979</v>
      </c>
      <c r="B1981" s="7" t="str">
        <f>"29802021051117225790274"</f>
        <v>29802021051117225790274</v>
      </c>
      <c r="C1981" s="7" t="s">
        <v>16</v>
      </c>
      <c r="D1981" s="7" t="str">
        <f>"符进成"</f>
        <v>符进成</v>
      </c>
      <c r="E1981" s="7" t="str">
        <f>"男"</f>
        <v>男</v>
      </c>
    </row>
    <row r="1982" spans="1:5" ht="30" customHeight="1">
      <c r="A1982" s="6">
        <v>1980</v>
      </c>
      <c r="B1982" s="7" t="str">
        <f>"29802021051118091090408"</f>
        <v>29802021051118091090408</v>
      </c>
      <c r="C1982" s="7" t="s">
        <v>16</v>
      </c>
      <c r="D1982" s="7" t="str">
        <f>"黄丽妹"</f>
        <v>黄丽妹</v>
      </c>
      <c r="E1982" s="7" t="str">
        <f>"女"</f>
        <v>女</v>
      </c>
    </row>
    <row r="1983" spans="1:5" ht="30" customHeight="1">
      <c r="A1983" s="6">
        <v>1981</v>
      </c>
      <c r="B1983" s="7" t="str">
        <f>"29802021051118315090475"</f>
        <v>29802021051118315090475</v>
      </c>
      <c r="C1983" s="7" t="s">
        <v>16</v>
      </c>
      <c r="D1983" s="7" t="str">
        <f>"洪银银"</f>
        <v>洪银银</v>
      </c>
      <c r="E1983" s="7" t="str">
        <f>"女"</f>
        <v>女</v>
      </c>
    </row>
    <row r="1984" spans="1:5" ht="30" customHeight="1">
      <c r="A1984" s="6">
        <v>1982</v>
      </c>
      <c r="B1984" s="7" t="str">
        <f>"29802021051119050190561"</f>
        <v>29802021051119050190561</v>
      </c>
      <c r="C1984" s="7" t="s">
        <v>16</v>
      </c>
      <c r="D1984" s="7" t="str">
        <f>"王晓娉"</f>
        <v>王晓娉</v>
      </c>
      <c r="E1984" s="7" t="str">
        <f>"女"</f>
        <v>女</v>
      </c>
    </row>
    <row r="1985" spans="1:5" ht="30" customHeight="1">
      <c r="A1985" s="6">
        <v>1983</v>
      </c>
      <c r="B1985" s="7" t="str">
        <f>"29802021051119371990645"</f>
        <v>29802021051119371990645</v>
      </c>
      <c r="C1985" s="7" t="s">
        <v>16</v>
      </c>
      <c r="D1985" s="7" t="str">
        <f>"容兴"</f>
        <v>容兴</v>
      </c>
      <c r="E1985" s="7" t="str">
        <f>"男"</f>
        <v>男</v>
      </c>
    </row>
    <row r="1986" spans="1:5" ht="30" customHeight="1">
      <c r="A1986" s="6">
        <v>1984</v>
      </c>
      <c r="B1986" s="7" t="str">
        <f>"29802021051119420790660"</f>
        <v>29802021051119420790660</v>
      </c>
      <c r="C1986" s="7" t="s">
        <v>16</v>
      </c>
      <c r="D1986" s="7" t="str">
        <f>"符万方"</f>
        <v>符万方</v>
      </c>
      <c r="E1986" s="7" t="str">
        <f aca="true" t="shared" si="94" ref="E1986:E2006">"女"</f>
        <v>女</v>
      </c>
    </row>
    <row r="1987" spans="1:5" ht="30" customHeight="1">
      <c r="A1987" s="6">
        <v>1985</v>
      </c>
      <c r="B1987" s="7" t="str">
        <f>"29802021051119450990671"</f>
        <v>29802021051119450990671</v>
      </c>
      <c r="C1987" s="7" t="s">
        <v>16</v>
      </c>
      <c r="D1987" s="7" t="str">
        <f>"黄新萍"</f>
        <v>黄新萍</v>
      </c>
      <c r="E1987" s="7" t="str">
        <f t="shared" si="94"/>
        <v>女</v>
      </c>
    </row>
    <row r="1988" spans="1:5" ht="30" customHeight="1">
      <c r="A1988" s="6">
        <v>1986</v>
      </c>
      <c r="B1988" s="7" t="str">
        <f>"29802021051120233390784"</f>
        <v>29802021051120233390784</v>
      </c>
      <c r="C1988" s="7" t="s">
        <v>16</v>
      </c>
      <c r="D1988" s="7" t="str">
        <f>"黄家偲"</f>
        <v>黄家偲</v>
      </c>
      <c r="E1988" s="7" t="str">
        <f t="shared" si="94"/>
        <v>女</v>
      </c>
    </row>
    <row r="1989" spans="1:5" ht="30" customHeight="1">
      <c r="A1989" s="6">
        <v>1987</v>
      </c>
      <c r="B1989" s="7" t="str">
        <f>"29802021051122010291093"</f>
        <v>29802021051122010291093</v>
      </c>
      <c r="C1989" s="7" t="s">
        <v>16</v>
      </c>
      <c r="D1989" s="7" t="str">
        <f>"崔优雅"</f>
        <v>崔优雅</v>
      </c>
      <c r="E1989" s="7" t="str">
        <f t="shared" si="94"/>
        <v>女</v>
      </c>
    </row>
    <row r="1990" spans="1:5" ht="30" customHeight="1">
      <c r="A1990" s="6">
        <v>1988</v>
      </c>
      <c r="B1990" s="7" t="str">
        <f>"29802021051208181691450"</f>
        <v>29802021051208181691450</v>
      </c>
      <c r="C1990" s="7" t="s">
        <v>16</v>
      </c>
      <c r="D1990" s="7" t="str">
        <f>"邓少平"</f>
        <v>邓少平</v>
      </c>
      <c r="E1990" s="7" t="str">
        <f t="shared" si="94"/>
        <v>女</v>
      </c>
    </row>
    <row r="1991" spans="1:5" ht="30" customHeight="1">
      <c r="A1991" s="6">
        <v>1989</v>
      </c>
      <c r="B1991" s="7" t="str">
        <f>"29802021051208312891472"</f>
        <v>29802021051208312891472</v>
      </c>
      <c r="C1991" s="7" t="s">
        <v>16</v>
      </c>
      <c r="D1991" s="7" t="str">
        <f>"李雪"</f>
        <v>李雪</v>
      </c>
      <c r="E1991" s="7" t="str">
        <f t="shared" si="94"/>
        <v>女</v>
      </c>
    </row>
    <row r="1992" spans="1:5" ht="30" customHeight="1">
      <c r="A1992" s="6">
        <v>1990</v>
      </c>
      <c r="B1992" s="7" t="str">
        <f>"29802021051209215691638"</f>
        <v>29802021051209215691638</v>
      </c>
      <c r="C1992" s="7" t="s">
        <v>16</v>
      </c>
      <c r="D1992" s="7" t="str">
        <f>"谭文佳"</f>
        <v>谭文佳</v>
      </c>
      <c r="E1992" s="7" t="str">
        <f t="shared" si="94"/>
        <v>女</v>
      </c>
    </row>
    <row r="1993" spans="1:5" ht="30" customHeight="1">
      <c r="A1993" s="6">
        <v>1991</v>
      </c>
      <c r="B1993" s="7" t="str">
        <f>"29802021051209291291666"</f>
        <v>29802021051209291291666</v>
      </c>
      <c r="C1993" s="7" t="s">
        <v>16</v>
      </c>
      <c r="D1993" s="7" t="str">
        <f>"符小丽"</f>
        <v>符小丽</v>
      </c>
      <c r="E1993" s="7" t="str">
        <f t="shared" si="94"/>
        <v>女</v>
      </c>
    </row>
    <row r="1994" spans="1:5" ht="30" customHeight="1">
      <c r="A1994" s="6">
        <v>1992</v>
      </c>
      <c r="B1994" s="7" t="str">
        <f>"29802021051210051191828"</f>
        <v>29802021051210051191828</v>
      </c>
      <c r="C1994" s="7" t="s">
        <v>16</v>
      </c>
      <c r="D1994" s="7" t="str">
        <f>"卢淑婷"</f>
        <v>卢淑婷</v>
      </c>
      <c r="E1994" s="7" t="str">
        <f t="shared" si="94"/>
        <v>女</v>
      </c>
    </row>
    <row r="1995" spans="1:5" ht="30" customHeight="1">
      <c r="A1995" s="6">
        <v>1993</v>
      </c>
      <c r="B1995" s="7" t="str">
        <f>"29802021051212091392369"</f>
        <v>29802021051212091392369</v>
      </c>
      <c r="C1995" s="7" t="s">
        <v>16</v>
      </c>
      <c r="D1995" s="7" t="str">
        <f>"王有彬"</f>
        <v>王有彬</v>
      </c>
      <c r="E1995" s="7" t="str">
        <f t="shared" si="94"/>
        <v>女</v>
      </c>
    </row>
    <row r="1996" spans="1:5" ht="30" customHeight="1">
      <c r="A1996" s="6">
        <v>1994</v>
      </c>
      <c r="B1996" s="7" t="str">
        <f>"29802021051215204792895"</f>
        <v>29802021051215204792895</v>
      </c>
      <c r="C1996" s="7" t="s">
        <v>16</v>
      </c>
      <c r="D1996" s="7" t="str">
        <f>"何荻"</f>
        <v>何荻</v>
      </c>
      <c r="E1996" s="7" t="str">
        <f t="shared" si="94"/>
        <v>女</v>
      </c>
    </row>
    <row r="1997" spans="1:5" ht="30" customHeight="1">
      <c r="A1997" s="6">
        <v>1995</v>
      </c>
      <c r="B1997" s="7" t="str">
        <f>"29802021051215255892916"</f>
        <v>29802021051215255892916</v>
      </c>
      <c r="C1997" s="7" t="s">
        <v>16</v>
      </c>
      <c r="D1997" s="7" t="str">
        <f>"高珍桃"</f>
        <v>高珍桃</v>
      </c>
      <c r="E1997" s="7" t="str">
        <f t="shared" si="94"/>
        <v>女</v>
      </c>
    </row>
    <row r="1998" spans="1:5" ht="30" customHeight="1">
      <c r="A1998" s="6">
        <v>1996</v>
      </c>
      <c r="B1998" s="7" t="str">
        <f>"29802021051215321892939"</f>
        <v>29802021051215321892939</v>
      </c>
      <c r="C1998" s="7" t="s">
        <v>16</v>
      </c>
      <c r="D1998" s="7" t="str">
        <f>"唐丽桑"</f>
        <v>唐丽桑</v>
      </c>
      <c r="E1998" s="7" t="str">
        <f t="shared" si="94"/>
        <v>女</v>
      </c>
    </row>
    <row r="1999" spans="1:5" ht="30" customHeight="1">
      <c r="A1999" s="6">
        <v>1997</v>
      </c>
      <c r="B1999" s="7" t="str">
        <f>"29802021051215332192946"</f>
        <v>29802021051215332192946</v>
      </c>
      <c r="C1999" s="7" t="s">
        <v>16</v>
      </c>
      <c r="D1999" s="7" t="str">
        <f>"董秀芬"</f>
        <v>董秀芬</v>
      </c>
      <c r="E1999" s="7" t="str">
        <f t="shared" si="94"/>
        <v>女</v>
      </c>
    </row>
    <row r="2000" spans="1:5" ht="30" customHeight="1">
      <c r="A2000" s="6">
        <v>1998</v>
      </c>
      <c r="B2000" s="7" t="str">
        <f>"29802021051216221393135"</f>
        <v>29802021051216221393135</v>
      </c>
      <c r="C2000" s="7" t="s">
        <v>16</v>
      </c>
      <c r="D2000" s="7" t="str">
        <f>"李尤萍"</f>
        <v>李尤萍</v>
      </c>
      <c r="E2000" s="7" t="str">
        <f t="shared" si="94"/>
        <v>女</v>
      </c>
    </row>
    <row r="2001" spans="1:5" ht="30" customHeight="1">
      <c r="A2001" s="6">
        <v>1999</v>
      </c>
      <c r="B2001" s="7" t="str">
        <f>"29802021051218145793507"</f>
        <v>29802021051218145793507</v>
      </c>
      <c r="C2001" s="7" t="s">
        <v>16</v>
      </c>
      <c r="D2001" s="7" t="str">
        <f>"胡春秋"</f>
        <v>胡春秋</v>
      </c>
      <c r="E2001" s="7" t="str">
        <f t="shared" si="94"/>
        <v>女</v>
      </c>
    </row>
    <row r="2002" spans="1:5" ht="30" customHeight="1">
      <c r="A2002" s="6">
        <v>2000</v>
      </c>
      <c r="B2002" s="7" t="str">
        <f>"29802021051218232593520"</f>
        <v>29802021051218232593520</v>
      </c>
      <c r="C2002" s="7" t="s">
        <v>16</v>
      </c>
      <c r="D2002" s="7" t="str">
        <f>"王舒雅"</f>
        <v>王舒雅</v>
      </c>
      <c r="E2002" s="7" t="str">
        <f t="shared" si="94"/>
        <v>女</v>
      </c>
    </row>
    <row r="2003" spans="1:5" ht="30" customHeight="1">
      <c r="A2003" s="6">
        <v>2001</v>
      </c>
      <c r="B2003" s="7" t="str">
        <f>"29802021051219022693596"</f>
        <v>29802021051219022693596</v>
      </c>
      <c r="C2003" s="7" t="s">
        <v>16</v>
      </c>
      <c r="D2003" s="7" t="str">
        <f>"董小爱"</f>
        <v>董小爱</v>
      </c>
      <c r="E2003" s="7" t="str">
        <f t="shared" si="94"/>
        <v>女</v>
      </c>
    </row>
    <row r="2004" spans="1:5" ht="30" customHeight="1">
      <c r="A2004" s="6">
        <v>2002</v>
      </c>
      <c r="B2004" s="7" t="str">
        <f>"29802021051221014993839"</f>
        <v>29802021051221014993839</v>
      </c>
      <c r="C2004" s="7" t="s">
        <v>16</v>
      </c>
      <c r="D2004" s="7" t="str">
        <f>"唐丽侠"</f>
        <v>唐丽侠</v>
      </c>
      <c r="E2004" s="7" t="str">
        <f t="shared" si="94"/>
        <v>女</v>
      </c>
    </row>
    <row r="2005" spans="1:5" ht="30" customHeight="1">
      <c r="A2005" s="6">
        <v>2003</v>
      </c>
      <c r="B2005" s="7" t="str">
        <f>"29802021051221373193936"</f>
        <v>29802021051221373193936</v>
      </c>
      <c r="C2005" s="7" t="s">
        <v>16</v>
      </c>
      <c r="D2005" s="7" t="str">
        <f>"文英群"</f>
        <v>文英群</v>
      </c>
      <c r="E2005" s="7" t="str">
        <f t="shared" si="94"/>
        <v>女</v>
      </c>
    </row>
    <row r="2006" spans="1:5" ht="30" customHeight="1">
      <c r="A2006" s="6">
        <v>2004</v>
      </c>
      <c r="B2006" s="7" t="str">
        <f>"29802021051222113594020"</f>
        <v>29802021051222113594020</v>
      </c>
      <c r="C2006" s="7" t="s">
        <v>16</v>
      </c>
      <c r="D2006" s="7" t="str">
        <f>"李慧伦"</f>
        <v>李慧伦</v>
      </c>
      <c r="E2006" s="7" t="str">
        <f t="shared" si="94"/>
        <v>女</v>
      </c>
    </row>
    <row r="2007" spans="1:5" ht="30" customHeight="1">
      <c r="A2007" s="6">
        <v>2005</v>
      </c>
      <c r="B2007" s="7" t="str">
        <f>"29802021051222481394102"</f>
        <v>29802021051222481394102</v>
      </c>
      <c r="C2007" s="7" t="s">
        <v>16</v>
      </c>
      <c r="D2007" s="7" t="str">
        <f>"周团"</f>
        <v>周团</v>
      </c>
      <c r="E2007" s="7" t="str">
        <f>"男"</f>
        <v>男</v>
      </c>
    </row>
    <row r="2008" spans="1:5" ht="30" customHeight="1">
      <c r="A2008" s="6">
        <v>2006</v>
      </c>
      <c r="B2008" s="7" t="str">
        <f>"29802021051222500094106"</f>
        <v>29802021051222500094106</v>
      </c>
      <c r="C2008" s="7" t="s">
        <v>16</v>
      </c>
      <c r="D2008" s="7" t="str">
        <f>"符锡垦"</f>
        <v>符锡垦</v>
      </c>
      <c r="E2008" s="7" t="str">
        <f>"女"</f>
        <v>女</v>
      </c>
    </row>
    <row r="2009" spans="1:5" ht="30" customHeight="1">
      <c r="A2009" s="6">
        <v>2007</v>
      </c>
      <c r="B2009" s="7" t="str">
        <f>"29802021051223051194143"</f>
        <v>29802021051223051194143</v>
      </c>
      <c r="C2009" s="7" t="s">
        <v>16</v>
      </c>
      <c r="D2009" s="7" t="str">
        <f>"容潭清"</f>
        <v>容潭清</v>
      </c>
      <c r="E2009" s="7" t="str">
        <f>"男"</f>
        <v>男</v>
      </c>
    </row>
    <row r="2010" spans="1:5" ht="30" customHeight="1">
      <c r="A2010" s="6">
        <v>2008</v>
      </c>
      <c r="B2010" s="7" t="str">
        <f>"29802021051308525994367"</f>
        <v>29802021051308525994367</v>
      </c>
      <c r="C2010" s="7" t="s">
        <v>16</v>
      </c>
      <c r="D2010" s="7" t="str">
        <f>"高丽娜"</f>
        <v>高丽娜</v>
      </c>
      <c r="E2010" s="7" t="str">
        <f>"女"</f>
        <v>女</v>
      </c>
    </row>
    <row r="2011" spans="1:5" ht="30" customHeight="1">
      <c r="A2011" s="6">
        <v>2009</v>
      </c>
      <c r="B2011" s="7" t="str">
        <f>"29802021051312212594980"</f>
        <v>29802021051312212594980</v>
      </c>
      <c r="C2011" s="7" t="s">
        <v>16</v>
      </c>
      <c r="D2011" s="7" t="str">
        <f>"黄冰"</f>
        <v>黄冰</v>
      </c>
      <c r="E2011" s="7" t="str">
        <f>"女"</f>
        <v>女</v>
      </c>
    </row>
    <row r="2012" spans="1:5" ht="30" customHeight="1">
      <c r="A2012" s="6">
        <v>2010</v>
      </c>
      <c r="B2012" s="7" t="str">
        <f>"29802021051312364295006"</f>
        <v>29802021051312364295006</v>
      </c>
      <c r="C2012" s="7" t="s">
        <v>16</v>
      </c>
      <c r="D2012" s="7" t="str">
        <f>"董先先"</f>
        <v>董先先</v>
      </c>
      <c r="E2012" s="7" t="str">
        <f>"女"</f>
        <v>女</v>
      </c>
    </row>
    <row r="2013" spans="1:5" ht="30" customHeight="1">
      <c r="A2013" s="6">
        <v>2011</v>
      </c>
      <c r="B2013" s="7" t="str">
        <f>"29802021051313211095069"</f>
        <v>29802021051313211095069</v>
      </c>
      <c r="C2013" s="7" t="s">
        <v>16</v>
      </c>
      <c r="D2013" s="7" t="str">
        <f>"黄婷"</f>
        <v>黄婷</v>
      </c>
      <c r="E2013" s="7" t="str">
        <f>"女"</f>
        <v>女</v>
      </c>
    </row>
    <row r="2014" spans="1:5" ht="30" customHeight="1">
      <c r="A2014" s="6">
        <v>2012</v>
      </c>
      <c r="B2014" s="7" t="str">
        <f>"29802021051314382995200"</f>
        <v>29802021051314382995200</v>
      </c>
      <c r="C2014" s="7" t="s">
        <v>16</v>
      </c>
      <c r="D2014" s="7" t="str">
        <f>"唐金明"</f>
        <v>唐金明</v>
      </c>
      <c r="E2014" s="7" t="str">
        <f>"男"</f>
        <v>男</v>
      </c>
    </row>
    <row r="2015" spans="1:5" ht="30" customHeight="1">
      <c r="A2015" s="6">
        <v>2013</v>
      </c>
      <c r="B2015" s="7" t="str">
        <f>"29802021051315472395365"</f>
        <v>29802021051315472395365</v>
      </c>
      <c r="C2015" s="7" t="s">
        <v>16</v>
      </c>
      <c r="D2015" s="7" t="str">
        <f>"高孟婷"</f>
        <v>高孟婷</v>
      </c>
      <c r="E2015" s="7" t="str">
        <f>"女"</f>
        <v>女</v>
      </c>
    </row>
    <row r="2016" spans="1:5" ht="30" customHeight="1">
      <c r="A2016" s="6">
        <v>2014</v>
      </c>
      <c r="B2016" s="7" t="str">
        <f>"29802021051316221095454"</f>
        <v>29802021051316221095454</v>
      </c>
      <c r="C2016" s="7" t="s">
        <v>16</v>
      </c>
      <c r="D2016" s="7" t="str">
        <f>"杨福康"</f>
        <v>杨福康</v>
      </c>
      <c r="E2016" s="7" t="str">
        <f>"男"</f>
        <v>男</v>
      </c>
    </row>
    <row r="2017" spans="1:5" ht="30" customHeight="1">
      <c r="A2017" s="6">
        <v>2015</v>
      </c>
      <c r="B2017" s="7" t="str">
        <f>"29802021051318014295686"</f>
        <v>29802021051318014295686</v>
      </c>
      <c r="C2017" s="7" t="s">
        <v>16</v>
      </c>
      <c r="D2017" s="7" t="str">
        <f>"吉树莹"</f>
        <v>吉树莹</v>
      </c>
      <c r="E2017" s="7" t="str">
        <f aca="true" t="shared" si="95" ref="E2017:E2030">"女"</f>
        <v>女</v>
      </c>
    </row>
    <row r="2018" spans="1:5" ht="30" customHeight="1">
      <c r="A2018" s="6">
        <v>2016</v>
      </c>
      <c r="B2018" s="7" t="str">
        <f>"29802021051318340095753"</f>
        <v>29802021051318340095753</v>
      </c>
      <c r="C2018" s="7" t="s">
        <v>16</v>
      </c>
      <c r="D2018" s="7" t="str">
        <f>"王凯娇"</f>
        <v>王凯娇</v>
      </c>
      <c r="E2018" s="7" t="str">
        <f t="shared" si="95"/>
        <v>女</v>
      </c>
    </row>
    <row r="2019" spans="1:5" ht="30" customHeight="1">
      <c r="A2019" s="6">
        <v>2017</v>
      </c>
      <c r="B2019" s="7" t="str">
        <f>"29802021051320215395948"</f>
        <v>29802021051320215395948</v>
      </c>
      <c r="C2019" s="7" t="s">
        <v>16</v>
      </c>
      <c r="D2019" s="7" t="str">
        <f>"王梦"</f>
        <v>王梦</v>
      </c>
      <c r="E2019" s="7" t="str">
        <f t="shared" si="95"/>
        <v>女</v>
      </c>
    </row>
    <row r="2020" spans="1:5" ht="30" customHeight="1">
      <c r="A2020" s="6">
        <v>2018</v>
      </c>
      <c r="B2020" s="7" t="str">
        <f>"29802021051322075196178"</f>
        <v>29802021051322075196178</v>
      </c>
      <c r="C2020" s="7" t="s">
        <v>16</v>
      </c>
      <c r="D2020" s="7" t="str">
        <f>"邓晓丹"</f>
        <v>邓晓丹</v>
      </c>
      <c r="E2020" s="7" t="str">
        <f t="shared" si="95"/>
        <v>女</v>
      </c>
    </row>
    <row r="2021" spans="1:5" ht="30" customHeight="1">
      <c r="A2021" s="6">
        <v>2019</v>
      </c>
      <c r="B2021" s="7" t="str">
        <f>"29802021051322292396232"</f>
        <v>29802021051322292396232</v>
      </c>
      <c r="C2021" s="7" t="s">
        <v>16</v>
      </c>
      <c r="D2021" s="7" t="str">
        <f>"黄诗蕾"</f>
        <v>黄诗蕾</v>
      </c>
      <c r="E2021" s="7" t="str">
        <f t="shared" si="95"/>
        <v>女</v>
      </c>
    </row>
    <row r="2022" spans="1:5" ht="30" customHeight="1">
      <c r="A2022" s="6">
        <v>2020</v>
      </c>
      <c r="B2022" s="7" t="str">
        <f>"29802021051409075296538"</f>
        <v>29802021051409075296538</v>
      </c>
      <c r="C2022" s="7" t="s">
        <v>16</v>
      </c>
      <c r="D2022" s="7" t="str">
        <f>"黄玉瑶"</f>
        <v>黄玉瑶</v>
      </c>
      <c r="E2022" s="7" t="str">
        <f t="shared" si="95"/>
        <v>女</v>
      </c>
    </row>
    <row r="2023" spans="1:5" ht="30" customHeight="1">
      <c r="A2023" s="6">
        <v>2021</v>
      </c>
      <c r="B2023" s="7" t="str">
        <f>"29802021051410085396676"</f>
        <v>29802021051410085396676</v>
      </c>
      <c r="C2023" s="7" t="s">
        <v>16</v>
      </c>
      <c r="D2023" s="7" t="str">
        <f>"吉潇颖"</f>
        <v>吉潇颖</v>
      </c>
      <c r="E2023" s="7" t="str">
        <f t="shared" si="95"/>
        <v>女</v>
      </c>
    </row>
    <row r="2024" spans="1:5" ht="30" customHeight="1">
      <c r="A2024" s="6">
        <v>2022</v>
      </c>
      <c r="B2024" s="7" t="str">
        <f>"29802021051411501896903"</f>
        <v>29802021051411501896903</v>
      </c>
      <c r="C2024" s="7" t="s">
        <v>16</v>
      </c>
      <c r="D2024" s="7" t="str">
        <f>"周明哲"</f>
        <v>周明哲</v>
      </c>
      <c r="E2024" s="7" t="str">
        <f t="shared" si="95"/>
        <v>女</v>
      </c>
    </row>
    <row r="2025" spans="1:5" ht="30" customHeight="1">
      <c r="A2025" s="6">
        <v>2023</v>
      </c>
      <c r="B2025" s="7" t="str">
        <f>"29802021051413501897145"</f>
        <v>29802021051413501897145</v>
      </c>
      <c r="C2025" s="7" t="s">
        <v>16</v>
      </c>
      <c r="D2025" s="7" t="str">
        <f>"刘桂春"</f>
        <v>刘桂春</v>
      </c>
      <c r="E2025" s="7" t="str">
        <f t="shared" si="95"/>
        <v>女</v>
      </c>
    </row>
    <row r="2026" spans="1:5" ht="30" customHeight="1">
      <c r="A2026" s="6">
        <v>2024</v>
      </c>
      <c r="B2026" s="7" t="str">
        <f>"29802021051414185097180"</f>
        <v>29802021051414185097180</v>
      </c>
      <c r="C2026" s="7" t="s">
        <v>16</v>
      </c>
      <c r="D2026" s="7" t="str">
        <f>"董采旭"</f>
        <v>董采旭</v>
      </c>
      <c r="E2026" s="7" t="str">
        <f t="shared" si="95"/>
        <v>女</v>
      </c>
    </row>
    <row r="2027" spans="1:5" ht="30" customHeight="1">
      <c r="A2027" s="6">
        <v>2025</v>
      </c>
      <c r="B2027" s="7" t="str">
        <f>"29802021051414490497239"</f>
        <v>29802021051414490497239</v>
      </c>
      <c r="C2027" s="7" t="s">
        <v>16</v>
      </c>
      <c r="D2027" s="7" t="str">
        <f>"罗玉超"</f>
        <v>罗玉超</v>
      </c>
      <c r="E2027" s="7" t="str">
        <f t="shared" si="95"/>
        <v>女</v>
      </c>
    </row>
    <row r="2028" spans="1:5" ht="30" customHeight="1">
      <c r="A2028" s="6">
        <v>2026</v>
      </c>
      <c r="B2028" s="7" t="str">
        <f>"29802021051415082897271"</f>
        <v>29802021051415082897271</v>
      </c>
      <c r="C2028" s="7" t="s">
        <v>16</v>
      </c>
      <c r="D2028" s="7" t="str">
        <f>"容培培"</f>
        <v>容培培</v>
      </c>
      <c r="E2028" s="7" t="str">
        <f t="shared" si="95"/>
        <v>女</v>
      </c>
    </row>
    <row r="2029" spans="1:5" ht="30" customHeight="1">
      <c r="A2029" s="6">
        <v>2027</v>
      </c>
      <c r="B2029" s="7" t="str">
        <f>"29802021051416442697512"</f>
        <v>29802021051416442697512</v>
      </c>
      <c r="C2029" s="7" t="s">
        <v>16</v>
      </c>
      <c r="D2029" s="7" t="str">
        <f>"卓翠婷"</f>
        <v>卓翠婷</v>
      </c>
      <c r="E2029" s="7" t="str">
        <f t="shared" si="95"/>
        <v>女</v>
      </c>
    </row>
    <row r="2030" spans="1:5" ht="30" customHeight="1">
      <c r="A2030" s="6">
        <v>2028</v>
      </c>
      <c r="B2030" s="7" t="str">
        <f>"29802021051416514797528"</f>
        <v>29802021051416514797528</v>
      </c>
      <c r="C2030" s="7" t="s">
        <v>16</v>
      </c>
      <c r="D2030" s="7" t="str">
        <f>"黄嫦燕"</f>
        <v>黄嫦燕</v>
      </c>
      <c r="E2030" s="7" t="str">
        <f t="shared" si="95"/>
        <v>女</v>
      </c>
    </row>
    <row r="2031" spans="1:5" ht="30" customHeight="1">
      <c r="A2031" s="6">
        <v>2029</v>
      </c>
      <c r="B2031" s="7" t="str">
        <f>"29802021051417331597616"</f>
        <v>29802021051417331597616</v>
      </c>
      <c r="C2031" s="7" t="s">
        <v>16</v>
      </c>
      <c r="D2031" s="7" t="str">
        <f>"吴啟军"</f>
        <v>吴啟军</v>
      </c>
      <c r="E2031" s="7" t="str">
        <f>"男"</f>
        <v>男</v>
      </c>
    </row>
    <row r="2032" spans="1:5" ht="30" customHeight="1">
      <c r="A2032" s="6">
        <v>2030</v>
      </c>
      <c r="B2032" s="7" t="str">
        <f>"29802021051418220997691"</f>
        <v>29802021051418220997691</v>
      </c>
      <c r="C2032" s="7" t="s">
        <v>16</v>
      </c>
      <c r="D2032" s="7" t="str">
        <f>"吕智院"</f>
        <v>吕智院</v>
      </c>
      <c r="E2032" s="7" t="str">
        <f>"男"</f>
        <v>男</v>
      </c>
    </row>
    <row r="2033" spans="1:5" ht="30" customHeight="1">
      <c r="A2033" s="6">
        <v>2031</v>
      </c>
      <c r="B2033" s="7" t="str">
        <f>"29802021051418464097730"</f>
        <v>29802021051418464097730</v>
      </c>
      <c r="C2033" s="7" t="s">
        <v>16</v>
      </c>
      <c r="D2033" s="7" t="str">
        <f>"韦国丙"</f>
        <v>韦国丙</v>
      </c>
      <c r="E2033" s="7" t="str">
        <f>"女"</f>
        <v>女</v>
      </c>
    </row>
    <row r="2034" spans="1:5" ht="30" customHeight="1">
      <c r="A2034" s="6">
        <v>2032</v>
      </c>
      <c r="B2034" s="7" t="str">
        <f>"29802021051421061897948"</f>
        <v>29802021051421061897948</v>
      </c>
      <c r="C2034" s="7" t="s">
        <v>16</v>
      </c>
      <c r="D2034" s="7" t="str">
        <f>"张熙"</f>
        <v>张熙</v>
      </c>
      <c r="E2034" s="7" t="str">
        <f>"男"</f>
        <v>男</v>
      </c>
    </row>
    <row r="2035" spans="1:5" ht="30" customHeight="1">
      <c r="A2035" s="6">
        <v>2033</v>
      </c>
      <c r="B2035" s="7" t="str">
        <f>"29802021051422133398065"</f>
        <v>29802021051422133398065</v>
      </c>
      <c r="C2035" s="7" t="s">
        <v>16</v>
      </c>
      <c r="D2035" s="7" t="str">
        <f>"刘文还"</f>
        <v>刘文还</v>
      </c>
      <c r="E2035" s="7" t="str">
        <f>"女"</f>
        <v>女</v>
      </c>
    </row>
    <row r="2036" spans="1:5" ht="30" customHeight="1">
      <c r="A2036" s="6">
        <v>2034</v>
      </c>
      <c r="B2036" s="7" t="str">
        <f>"29802021051422445998121"</f>
        <v>29802021051422445998121</v>
      </c>
      <c r="C2036" s="7" t="s">
        <v>16</v>
      </c>
      <c r="D2036" s="7" t="str">
        <f>"陈红妃"</f>
        <v>陈红妃</v>
      </c>
      <c r="E2036" s="7" t="str">
        <f>"女"</f>
        <v>女</v>
      </c>
    </row>
    <row r="2037" spans="1:5" ht="30" customHeight="1">
      <c r="A2037" s="6">
        <v>2035</v>
      </c>
      <c r="B2037" s="7" t="str">
        <f>"29802021051423562398222"</f>
        <v>29802021051423562398222</v>
      </c>
      <c r="C2037" s="7" t="s">
        <v>16</v>
      </c>
      <c r="D2037" s="7" t="str">
        <f>"吴毓丁"</f>
        <v>吴毓丁</v>
      </c>
      <c r="E2037" s="7" t="str">
        <f>"男"</f>
        <v>男</v>
      </c>
    </row>
    <row r="2038" spans="1:5" ht="30" customHeight="1">
      <c r="A2038" s="6">
        <v>2036</v>
      </c>
      <c r="B2038" s="7" t="str">
        <f>"29802021051500081398236"</f>
        <v>29802021051500081398236</v>
      </c>
      <c r="C2038" s="7" t="s">
        <v>16</v>
      </c>
      <c r="D2038" s="7" t="str">
        <f>"苏天星"</f>
        <v>苏天星</v>
      </c>
      <c r="E2038" s="7" t="str">
        <f>"男"</f>
        <v>男</v>
      </c>
    </row>
    <row r="2039" spans="1:5" ht="30" customHeight="1">
      <c r="A2039" s="6">
        <v>2037</v>
      </c>
      <c r="B2039" s="7" t="str">
        <f>"29802021051512534998725"</f>
        <v>29802021051512534998725</v>
      </c>
      <c r="C2039" s="7" t="s">
        <v>16</v>
      </c>
      <c r="D2039" s="7" t="str">
        <f>"何李丽"</f>
        <v>何李丽</v>
      </c>
      <c r="E2039" s="7" t="str">
        <f aca="true" t="shared" si="96" ref="E2039:E2059">"女"</f>
        <v>女</v>
      </c>
    </row>
    <row r="2040" spans="1:5" ht="30" customHeight="1">
      <c r="A2040" s="6">
        <v>2038</v>
      </c>
      <c r="B2040" s="7" t="str">
        <f>"29802021051515453699005"</f>
        <v>29802021051515453699005</v>
      </c>
      <c r="C2040" s="7" t="s">
        <v>16</v>
      </c>
      <c r="D2040" s="7" t="str">
        <f>"刘苹"</f>
        <v>刘苹</v>
      </c>
      <c r="E2040" s="7" t="str">
        <f t="shared" si="96"/>
        <v>女</v>
      </c>
    </row>
    <row r="2041" spans="1:5" ht="30" customHeight="1">
      <c r="A2041" s="6">
        <v>2039</v>
      </c>
      <c r="B2041" s="7" t="str">
        <f>"29802021050908014580471"</f>
        <v>29802021050908014580471</v>
      </c>
      <c r="C2041" s="7" t="s">
        <v>17</v>
      </c>
      <c r="D2041" s="7" t="str">
        <f>"曾媛"</f>
        <v>曾媛</v>
      </c>
      <c r="E2041" s="7" t="str">
        <f t="shared" si="96"/>
        <v>女</v>
      </c>
    </row>
    <row r="2042" spans="1:5" ht="30" customHeight="1">
      <c r="A2042" s="6">
        <v>2040</v>
      </c>
      <c r="B2042" s="7" t="str">
        <f>"29802021050909275780604"</f>
        <v>29802021050909275780604</v>
      </c>
      <c r="C2042" s="7" t="s">
        <v>17</v>
      </c>
      <c r="D2042" s="7" t="str">
        <f>"梁舒旖"</f>
        <v>梁舒旖</v>
      </c>
      <c r="E2042" s="7" t="str">
        <f t="shared" si="96"/>
        <v>女</v>
      </c>
    </row>
    <row r="2043" spans="1:5" ht="30" customHeight="1">
      <c r="A2043" s="6">
        <v>2041</v>
      </c>
      <c r="B2043" s="7" t="str">
        <f>"29802021050909450280636"</f>
        <v>29802021050909450280636</v>
      </c>
      <c r="C2043" s="7" t="s">
        <v>17</v>
      </c>
      <c r="D2043" s="7" t="str">
        <f>"胡婴儿"</f>
        <v>胡婴儿</v>
      </c>
      <c r="E2043" s="7" t="str">
        <f t="shared" si="96"/>
        <v>女</v>
      </c>
    </row>
    <row r="2044" spans="1:5" ht="30" customHeight="1">
      <c r="A2044" s="6">
        <v>2042</v>
      </c>
      <c r="B2044" s="7" t="str">
        <f>"29802021050909494380648"</f>
        <v>29802021050909494380648</v>
      </c>
      <c r="C2044" s="7" t="s">
        <v>17</v>
      </c>
      <c r="D2044" s="7" t="str">
        <f>"张晓翠"</f>
        <v>张晓翠</v>
      </c>
      <c r="E2044" s="7" t="str">
        <f t="shared" si="96"/>
        <v>女</v>
      </c>
    </row>
    <row r="2045" spans="1:5" ht="30" customHeight="1">
      <c r="A2045" s="6">
        <v>2043</v>
      </c>
      <c r="B2045" s="7" t="str">
        <f>"29802021050909571680664"</f>
        <v>29802021050909571680664</v>
      </c>
      <c r="C2045" s="7" t="s">
        <v>17</v>
      </c>
      <c r="D2045" s="7" t="str">
        <f>"邢增莹"</f>
        <v>邢增莹</v>
      </c>
      <c r="E2045" s="7" t="str">
        <f t="shared" si="96"/>
        <v>女</v>
      </c>
    </row>
    <row r="2046" spans="1:5" ht="30" customHeight="1">
      <c r="A2046" s="6">
        <v>2044</v>
      </c>
      <c r="B2046" s="7" t="str">
        <f>"29802021050909592380669"</f>
        <v>29802021050909592380669</v>
      </c>
      <c r="C2046" s="7" t="s">
        <v>17</v>
      </c>
      <c r="D2046" s="7" t="str">
        <f>"吴金霞"</f>
        <v>吴金霞</v>
      </c>
      <c r="E2046" s="7" t="str">
        <f t="shared" si="96"/>
        <v>女</v>
      </c>
    </row>
    <row r="2047" spans="1:5" ht="30" customHeight="1">
      <c r="A2047" s="6">
        <v>2045</v>
      </c>
      <c r="B2047" s="7" t="str">
        <f>"29802021050909595680672"</f>
        <v>29802021050909595680672</v>
      </c>
      <c r="C2047" s="7" t="s">
        <v>17</v>
      </c>
      <c r="D2047" s="7" t="str">
        <f>"陈俊桦"</f>
        <v>陈俊桦</v>
      </c>
      <c r="E2047" s="7" t="str">
        <f t="shared" si="96"/>
        <v>女</v>
      </c>
    </row>
    <row r="2048" spans="1:5" ht="30" customHeight="1">
      <c r="A2048" s="6">
        <v>2046</v>
      </c>
      <c r="B2048" s="7" t="str">
        <f>"29802021050911101180824"</f>
        <v>29802021050911101180824</v>
      </c>
      <c r="C2048" s="7" t="s">
        <v>17</v>
      </c>
      <c r="D2048" s="7" t="str">
        <f>"谭艳菊"</f>
        <v>谭艳菊</v>
      </c>
      <c r="E2048" s="7" t="str">
        <f t="shared" si="96"/>
        <v>女</v>
      </c>
    </row>
    <row r="2049" spans="1:5" ht="30" customHeight="1">
      <c r="A2049" s="6">
        <v>2047</v>
      </c>
      <c r="B2049" s="7" t="str">
        <f>"29802021050911170480828"</f>
        <v>29802021050911170480828</v>
      </c>
      <c r="C2049" s="7" t="s">
        <v>17</v>
      </c>
      <c r="D2049" s="7" t="str">
        <f>"符以娜"</f>
        <v>符以娜</v>
      </c>
      <c r="E2049" s="7" t="str">
        <f t="shared" si="96"/>
        <v>女</v>
      </c>
    </row>
    <row r="2050" spans="1:5" ht="30" customHeight="1">
      <c r="A2050" s="6">
        <v>2048</v>
      </c>
      <c r="B2050" s="7" t="str">
        <f>"29802021050912424580972"</f>
        <v>29802021050912424580972</v>
      </c>
      <c r="C2050" s="7" t="s">
        <v>17</v>
      </c>
      <c r="D2050" s="7" t="str">
        <f>"李华丹"</f>
        <v>李华丹</v>
      </c>
      <c r="E2050" s="7" t="str">
        <f t="shared" si="96"/>
        <v>女</v>
      </c>
    </row>
    <row r="2051" spans="1:5" ht="30" customHeight="1">
      <c r="A2051" s="6">
        <v>2049</v>
      </c>
      <c r="B2051" s="7" t="str">
        <f>"29802021050912433180974"</f>
        <v>29802021050912433180974</v>
      </c>
      <c r="C2051" s="7" t="s">
        <v>17</v>
      </c>
      <c r="D2051" s="7" t="str">
        <f>"黄金荣"</f>
        <v>黄金荣</v>
      </c>
      <c r="E2051" s="7" t="str">
        <f t="shared" si="96"/>
        <v>女</v>
      </c>
    </row>
    <row r="2052" spans="1:5" ht="30" customHeight="1">
      <c r="A2052" s="6">
        <v>2050</v>
      </c>
      <c r="B2052" s="7" t="str">
        <f>"29802021050912484780982"</f>
        <v>29802021050912484780982</v>
      </c>
      <c r="C2052" s="7" t="s">
        <v>17</v>
      </c>
      <c r="D2052" s="7" t="str">
        <f>"唐俊苑"</f>
        <v>唐俊苑</v>
      </c>
      <c r="E2052" s="7" t="str">
        <f t="shared" si="96"/>
        <v>女</v>
      </c>
    </row>
    <row r="2053" spans="1:5" ht="30" customHeight="1">
      <c r="A2053" s="6">
        <v>2051</v>
      </c>
      <c r="B2053" s="7" t="str">
        <f>"29802021050914231781121"</f>
        <v>29802021050914231781121</v>
      </c>
      <c r="C2053" s="7" t="s">
        <v>17</v>
      </c>
      <c r="D2053" s="7" t="str">
        <f>"冯菁菁"</f>
        <v>冯菁菁</v>
      </c>
      <c r="E2053" s="7" t="str">
        <f t="shared" si="96"/>
        <v>女</v>
      </c>
    </row>
    <row r="2054" spans="1:5" ht="30" customHeight="1">
      <c r="A2054" s="6">
        <v>2052</v>
      </c>
      <c r="B2054" s="7" t="str">
        <f>"29802021050914502881164"</f>
        <v>29802021050914502881164</v>
      </c>
      <c r="C2054" s="7" t="s">
        <v>17</v>
      </c>
      <c r="D2054" s="7" t="str">
        <f>"陈甜甜"</f>
        <v>陈甜甜</v>
      </c>
      <c r="E2054" s="7" t="str">
        <f t="shared" si="96"/>
        <v>女</v>
      </c>
    </row>
    <row r="2055" spans="1:5" ht="30" customHeight="1">
      <c r="A2055" s="6">
        <v>2053</v>
      </c>
      <c r="B2055" s="7" t="str">
        <f>"29802021050915062681186"</f>
        <v>29802021050915062681186</v>
      </c>
      <c r="C2055" s="7" t="s">
        <v>17</v>
      </c>
      <c r="D2055" s="7" t="str">
        <f>"李丹"</f>
        <v>李丹</v>
      </c>
      <c r="E2055" s="7" t="str">
        <f t="shared" si="96"/>
        <v>女</v>
      </c>
    </row>
    <row r="2056" spans="1:5" ht="30" customHeight="1">
      <c r="A2056" s="6">
        <v>2054</v>
      </c>
      <c r="B2056" s="7" t="str">
        <f>"29802021050915444081246"</f>
        <v>29802021050915444081246</v>
      </c>
      <c r="C2056" s="7" t="s">
        <v>17</v>
      </c>
      <c r="D2056" s="7" t="str">
        <f>"颜铭"</f>
        <v>颜铭</v>
      </c>
      <c r="E2056" s="7" t="str">
        <f t="shared" si="96"/>
        <v>女</v>
      </c>
    </row>
    <row r="2057" spans="1:5" ht="30" customHeight="1">
      <c r="A2057" s="6">
        <v>2055</v>
      </c>
      <c r="B2057" s="7" t="str">
        <f>"29802021050915472481249"</f>
        <v>29802021050915472481249</v>
      </c>
      <c r="C2057" s="7" t="s">
        <v>17</v>
      </c>
      <c r="D2057" s="7" t="str">
        <f>"李井宝"</f>
        <v>李井宝</v>
      </c>
      <c r="E2057" s="7" t="str">
        <f t="shared" si="96"/>
        <v>女</v>
      </c>
    </row>
    <row r="2058" spans="1:5" ht="30" customHeight="1">
      <c r="A2058" s="6">
        <v>2056</v>
      </c>
      <c r="B2058" s="7" t="str">
        <f>"29802021050916422281367"</f>
        <v>29802021050916422281367</v>
      </c>
      <c r="C2058" s="7" t="s">
        <v>17</v>
      </c>
      <c r="D2058" s="7" t="str">
        <f>"吴佳丽"</f>
        <v>吴佳丽</v>
      </c>
      <c r="E2058" s="7" t="str">
        <f t="shared" si="96"/>
        <v>女</v>
      </c>
    </row>
    <row r="2059" spans="1:5" ht="30" customHeight="1">
      <c r="A2059" s="6">
        <v>2057</v>
      </c>
      <c r="B2059" s="7" t="str">
        <f>"29802021050917340281487"</f>
        <v>29802021050917340281487</v>
      </c>
      <c r="C2059" s="7" t="s">
        <v>17</v>
      </c>
      <c r="D2059" s="7" t="str">
        <f>"吴诗"</f>
        <v>吴诗</v>
      </c>
      <c r="E2059" s="7" t="str">
        <f t="shared" si="96"/>
        <v>女</v>
      </c>
    </row>
    <row r="2060" spans="1:5" ht="30" customHeight="1">
      <c r="A2060" s="6">
        <v>2058</v>
      </c>
      <c r="B2060" s="7" t="str">
        <f>"29802021050917530681530"</f>
        <v>29802021050917530681530</v>
      </c>
      <c r="C2060" s="7" t="s">
        <v>17</v>
      </c>
      <c r="D2060" s="7" t="str">
        <f>"符育福"</f>
        <v>符育福</v>
      </c>
      <c r="E2060" s="7" t="str">
        <f>"男"</f>
        <v>男</v>
      </c>
    </row>
    <row r="2061" spans="1:5" ht="30" customHeight="1">
      <c r="A2061" s="6">
        <v>2059</v>
      </c>
      <c r="B2061" s="7" t="str">
        <f>"29802021050918163681572"</f>
        <v>29802021050918163681572</v>
      </c>
      <c r="C2061" s="7" t="s">
        <v>17</v>
      </c>
      <c r="D2061" s="7" t="str">
        <f>"王凤莲"</f>
        <v>王凤莲</v>
      </c>
      <c r="E2061" s="7" t="str">
        <f aca="true" t="shared" si="97" ref="E2061:E2124">"女"</f>
        <v>女</v>
      </c>
    </row>
    <row r="2062" spans="1:5" ht="30" customHeight="1">
      <c r="A2062" s="6">
        <v>2060</v>
      </c>
      <c r="B2062" s="7" t="str">
        <f>"29802021050918330081599"</f>
        <v>29802021050918330081599</v>
      </c>
      <c r="C2062" s="7" t="s">
        <v>17</v>
      </c>
      <c r="D2062" s="7" t="str">
        <f>"马骏伟"</f>
        <v>马骏伟</v>
      </c>
      <c r="E2062" s="7" t="str">
        <f t="shared" si="97"/>
        <v>女</v>
      </c>
    </row>
    <row r="2063" spans="1:5" ht="30" customHeight="1">
      <c r="A2063" s="6">
        <v>2061</v>
      </c>
      <c r="B2063" s="7" t="str">
        <f>"29802021050918411781612"</f>
        <v>29802021050918411781612</v>
      </c>
      <c r="C2063" s="7" t="s">
        <v>17</v>
      </c>
      <c r="D2063" s="7" t="str">
        <f>"沈艺真"</f>
        <v>沈艺真</v>
      </c>
      <c r="E2063" s="7" t="str">
        <f t="shared" si="97"/>
        <v>女</v>
      </c>
    </row>
    <row r="2064" spans="1:5" ht="30" customHeight="1">
      <c r="A2064" s="6">
        <v>2062</v>
      </c>
      <c r="B2064" s="7" t="str">
        <f>"29802021050918560281651"</f>
        <v>29802021050918560281651</v>
      </c>
      <c r="C2064" s="7" t="s">
        <v>17</v>
      </c>
      <c r="D2064" s="7" t="str">
        <f>"吴海燕"</f>
        <v>吴海燕</v>
      </c>
      <c r="E2064" s="7" t="str">
        <f t="shared" si="97"/>
        <v>女</v>
      </c>
    </row>
    <row r="2065" spans="1:5" ht="30" customHeight="1">
      <c r="A2065" s="6">
        <v>2063</v>
      </c>
      <c r="B2065" s="7" t="str">
        <f>"29802021050919261681699"</f>
        <v>29802021050919261681699</v>
      </c>
      <c r="C2065" s="7" t="s">
        <v>17</v>
      </c>
      <c r="D2065" s="7" t="str">
        <f>"李娇丽"</f>
        <v>李娇丽</v>
      </c>
      <c r="E2065" s="7" t="str">
        <f t="shared" si="97"/>
        <v>女</v>
      </c>
    </row>
    <row r="2066" spans="1:5" ht="30" customHeight="1">
      <c r="A2066" s="6">
        <v>2064</v>
      </c>
      <c r="B2066" s="7" t="str">
        <f>"29802021050919310481706"</f>
        <v>29802021050919310481706</v>
      </c>
      <c r="C2066" s="7" t="s">
        <v>17</v>
      </c>
      <c r="D2066" s="7" t="str">
        <f>"刘佳璐"</f>
        <v>刘佳璐</v>
      </c>
      <c r="E2066" s="7" t="str">
        <f t="shared" si="97"/>
        <v>女</v>
      </c>
    </row>
    <row r="2067" spans="1:5" ht="30" customHeight="1">
      <c r="A2067" s="6">
        <v>2065</v>
      </c>
      <c r="B2067" s="7" t="str">
        <f>"29802021050919514881746"</f>
        <v>29802021050919514881746</v>
      </c>
      <c r="C2067" s="7" t="s">
        <v>17</v>
      </c>
      <c r="D2067" s="7" t="str">
        <f>"符欢欢"</f>
        <v>符欢欢</v>
      </c>
      <c r="E2067" s="7" t="str">
        <f t="shared" si="97"/>
        <v>女</v>
      </c>
    </row>
    <row r="2068" spans="1:5" ht="30" customHeight="1">
      <c r="A2068" s="6">
        <v>2066</v>
      </c>
      <c r="B2068" s="7" t="str">
        <f>"29802021050919565981753"</f>
        <v>29802021050919565981753</v>
      </c>
      <c r="C2068" s="7" t="s">
        <v>17</v>
      </c>
      <c r="D2068" s="7" t="str">
        <f>"陈林娟"</f>
        <v>陈林娟</v>
      </c>
      <c r="E2068" s="7" t="str">
        <f t="shared" si="97"/>
        <v>女</v>
      </c>
    </row>
    <row r="2069" spans="1:5" ht="30" customHeight="1">
      <c r="A2069" s="6">
        <v>2067</v>
      </c>
      <c r="B2069" s="7" t="str">
        <f>"29802021050920211581798"</f>
        <v>29802021050920211581798</v>
      </c>
      <c r="C2069" s="7" t="s">
        <v>17</v>
      </c>
      <c r="D2069" s="7" t="str">
        <f>"吴焕佳"</f>
        <v>吴焕佳</v>
      </c>
      <c r="E2069" s="7" t="str">
        <f t="shared" si="97"/>
        <v>女</v>
      </c>
    </row>
    <row r="2070" spans="1:5" ht="30" customHeight="1">
      <c r="A2070" s="6">
        <v>2068</v>
      </c>
      <c r="B2070" s="7" t="str">
        <f>"29802021050920402181848"</f>
        <v>29802021050920402181848</v>
      </c>
      <c r="C2070" s="7" t="s">
        <v>17</v>
      </c>
      <c r="D2070" s="7" t="str">
        <f>"孙蕾"</f>
        <v>孙蕾</v>
      </c>
      <c r="E2070" s="7" t="str">
        <f t="shared" si="97"/>
        <v>女</v>
      </c>
    </row>
    <row r="2071" spans="1:5" ht="30" customHeight="1">
      <c r="A2071" s="6">
        <v>2069</v>
      </c>
      <c r="B2071" s="7" t="str">
        <f>"29802021050920473081858"</f>
        <v>29802021050920473081858</v>
      </c>
      <c r="C2071" s="7" t="s">
        <v>17</v>
      </c>
      <c r="D2071" s="7" t="str">
        <f>"杨忠燕"</f>
        <v>杨忠燕</v>
      </c>
      <c r="E2071" s="7" t="str">
        <f t="shared" si="97"/>
        <v>女</v>
      </c>
    </row>
    <row r="2072" spans="1:5" ht="30" customHeight="1">
      <c r="A2072" s="6">
        <v>2070</v>
      </c>
      <c r="B2072" s="7" t="str">
        <f>"29802021050921073681907"</f>
        <v>29802021050921073681907</v>
      </c>
      <c r="C2072" s="7" t="s">
        <v>17</v>
      </c>
      <c r="D2072" s="7" t="str">
        <f>"黄瑶瑶"</f>
        <v>黄瑶瑶</v>
      </c>
      <c r="E2072" s="7" t="str">
        <f t="shared" si="97"/>
        <v>女</v>
      </c>
    </row>
    <row r="2073" spans="1:5" ht="30" customHeight="1">
      <c r="A2073" s="6">
        <v>2071</v>
      </c>
      <c r="B2073" s="7" t="str">
        <f>"29802021050921321881976"</f>
        <v>29802021050921321881976</v>
      </c>
      <c r="C2073" s="7" t="s">
        <v>17</v>
      </c>
      <c r="D2073" s="7" t="str">
        <f>"张爱珍"</f>
        <v>张爱珍</v>
      </c>
      <c r="E2073" s="7" t="str">
        <f t="shared" si="97"/>
        <v>女</v>
      </c>
    </row>
    <row r="2074" spans="1:5" ht="30" customHeight="1">
      <c r="A2074" s="6">
        <v>2072</v>
      </c>
      <c r="B2074" s="7" t="str">
        <f>"29802021050921495482021"</f>
        <v>29802021050921495482021</v>
      </c>
      <c r="C2074" s="7" t="s">
        <v>17</v>
      </c>
      <c r="D2074" s="7" t="str">
        <f>"钟茂华"</f>
        <v>钟茂华</v>
      </c>
      <c r="E2074" s="7" t="str">
        <f t="shared" si="97"/>
        <v>女</v>
      </c>
    </row>
    <row r="2075" spans="1:5" ht="30" customHeight="1">
      <c r="A2075" s="6">
        <v>2073</v>
      </c>
      <c r="B2075" s="7" t="str">
        <f>"29802021050922090182072"</f>
        <v>29802021050922090182072</v>
      </c>
      <c r="C2075" s="7" t="s">
        <v>17</v>
      </c>
      <c r="D2075" s="7" t="str">
        <f>"符彬岭"</f>
        <v>符彬岭</v>
      </c>
      <c r="E2075" s="7" t="str">
        <f t="shared" si="97"/>
        <v>女</v>
      </c>
    </row>
    <row r="2076" spans="1:5" ht="30" customHeight="1">
      <c r="A2076" s="6">
        <v>2074</v>
      </c>
      <c r="B2076" s="7" t="str">
        <f>"29802021050923443582271"</f>
        <v>29802021050923443582271</v>
      </c>
      <c r="C2076" s="7" t="s">
        <v>17</v>
      </c>
      <c r="D2076" s="7" t="str">
        <f>"唐发乾"</f>
        <v>唐发乾</v>
      </c>
      <c r="E2076" s="7" t="str">
        <f t="shared" si="97"/>
        <v>女</v>
      </c>
    </row>
    <row r="2077" spans="1:5" ht="30" customHeight="1">
      <c r="A2077" s="6">
        <v>2075</v>
      </c>
      <c r="B2077" s="7" t="str">
        <f>"29802021051005493782332"</f>
        <v>29802021051005493782332</v>
      </c>
      <c r="C2077" s="7" t="s">
        <v>17</v>
      </c>
      <c r="D2077" s="7" t="str">
        <f>"杜微"</f>
        <v>杜微</v>
      </c>
      <c r="E2077" s="7" t="str">
        <f t="shared" si="97"/>
        <v>女</v>
      </c>
    </row>
    <row r="2078" spans="1:5" ht="30" customHeight="1">
      <c r="A2078" s="6">
        <v>2076</v>
      </c>
      <c r="B2078" s="7" t="str">
        <f>"29802021051008043782403"</f>
        <v>29802021051008043782403</v>
      </c>
      <c r="C2078" s="7" t="s">
        <v>17</v>
      </c>
      <c r="D2078" s="7" t="str">
        <f>"吴高敏"</f>
        <v>吴高敏</v>
      </c>
      <c r="E2078" s="7" t="str">
        <f t="shared" si="97"/>
        <v>女</v>
      </c>
    </row>
    <row r="2079" spans="1:5" ht="30" customHeight="1">
      <c r="A2079" s="6">
        <v>2077</v>
      </c>
      <c r="B2079" s="7" t="str">
        <f>"29802021051008360582538"</f>
        <v>29802021051008360582538</v>
      </c>
      <c r="C2079" s="7" t="s">
        <v>17</v>
      </c>
      <c r="D2079" s="7" t="str">
        <f>"朱文文"</f>
        <v>朱文文</v>
      </c>
      <c r="E2079" s="7" t="str">
        <f t="shared" si="97"/>
        <v>女</v>
      </c>
    </row>
    <row r="2080" spans="1:5" ht="30" customHeight="1">
      <c r="A2080" s="6">
        <v>2078</v>
      </c>
      <c r="B2080" s="7" t="str">
        <f>"29802021051008485182627"</f>
        <v>29802021051008485182627</v>
      </c>
      <c r="C2080" s="7" t="s">
        <v>17</v>
      </c>
      <c r="D2080" s="7" t="str">
        <f>"李星"</f>
        <v>李星</v>
      </c>
      <c r="E2080" s="7" t="str">
        <f t="shared" si="97"/>
        <v>女</v>
      </c>
    </row>
    <row r="2081" spans="1:5" ht="30" customHeight="1">
      <c r="A2081" s="6">
        <v>2079</v>
      </c>
      <c r="B2081" s="7" t="str">
        <f>"29802021051008493082634"</f>
        <v>29802021051008493082634</v>
      </c>
      <c r="C2081" s="7" t="s">
        <v>17</v>
      </c>
      <c r="D2081" s="7" t="str">
        <f>"陈慕珍"</f>
        <v>陈慕珍</v>
      </c>
      <c r="E2081" s="7" t="str">
        <f t="shared" si="97"/>
        <v>女</v>
      </c>
    </row>
    <row r="2082" spans="1:5" ht="30" customHeight="1">
      <c r="A2082" s="6">
        <v>2080</v>
      </c>
      <c r="B2082" s="7" t="str">
        <f>"29802021051008553782678"</f>
        <v>29802021051008553782678</v>
      </c>
      <c r="C2082" s="7" t="s">
        <v>17</v>
      </c>
      <c r="D2082" s="7" t="str">
        <f>"刘宝倩"</f>
        <v>刘宝倩</v>
      </c>
      <c r="E2082" s="7" t="str">
        <f t="shared" si="97"/>
        <v>女</v>
      </c>
    </row>
    <row r="2083" spans="1:5" ht="30" customHeight="1">
      <c r="A2083" s="6">
        <v>2081</v>
      </c>
      <c r="B2083" s="7" t="str">
        <f>"29802021051009022482754"</f>
        <v>29802021051009022482754</v>
      </c>
      <c r="C2083" s="7" t="s">
        <v>17</v>
      </c>
      <c r="D2083" s="7" t="str">
        <f>"陈丽君"</f>
        <v>陈丽君</v>
      </c>
      <c r="E2083" s="7" t="str">
        <f t="shared" si="97"/>
        <v>女</v>
      </c>
    </row>
    <row r="2084" spans="1:5" ht="30" customHeight="1">
      <c r="A2084" s="6">
        <v>2082</v>
      </c>
      <c r="B2084" s="7" t="str">
        <f>"29802021051009035382780"</f>
        <v>29802021051009035382780</v>
      </c>
      <c r="C2084" s="7" t="s">
        <v>17</v>
      </c>
      <c r="D2084" s="7" t="str">
        <f>"邢瑶"</f>
        <v>邢瑶</v>
      </c>
      <c r="E2084" s="7" t="str">
        <f t="shared" si="97"/>
        <v>女</v>
      </c>
    </row>
    <row r="2085" spans="1:5" ht="30" customHeight="1">
      <c r="A2085" s="6">
        <v>2083</v>
      </c>
      <c r="B2085" s="7" t="str">
        <f>"29802021051009065582813"</f>
        <v>29802021051009065582813</v>
      </c>
      <c r="C2085" s="7" t="s">
        <v>17</v>
      </c>
      <c r="D2085" s="7" t="str">
        <f>"高芳琳"</f>
        <v>高芳琳</v>
      </c>
      <c r="E2085" s="7" t="str">
        <f t="shared" si="97"/>
        <v>女</v>
      </c>
    </row>
    <row r="2086" spans="1:5" ht="30" customHeight="1">
      <c r="A2086" s="6">
        <v>2084</v>
      </c>
      <c r="B2086" s="7" t="str">
        <f>"29802021051009151382910"</f>
        <v>29802021051009151382910</v>
      </c>
      <c r="C2086" s="7" t="s">
        <v>17</v>
      </c>
      <c r="D2086" s="7" t="str">
        <f>"李娜"</f>
        <v>李娜</v>
      </c>
      <c r="E2086" s="7" t="str">
        <f t="shared" si="97"/>
        <v>女</v>
      </c>
    </row>
    <row r="2087" spans="1:5" ht="30" customHeight="1">
      <c r="A2087" s="6">
        <v>2085</v>
      </c>
      <c r="B2087" s="7" t="str">
        <f>"29802021051009192782972"</f>
        <v>29802021051009192782972</v>
      </c>
      <c r="C2087" s="7" t="s">
        <v>17</v>
      </c>
      <c r="D2087" s="7" t="str">
        <f>"聂晓杰"</f>
        <v>聂晓杰</v>
      </c>
      <c r="E2087" s="7" t="str">
        <f t="shared" si="97"/>
        <v>女</v>
      </c>
    </row>
    <row r="2088" spans="1:5" ht="30" customHeight="1">
      <c r="A2088" s="6">
        <v>2086</v>
      </c>
      <c r="B2088" s="7" t="str">
        <f>"29802021051009265683062"</f>
        <v>29802021051009265683062</v>
      </c>
      <c r="C2088" s="7" t="s">
        <v>17</v>
      </c>
      <c r="D2088" s="7" t="str">
        <f>"吴芳"</f>
        <v>吴芳</v>
      </c>
      <c r="E2088" s="7" t="str">
        <f t="shared" si="97"/>
        <v>女</v>
      </c>
    </row>
    <row r="2089" spans="1:5" ht="30" customHeight="1">
      <c r="A2089" s="6">
        <v>2087</v>
      </c>
      <c r="B2089" s="7" t="str">
        <f>"29802021051009292183089"</f>
        <v>29802021051009292183089</v>
      </c>
      <c r="C2089" s="7" t="s">
        <v>17</v>
      </c>
      <c r="D2089" s="7" t="str">
        <f>"林鲁静"</f>
        <v>林鲁静</v>
      </c>
      <c r="E2089" s="7" t="str">
        <f t="shared" si="97"/>
        <v>女</v>
      </c>
    </row>
    <row r="2090" spans="1:5" ht="30" customHeight="1">
      <c r="A2090" s="6">
        <v>2088</v>
      </c>
      <c r="B2090" s="7" t="str">
        <f>"29802021051009301083095"</f>
        <v>29802021051009301083095</v>
      </c>
      <c r="C2090" s="7" t="s">
        <v>17</v>
      </c>
      <c r="D2090" s="7" t="str">
        <f>"王婷婷"</f>
        <v>王婷婷</v>
      </c>
      <c r="E2090" s="7" t="str">
        <f t="shared" si="97"/>
        <v>女</v>
      </c>
    </row>
    <row r="2091" spans="1:5" ht="30" customHeight="1">
      <c r="A2091" s="6">
        <v>2089</v>
      </c>
      <c r="B2091" s="7" t="str">
        <f>"29802021051009394783190"</f>
        <v>29802021051009394783190</v>
      </c>
      <c r="C2091" s="7" t="s">
        <v>17</v>
      </c>
      <c r="D2091" s="7" t="str">
        <f>"刘新宇"</f>
        <v>刘新宇</v>
      </c>
      <c r="E2091" s="7" t="str">
        <f t="shared" si="97"/>
        <v>女</v>
      </c>
    </row>
    <row r="2092" spans="1:5" ht="30" customHeight="1">
      <c r="A2092" s="6">
        <v>2090</v>
      </c>
      <c r="B2092" s="7" t="str">
        <f>"29802021051009444883236"</f>
        <v>29802021051009444883236</v>
      </c>
      <c r="C2092" s="7" t="s">
        <v>17</v>
      </c>
      <c r="D2092" s="7" t="str">
        <f>"欧阳康沂"</f>
        <v>欧阳康沂</v>
      </c>
      <c r="E2092" s="7" t="str">
        <f t="shared" si="97"/>
        <v>女</v>
      </c>
    </row>
    <row r="2093" spans="1:5" ht="30" customHeight="1">
      <c r="A2093" s="6">
        <v>2091</v>
      </c>
      <c r="B2093" s="7" t="str">
        <f>"29802021051009460783255"</f>
        <v>29802021051009460783255</v>
      </c>
      <c r="C2093" s="7" t="s">
        <v>17</v>
      </c>
      <c r="D2093" s="7" t="str">
        <f>"龙娇媛"</f>
        <v>龙娇媛</v>
      </c>
      <c r="E2093" s="7" t="str">
        <f t="shared" si="97"/>
        <v>女</v>
      </c>
    </row>
    <row r="2094" spans="1:5" ht="30" customHeight="1">
      <c r="A2094" s="6">
        <v>2092</v>
      </c>
      <c r="B2094" s="7" t="str">
        <f>"29802021051009500383296"</f>
        <v>29802021051009500383296</v>
      </c>
      <c r="C2094" s="7" t="s">
        <v>17</v>
      </c>
      <c r="D2094" s="7" t="str">
        <f>"金瑶"</f>
        <v>金瑶</v>
      </c>
      <c r="E2094" s="7" t="str">
        <f t="shared" si="97"/>
        <v>女</v>
      </c>
    </row>
    <row r="2095" spans="1:5" ht="30" customHeight="1">
      <c r="A2095" s="6">
        <v>2093</v>
      </c>
      <c r="B2095" s="7" t="str">
        <f>"29802021051009522983320"</f>
        <v>29802021051009522983320</v>
      </c>
      <c r="C2095" s="7" t="s">
        <v>17</v>
      </c>
      <c r="D2095" s="7" t="str">
        <f>"孙子雯"</f>
        <v>孙子雯</v>
      </c>
      <c r="E2095" s="7" t="str">
        <f t="shared" si="97"/>
        <v>女</v>
      </c>
    </row>
    <row r="2096" spans="1:5" ht="30" customHeight="1">
      <c r="A2096" s="6">
        <v>2094</v>
      </c>
      <c r="B2096" s="7" t="str">
        <f>"29802021051010073183474"</f>
        <v>29802021051010073183474</v>
      </c>
      <c r="C2096" s="7" t="s">
        <v>17</v>
      </c>
      <c r="D2096" s="7" t="str">
        <f>"李相"</f>
        <v>李相</v>
      </c>
      <c r="E2096" s="7" t="str">
        <f t="shared" si="97"/>
        <v>女</v>
      </c>
    </row>
    <row r="2097" spans="1:5" ht="30" customHeight="1">
      <c r="A2097" s="6">
        <v>2095</v>
      </c>
      <c r="B2097" s="7" t="str">
        <f>"29802021051010112883540"</f>
        <v>29802021051010112883540</v>
      </c>
      <c r="C2097" s="7" t="s">
        <v>17</v>
      </c>
      <c r="D2097" s="7" t="str">
        <f>"王理祝"</f>
        <v>王理祝</v>
      </c>
      <c r="E2097" s="7" t="str">
        <f t="shared" si="97"/>
        <v>女</v>
      </c>
    </row>
    <row r="2098" spans="1:5" ht="30" customHeight="1">
      <c r="A2098" s="6">
        <v>2096</v>
      </c>
      <c r="B2098" s="7" t="str">
        <f>"29802021051010175183637"</f>
        <v>29802021051010175183637</v>
      </c>
      <c r="C2098" s="7" t="s">
        <v>17</v>
      </c>
      <c r="D2098" s="7" t="str">
        <f>"麦少缘"</f>
        <v>麦少缘</v>
      </c>
      <c r="E2098" s="7" t="str">
        <f t="shared" si="97"/>
        <v>女</v>
      </c>
    </row>
    <row r="2099" spans="1:5" ht="30" customHeight="1">
      <c r="A2099" s="6">
        <v>2097</v>
      </c>
      <c r="B2099" s="7" t="str">
        <f>"29802021051010282083773"</f>
        <v>29802021051010282083773</v>
      </c>
      <c r="C2099" s="7" t="s">
        <v>17</v>
      </c>
      <c r="D2099" s="7" t="str">
        <f>"李才慧"</f>
        <v>李才慧</v>
      </c>
      <c r="E2099" s="7" t="str">
        <f t="shared" si="97"/>
        <v>女</v>
      </c>
    </row>
    <row r="2100" spans="1:5" ht="30" customHeight="1">
      <c r="A2100" s="6">
        <v>2098</v>
      </c>
      <c r="B2100" s="7" t="str">
        <f>"29802021051010312683815"</f>
        <v>29802021051010312683815</v>
      </c>
      <c r="C2100" s="7" t="s">
        <v>17</v>
      </c>
      <c r="D2100" s="7" t="str">
        <f>"张平燕"</f>
        <v>张平燕</v>
      </c>
      <c r="E2100" s="7" t="str">
        <f t="shared" si="97"/>
        <v>女</v>
      </c>
    </row>
    <row r="2101" spans="1:5" ht="30" customHeight="1">
      <c r="A2101" s="6">
        <v>2099</v>
      </c>
      <c r="B2101" s="7" t="str">
        <f>"29802021051010374883896"</f>
        <v>29802021051010374883896</v>
      </c>
      <c r="C2101" s="7" t="s">
        <v>17</v>
      </c>
      <c r="D2101" s="7" t="str">
        <f>"杨万星"</f>
        <v>杨万星</v>
      </c>
      <c r="E2101" s="7" t="str">
        <f t="shared" si="97"/>
        <v>女</v>
      </c>
    </row>
    <row r="2102" spans="1:5" ht="30" customHeight="1">
      <c r="A2102" s="6">
        <v>2100</v>
      </c>
      <c r="B2102" s="7" t="str">
        <f>"29802021051010374983897"</f>
        <v>29802021051010374983897</v>
      </c>
      <c r="C2102" s="7" t="s">
        <v>17</v>
      </c>
      <c r="D2102" s="7" t="str">
        <f>"符初凤"</f>
        <v>符初凤</v>
      </c>
      <c r="E2102" s="7" t="str">
        <f t="shared" si="97"/>
        <v>女</v>
      </c>
    </row>
    <row r="2103" spans="1:5" ht="30" customHeight="1">
      <c r="A2103" s="6">
        <v>2101</v>
      </c>
      <c r="B2103" s="7" t="str">
        <f>"29802021051010445583976"</f>
        <v>29802021051010445583976</v>
      </c>
      <c r="C2103" s="7" t="s">
        <v>17</v>
      </c>
      <c r="D2103" s="7" t="str">
        <f>"李秀美"</f>
        <v>李秀美</v>
      </c>
      <c r="E2103" s="7" t="str">
        <f t="shared" si="97"/>
        <v>女</v>
      </c>
    </row>
    <row r="2104" spans="1:5" ht="30" customHeight="1">
      <c r="A2104" s="6">
        <v>2102</v>
      </c>
      <c r="B2104" s="7" t="str">
        <f>"29802021051010450783978"</f>
        <v>29802021051010450783978</v>
      </c>
      <c r="C2104" s="7" t="s">
        <v>17</v>
      </c>
      <c r="D2104" s="7" t="str">
        <f>"赵小妹"</f>
        <v>赵小妹</v>
      </c>
      <c r="E2104" s="7" t="str">
        <f t="shared" si="97"/>
        <v>女</v>
      </c>
    </row>
    <row r="2105" spans="1:5" ht="30" customHeight="1">
      <c r="A2105" s="6">
        <v>2103</v>
      </c>
      <c r="B2105" s="7" t="str">
        <f>"29802021051010484884015"</f>
        <v>29802021051010484884015</v>
      </c>
      <c r="C2105" s="7" t="s">
        <v>17</v>
      </c>
      <c r="D2105" s="7" t="str">
        <f>"林季花"</f>
        <v>林季花</v>
      </c>
      <c r="E2105" s="7" t="str">
        <f t="shared" si="97"/>
        <v>女</v>
      </c>
    </row>
    <row r="2106" spans="1:5" ht="30" customHeight="1">
      <c r="A2106" s="6">
        <v>2104</v>
      </c>
      <c r="B2106" s="7" t="str">
        <f>"29802021051010514684048"</f>
        <v>29802021051010514684048</v>
      </c>
      <c r="C2106" s="7" t="s">
        <v>17</v>
      </c>
      <c r="D2106" s="7" t="str">
        <f>"陈婷"</f>
        <v>陈婷</v>
      </c>
      <c r="E2106" s="7" t="str">
        <f t="shared" si="97"/>
        <v>女</v>
      </c>
    </row>
    <row r="2107" spans="1:5" ht="30" customHeight="1">
      <c r="A2107" s="6">
        <v>2105</v>
      </c>
      <c r="B2107" s="7" t="str">
        <f>"29802021051011001584126"</f>
        <v>29802021051011001584126</v>
      </c>
      <c r="C2107" s="7" t="s">
        <v>17</v>
      </c>
      <c r="D2107" s="7" t="str">
        <f>"方宝瑜"</f>
        <v>方宝瑜</v>
      </c>
      <c r="E2107" s="7" t="str">
        <f t="shared" si="97"/>
        <v>女</v>
      </c>
    </row>
    <row r="2108" spans="1:5" ht="30" customHeight="1">
      <c r="A2108" s="6">
        <v>2106</v>
      </c>
      <c r="B2108" s="7" t="str">
        <f>"29802021051011012484133"</f>
        <v>29802021051011012484133</v>
      </c>
      <c r="C2108" s="7" t="s">
        <v>17</v>
      </c>
      <c r="D2108" s="7" t="str">
        <f>"陈期虹"</f>
        <v>陈期虹</v>
      </c>
      <c r="E2108" s="7" t="str">
        <f t="shared" si="97"/>
        <v>女</v>
      </c>
    </row>
    <row r="2109" spans="1:5" ht="30" customHeight="1">
      <c r="A2109" s="6">
        <v>2107</v>
      </c>
      <c r="B2109" s="7" t="str">
        <f>"29802021051011113284230"</f>
        <v>29802021051011113284230</v>
      </c>
      <c r="C2109" s="7" t="s">
        <v>17</v>
      </c>
      <c r="D2109" s="7" t="str">
        <f>"蔡容"</f>
        <v>蔡容</v>
      </c>
      <c r="E2109" s="7" t="str">
        <f t="shared" si="97"/>
        <v>女</v>
      </c>
    </row>
    <row r="2110" spans="1:5" ht="30" customHeight="1">
      <c r="A2110" s="6">
        <v>2108</v>
      </c>
      <c r="B2110" s="7" t="str">
        <f>"29802021051011191084301"</f>
        <v>29802021051011191084301</v>
      </c>
      <c r="C2110" s="7" t="s">
        <v>17</v>
      </c>
      <c r="D2110" s="7" t="str">
        <f>"周先丽"</f>
        <v>周先丽</v>
      </c>
      <c r="E2110" s="7" t="str">
        <f t="shared" si="97"/>
        <v>女</v>
      </c>
    </row>
    <row r="2111" spans="1:5" ht="30" customHeight="1">
      <c r="A2111" s="6">
        <v>2109</v>
      </c>
      <c r="B2111" s="7" t="str">
        <f>"29802021051011200584308"</f>
        <v>29802021051011200584308</v>
      </c>
      <c r="C2111" s="7" t="s">
        <v>17</v>
      </c>
      <c r="D2111" s="7" t="str">
        <f>"罗文月"</f>
        <v>罗文月</v>
      </c>
      <c r="E2111" s="7" t="str">
        <f t="shared" si="97"/>
        <v>女</v>
      </c>
    </row>
    <row r="2112" spans="1:5" ht="30" customHeight="1">
      <c r="A2112" s="6">
        <v>2110</v>
      </c>
      <c r="B2112" s="7" t="str">
        <f>"29802021051011255484350"</f>
        <v>29802021051011255484350</v>
      </c>
      <c r="C2112" s="7" t="s">
        <v>17</v>
      </c>
      <c r="D2112" s="7" t="str">
        <f>"王惠卿"</f>
        <v>王惠卿</v>
      </c>
      <c r="E2112" s="7" t="str">
        <f t="shared" si="97"/>
        <v>女</v>
      </c>
    </row>
    <row r="2113" spans="1:5" ht="30" customHeight="1">
      <c r="A2113" s="6">
        <v>2111</v>
      </c>
      <c r="B2113" s="7" t="str">
        <f>"29802021051011295084384"</f>
        <v>29802021051011295084384</v>
      </c>
      <c r="C2113" s="7" t="s">
        <v>17</v>
      </c>
      <c r="D2113" s="7" t="str">
        <f>"符敏燕"</f>
        <v>符敏燕</v>
      </c>
      <c r="E2113" s="7" t="str">
        <f t="shared" si="97"/>
        <v>女</v>
      </c>
    </row>
    <row r="2114" spans="1:5" ht="30" customHeight="1">
      <c r="A2114" s="6">
        <v>2112</v>
      </c>
      <c r="B2114" s="7" t="str">
        <f>"29802021051011541284535"</f>
        <v>29802021051011541284535</v>
      </c>
      <c r="C2114" s="7" t="s">
        <v>17</v>
      </c>
      <c r="D2114" s="7" t="str">
        <f>"麦翩翩"</f>
        <v>麦翩翩</v>
      </c>
      <c r="E2114" s="7" t="str">
        <f t="shared" si="97"/>
        <v>女</v>
      </c>
    </row>
    <row r="2115" spans="1:5" ht="30" customHeight="1">
      <c r="A2115" s="6">
        <v>2113</v>
      </c>
      <c r="B2115" s="7" t="str">
        <f>"29802021051011565084550"</f>
        <v>29802021051011565084550</v>
      </c>
      <c r="C2115" s="7" t="s">
        <v>17</v>
      </c>
      <c r="D2115" s="7" t="str">
        <f>"麦喜梅"</f>
        <v>麦喜梅</v>
      </c>
      <c r="E2115" s="7" t="str">
        <f t="shared" si="97"/>
        <v>女</v>
      </c>
    </row>
    <row r="2116" spans="1:5" ht="30" customHeight="1">
      <c r="A2116" s="6">
        <v>2114</v>
      </c>
      <c r="B2116" s="7" t="str">
        <f>"29802021051012063984602"</f>
        <v>29802021051012063984602</v>
      </c>
      <c r="C2116" s="7" t="s">
        <v>17</v>
      </c>
      <c r="D2116" s="7" t="str">
        <f>"周启兰"</f>
        <v>周启兰</v>
      </c>
      <c r="E2116" s="7" t="str">
        <f t="shared" si="97"/>
        <v>女</v>
      </c>
    </row>
    <row r="2117" spans="1:5" ht="30" customHeight="1">
      <c r="A2117" s="6">
        <v>2115</v>
      </c>
      <c r="B2117" s="7" t="str">
        <f>"29802021051012253984709"</f>
        <v>29802021051012253984709</v>
      </c>
      <c r="C2117" s="7" t="s">
        <v>17</v>
      </c>
      <c r="D2117" s="7" t="str">
        <f>"赵有花"</f>
        <v>赵有花</v>
      </c>
      <c r="E2117" s="7" t="str">
        <f t="shared" si="97"/>
        <v>女</v>
      </c>
    </row>
    <row r="2118" spans="1:5" ht="30" customHeight="1">
      <c r="A2118" s="6">
        <v>2116</v>
      </c>
      <c r="B2118" s="7" t="str">
        <f>"29802021051012385084793"</f>
        <v>29802021051012385084793</v>
      </c>
      <c r="C2118" s="7" t="s">
        <v>17</v>
      </c>
      <c r="D2118" s="7" t="str">
        <f>"何业莲"</f>
        <v>何业莲</v>
      </c>
      <c r="E2118" s="7" t="str">
        <f t="shared" si="97"/>
        <v>女</v>
      </c>
    </row>
    <row r="2119" spans="1:5" ht="30" customHeight="1">
      <c r="A2119" s="6">
        <v>2117</v>
      </c>
      <c r="B2119" s="7" t="str">
        <f>"29802021051012402584804"</f>
        <v>29802021051012402584804</v>
      </c>
      <c r="C2119" s="7" t="s">
        <v>17</v>
      </c>
      <c r="D2119" s="7" t="str">
        <f>"谢小静"</f>
        <v>谢小静</v>
      </c>
      <c r="E2119" s="7" t="str">
        <f t="shared" si="97"/>
        <v>女</v>
      </c>
    </row>
    <row r="2120" spans="1:5" ht="30" customHeight="1">
      <c r="A2120" s="6">
        <v>2118</v>
      </c>
      <c r="B2120" s="7" t="str">
        <f>"29802021051012502784873"</f>
        <v>29802021051012502784873</v>
      </c>
      <c r="C2120" s="7" t="s">
        <v>17</v>
      </c>
      <c r="D2120" s="7" t="str">
        <f>"唐台玲"</f>
        <v>唐台玲</v>
      </c>
      <c r="E2120" s="7" t="str">
        <f t="shared" si="97"/>
        <v>女</v>
      </c>
    </row>
    <row r="2121" spans="1:5" ht="30" customHeight="1">
      <c r="A2121" s="6">
        <v>2119</v>
      </c>
      <c r="B2121" s="7" t="str">
        <f>"29802021051012512284879"</f>
        <v>29802021051012512284879</v>
      </c>
      <c r="C2121" s="7" t="s">
        <v>17</v>
      </c>
      <c r="D2121" s="7" t="str">
        <f>"陈琪琦"</f>
        <v>陈琪琦</v>
      </c>
      <c r="E2121" s="7" t="str">
        <f t="shared" si="97"/>
        <v>女</v>
      </c>
    </row>
    <row r="2122" spans="1:5" ht="30" customHeight="1">
      <c r="A2122" s="6">
        <v>2120</v>
      </c>
      <c r="B2122" s="7" t="str">
        <f>"29802021051014005085194"</f>
        <v>29802021051014005085194</v>
      </c>
      <c r="C2122" s="7" t="s">
        <v>17</v>
      </c>
      <c r="D2122" s="7" t="str">
        <f>"吴小妹"</f>
        <v>吴小妹</v>
      </c>
      <c r="E2122" s="7" t="str">
        <f t="shared" si="97"/>
        <v>女</v>
      </c>
    </row>
    <row r="2123" spans="1:5" ht="30" customHeight="1">
      <c r="A2123" s="6">
        <v>2121</v>
      </c>
      <c r="B2123" s="7" t="str">
        <f>"29802021051014265685294"</f>
        <v>29802021051014265685294</v>
      </c>
      <c r="C2123" s="7" t="s">
        <v>17</v>
      </c>
      <c r="D2123" s="7" t="str">
        <f>"莫方文"</f>
        <v>莫方文</v>
      </c>
      <c r="E2123" s="7" t="str">
        <f t="shared" si="97"/>
        <v>女</v>
      </c>
    </row>
    <row r="2124" spans="1:5" ht="30" customHeight="1">
      <c r="A2124" s="6">
        <v>2122</v>
      </c>
      <c r="B2124" s="7" t="str">
        <f>"29802021051014552185458"</f>
        <v>29802021051014552185458</v>
      </c>
      <c r="C2124" s="7" t="s">
        <v>17</v>
      </c>
      <c r="D2124" s="7" t="str">
        <f>"纪小丽"</f>
        <v>纪小丽</v>
      </c>
      <c r="E2124" s="7" t="str">
        <f t="shared" si="97"/>
        <v>女</v>
      </c>
    </row>
    <row r="2125" spans="1:5" ht="30" customHeight="1">
      <c r="A2125" s="6">
        <v>2123</v>
      </c>
      <c r="B2125" s="7" t="str">
        <f>"29802021051015174585616"</f>
        <v>29802021051015174585616</v>
      </c>
      <c r="C2125" s="7" t="s">
        <v>17</v>
      </c>
      <c r="D2125" s="7" t="str">
        <f>"陈小蕊"</f>
        <v>陈小蕊</v>
      </c>
      <c r="E2125" s="7" t="str">
        <f aca="true" t="shared" si="98" ref="E2125:E2147">"女"</f>
        <v>女</v>
      </c>
    </row>
    <row r="2126" spans="1:5" ht="30" customHeight="1">
      <c r="A2126" s="6">
        <v>2124</v>
      </c>
      <c r="B2126" s="7" t="str">
        <f>"29802021051015323485732"</f>
        <v>29802021051015323485732</v>
      </c>
      <c r="C2126" s="7" t="s">
        <v>17</v>
      </c>
      <c r="D2126" s="7" t="str">
        <f>"杨裕丽"</f>
        <v>杨裕丽</v>
      </c>
      <c r="E2126" s="7" t="str">
        <f t="shared" si="98"/>
        <v>女</v>
      </c>
    </row>
    <row r="2127" spans="1:5" ht="30" customHeight="1">
      <c r="A2127" s="6">
        <v>2125</v>
      </c>
      <c r="B2127" s="7" t="str">
        <f>"29802021051015441885816"</f>
        <v>29802021051015441885816</v>
      </c>
      <c r="C2127" s="7" t="s">
        <v>17</v>
      </c>
      <c r="D2127" s="7" t="str">
        <f>"许环雪"</f>
        <v>许环雪</v>
      </c>
      <c r="E2127" s="7" t="str">
        <f t="shared" si="98"/>
        <v>女</v>
      </c>
    </row>
    <row r="2128" spans="1:5" ht="30" customHeight="1">
      <c r="A2128" s="6">
        <v>2126</v>
      </c>
      <c r="B2128" s="7" t="str">
        <f>"29802021051015502085860"</f>
        <v>29802021051015502085860</v>
      </c>
      <c r="C2128" s="7" t="s">
        <v>17</v>
      </c>
      <c r="D2128" s="7" t="str">
        <f>"吴多珍"</f>
        <v>吴多珍</v>
      </c>
      <c r="E2128" s="7" t="str">
        <f t="shared" si="98"/>
        <v>女</v>
      </c>
    </row>
    <row r="2129" spans="1:5" ht="30" customHeight="1">
      <c r="A2129" s="6">
        <v>2127</v>
      </c>
      <c r="B2129" s="7" t="str">
        <f>"29802021051015540785890"</f>
        <v>29802021051015540785890</v>
      </c>
      <c r="C2129" s="7" t="s">
        <v>17</v>
      </c>
      <c r="D2129" s="7" t="str">
        <f>"欧路芳"</f>
        <v>欧路芳</v>
      </c>
      <c r="E2129" s="7" t="str">
        <f t="shared" si="98"/>
        <v>女</v>
      </c>
    </row>
    <row r="2130" spans="1:5" ht="30" customHeight="1">
      <c r="A2130" s="6">
        <v>2128</v>
      </c>
      <c r="B2130" s="7" t="str">
        <f>"29802021051016103885994"</f>
        <v>29802021051016103885994</v>
      </c>
      <c r="C2130" s="7" t="s">
        <v>17</v>
      </c>
      <c r="D2130" s="7" t="str">
        <f>"苏其娜"</f>
        <v>苏其娜</v>
      </c>
      <c r="E2130" s="7" t="str">
        <f t="shared" si="98"/>
        <v>女</v>
      </c>
    </row>
    <row r="2131" spans="1:5" ht="30" customHeight="1">
      <c r="A2131" s="6">
        <v>2129</v>
      </c>
      <c r="B2131" s="7" t="str">
        <f>"29802021051016380686197"</f>
        <v>29802021051016380686197</v>
      </c>
      <c r="C2131" s="7" t="s">
        <v>17</v>
      </c>
      <c r="D2131" s="7" t="str">
        <f>"符彩云"</f>
        <v>符彩云</v>
      </c>
      <c r="E2131" s="7" t="str">
        <f t="shared" si="98"/>
        <v>女</v>
      </c>
    </row>
    <row r="2132" spans="1:5" ht="30" customHeight="1">
      <c r="A2132" s="6">
        <v>2130</v>
      </c>
      <c r="B2132" s="7" t="str">
        <f>"29802021051016444786258"</f>
        <v>29802021051016444786258</v>
      </c>
      <c r="C2132" s="7" t="s">
        <v>17</v>
      </c>
      <c r="D2132" s="7" t="str">
        <f>"吕全教"</f>
        <v>吕全教</v>
      </c>
      <c r="E2132" s="7" t="str">
        <f t="shared" si="98"/>
        <v>女</v>
      </c>
    </row>
    <row r="2133" spans="1:5" ht="30" customHeight="1">
      <c r="A2133" s="6">
        <v>2131</v>
      </c>
      <c r="B2133" s="7" t="str">
        <f>"29802021051016574886345"</f>
        <v>29802021051016574886345</v>
      </c>
      <c r="C2133" s="7" t="s">
        <v>17</v>
      </c>
      <c r="D2133" s="7" t="str">
        <f>"姜叶"</f>
        <v>姜叶</v>
      </c>
      <c r="E2133" s="7" t="str">
        <f t="shared" si="98"/>
        <v>女</v>
      </c>
    </row>
    <row r="2134" spans="1:5" ht="30" customHeight="1">
      <c r="A2134" s="6">
        <v>2132</v>
      </c>
      <c r="B2134" s="7" t="str">
        <f>"29802021051017114286416"</f>
        <v>29802021051017114286416</v>
      </c>
      <c r="C2134" s="7" t="s">
        <v>17</v>
      </c>
      <c r="D2134" s="7" t="str">
        <f>"莫春梅"</f>
        <v>莫春梅</v>
      </c>
      <c r="E2134" s="7" t="str">
        <f t="shared" si="98"/>
        <v>女</v>
      </c>
    </row>
    <row r="2135" spans="1:5" ht="30" customHeight="1">
      <c r="A2135" s="6">
        <v>2133</v>
      </c>
      <c r="B2135" s="7" t="str">
        <f>"29802021051017135086434"</f>
        <v>29802021051017135086434</v>
      </c>
      <c r="C2135" s="7" t="s">
        <v>17</v>
      </c>
      <c r="D2135" s="7" t="str">
        <f>"符国艳"</f>
        <v>符国艳</v>
      </c>
      <c r="E2135" s="7" t="str">
        <f t="shared" si="98"/>
        <v>女</v>
      </c>
    </row>
    <row r="2136" spans="1:5" ht="30" customHeight="1">
      <c r="A2136" s="6">
        <v>2134</v>
      </c>
      <c r="B2136" s="7" t="str">
        <f>"29802021051017202386467"</f>
        <v>29802021051017202386467</v>
      </c>
      <c r="C2136" s="7" t="s">
        <v>17</v>
      </c>
      <c r="D2136" s="7" t="str">
        <f>"赵敏"</f>
        <v>赵敏</v>
      </c>
      <c r="E2136" s="7" t="str">
        <f t="shared" si="98"/>
        <v>女</v>
      </c>
    </row>
    <row r="2137" spans="1:5" ht="30" customHeight="1">
      <c r="A2137" s="6">
        <v>2135</v>
      </c>
      <c r="B2137" s="7" t="str">
        <f>"29802021051017261886497"</f>
        <v>29802021051017261886497</v>
      </c>
      <c r="C2137" s="7" t="s">
        <v>17</v>
      </c>
      <c r="D2137" s="7" t="str">
        <f>"李惠娟"</f>
        <v>李惠娟</v>
      </c>
      <c r="E2137" s="7" t="str">
        <f t="shared" si="98"/>
        <v>女</v>
      </c>
    </row>
    <row r="2138" spans="1:5" ht="30" customHeight="1">
      <c r="A2138" s="6">
        <v>2136</v>
      </c>
      <c r="B2138" s="7" t="str">
        <f>"29802021051017280386500"</f>
        <v>29802021051017280386500</v>
      </c>
      <c r="C2138" s="7" t="s">
        <v>17</v>
      </c>
      <c r="D2138" s="7" t="str">
        <f>"钟佳宸"</f>
        <v>钟佳宸</v>
      </c>
      <c r="E2138" s="7" t="str">
        <f t="shared" si="98"/>
        <v>女</v>
      </c>
    </row>
    <row r="2139" spans="1:5" ht="30" customHeight="1">
      <c r="A2139" s="6">
        <v>2137</v>
      </c>
      <c r="B2139" s="7" t="str">
        <f>"29802021051017321186520"</f>
        <v>29802021051017321186520</v>
      </c>
      <c r="C2139" s="7" t="s">
        <v>17</v>
      </c>
      <c r="D2139" s="7" t="str">
        <f>"蒋思思"</f>
        <v>蒋思思</v>
      </c>
      <c r="E2139" s="7" t="str">
        <f t="shared" si="98"/>
        <v>女</v>
      </c>
    </row>
    <row r="2140" spans="1:5" ht="30" customHeight="1">
      <c r="A2140" s="6">
        <v>2138</v>
      </c>
      <c r="B2140" s="7" t="str">
        <f>"29802021051017511686613"</f>
        <v>29802021051017511686613</v>
      </c>
      <c r="C2140" s="7" t="s">
        <v>17</v>
      </c>
      <c r="D2140" s="7" t="str">
        <f>"翁菁苓"</f>
        <v>翁菁苓</v>
      </c>
      <c r="E2140" s="7" t="str">
        <f t="shared" si="98"/>
        <v>女</v>
      </c>
    </row>
    <row r="2141" spans="1:5" ht="30" customHeight="1">
      <c r="A2141" s="6">
        <v>2139</v>
      </c>
      <c r="B2141" s="7" t="str">
        <f>"29802021051018075386689"</f>
        <v>29802021051018075386689</v>
      </c>
      <c r="C2141" s="7" t="s">
        <v>17</v>
      </c>
      <c r="D2141" s="7" t="str">
        <f>"陈雅君"</f>
        <v>陈雅君</v>
      </c>
      <c r="E2141" s="7" t="str">
        <f t="shared" si="98"/>
        <v>女</v>
      </c>
    </row>
    <row r="2142" spans="1:5" ht="30" customHeight="1">
      <c r="A2142" s="6">
        <v>2140</v>
      </c>
      <c r="B2142" s="7" t="str">
        <f>"29802021051018154186723"</f>
        <v>29802021051018154186723</v>
      </c>
      <c r="C2142" s="7" t="s">
        <v>17</v>
      </c>
      <c r="D2142" s="7" t="str">
        <f>"邢梦怡"</f>
        <v>邢梦怡</v>
      </c>
      <c r="E2142" s="7" t="str">
        <f t="shared" si="98"/>
        <v>女</v>
      </c>
    </row>
    <row r="2143" spans="1:5" ht="30" customHeight="1">
      <c r="A2143" s="6">
        <v>2141</v>
      </c>
      <c r="B2143" s="7" t="str">
        <f>"29802021051018172986733"</f>
        <v>29802021051018172986733</v>
      </c>
      <c r="C2143" s="7" t="s">
        <v>17</v>
      </c>
      <c r="D2143" s="7" t="str">
        <f>"杨鸿婷"</f>
        <v>杨鸿婷</v>
      </c>
      <c r="E2143" s="7" t="str">
        <f t="shared" si="98"/>
        <v>女</v>
      </c>
    </row>
    <row r="2144" spans="1:5" ht="30" customHeight="1">
      <c r="A2144" s="6">
        <v>2142</v>
      </c>
      <c r="B2144" s="7" t="str">
        <f>"29802021051018310386796"</f>
        <v>29802021051018310386796</v>
      </c>
      <c r="C2144" s="7" t="s">
        <v>17</v>
      </c>
      <c r="D2144" s="7" t="str">
        <f>"李玉来"</f>
        <v>李玉来</v>
      </c>
      <c r="E2144" s="7" t="str">
        <f t="shared" si="98"/>
        <v>女</v>
      </c>
    </row>
    <row r="2145" spans="1:5" ht="30" customHeight="1">
      <c r="A2145" s="6">
        <v>2143</v>
      </c>
      <c r="B2145" s="7" t="str">
        <f>"29802021051018350586818"</f>
        <v>29802021051018350586818</v>
      </c>
      <c r="C2145" s="7" t="s">
        <v>17</v>
      </c>
      <c r="D2145" s="7" t="str">
        <f>"蔡思韵"</f>
        <v>蔡思韵</v>
      </c>
      <c r="E2145" s="7" t="str">
        <f t="shared" si="98"/>
        <v>女</v>
      </c>
    </row>
    <row r="2146" spans="1:5" ht="30" customHeight="1">
      <c r="A2146" s="6">
        <v>2144</v>
      </c>
      <c r="B2146" s="7" t="str">
        <f>"29802021051018371586829"</f>
        <v>29802021051018371586829</v>
      </c>
      <c r="C2146" s="7" t="s">
        <v>17</v>
      </c>
      <c r="D2146" s="7" t="str">
        <f>"王敏"</f>
        <v>王敏</v>
      </c>
      <c r="E2146" s="7" t="str">
        <f t="shared" si="98"/>
        <v>女</v>
      </c>
    </row>
    <row r="2147" spans="1:5" ht="30" customHeight="1">
      <c r="A2147" s="6">
        <v>2145</v>
      </c>
      <c r="B2147" s="7" t="str">
        <f>"29802021051019094386965"</f>
        <v>29802021051019094386965</v>
      </c>
      <c r="C2147" s="7" t="s">
        <v>17</v>
      </c>
      <c r="D2147" s="7" t="str">
        <f>"冯一梅"</f>
        <v>冯一梅</v>
      </c>
      <c r="E2147" s="7" t="str">
        <f t="shared" si="98"/>
        <v>女</v>
      </c>
    </row>
    <row r="2148" spans="1:5" ht="30" customHeight="1">
      <c r="A2148" s="6">
        <v>2146</v>
      </c>
      <c r="B2148" s="7" t="str">
        <f>"29802021051019193187007"</f>
        <v>29802021051019193187007</v>
      </c>
      <c r="C2148" s="7" t="s">
        <v>17</v>
      </c>
      <c r="D2148" s="7" t="str">
        <f>"丁杨"</f>
        <v>丁杨</v>
      </c>
      <c r="E2148" s="7" t="str">
        <f>"男"</f>
        <v>男</v>
      </c>
    </row>
    <row r="2149" spans="1:5" ht="30" customHeight="1">
      <c r="A2149" s="6">
        <v>2147</v>
      </c>
      <c r="B2149" s="7" t="str">
        <f>"29802021051019200087010"</f>
        <v>29802021051019200087010</v>
      </c>
      <c r="C2149" s="7" t="s">
        <v>17</v>
      </c>
      <c r="D2149" s="7" t="str">
        <f>"唐丽丹"</f>
        <v>唐丽丹</v>
      </c>
      <c r="E2149" s="7" t="str">
        <f aca="true" t="shared" si="99" ref="E2149:E2156">"女"</f>
        <v>女</v>
      </c>
    </row>
    <row r="2150" spans="1:5" ht="30" customHeight="1">
      <c r="A2150" s="6">
        <v>2148</v>
      </c>
      <c r="B2150" s="7" t="str">
        <f>"29802021051019570087163"</f>
        <v>29802021051019570087163</v>
      </c>
      <c r="C2150" s="7" t="s">
        <v>17</v>
      </c>
      <c r="D2150" s="7" t="str">
        <f>"杨钰琦"</f>
        <v>杨钰琦</v>
      </c>
      <c r="E2150" s="7" t="str">
        <f t="shared" si="99"/>
        <v>女</v>
      </c>
    </row>
    <row r="2151" spans="1:5" ht="30" customHeight="1">
      <c r="A2151" s="6">
        <v>2149</v>
      </c>
      <c r="B2151" s="7" t="str">
        <f>"29802021051019595387182"</f>
        <v>29802021051019595387182</v>
      </c>
      <c r="C2151" s="7" t="s">
        <v>17</v>
      </c>
      <c r="D2151" s="7" t="str">
        <f>"唐壮玲"</f>
        <v>唐壮玲</v>
      </c>
      <c r="E2151" s="7" t="str">
        <f t="shared" si="99"/>
        <v>女</v>
      </c>
    </row>
    <row r="2152" spans="1:5" ht="30" customHeight="1">
      <c r="A2152" s="6">
        <v>2150</v>
      </c>
      <c r="B2152" s="7" t="str">
        <f>"29802021051020381887345"</f>
        <v>29802021051020381887345</v>
      </c>
      <c r="C2152" s="7" t="s">
        <v>17</v>
      </c>
      <c r="D2152" s="7" t="str">
        <f>"冯锦鸯"</f>
        <v>冯锦鸯</v>
      </c>
      <c r="E2152" s="7" t="str">
        <f t="shared" si="99"/>
        <v>女</v>
      </c>
    </row>
    <row r="2153" spans="1:5" ht="30" customHeight="1">
      <c r="A2153" s="6">
        <v>2151</v>
      </c>
      <c r="B2153" s="7" t="str">
        <f>"29802021051021200587512"</f>
        <v>29802021051021200587512</v>
      </c>
      <c r="C2153" s="7" t="s">
        <v>17</v>
      </c>
      <c r="D2153" s="7" t="str">
        <f>"吴海芳"</f>
        <v>吴海芳</v>
      </c>
      <c r="E2153" s="7" t="str">
        <f t="shared" si="99"/>
        <v>女</v>
      </c>
    </row>
    <row r="2154" spans="1:5" ht="30" customHeight="1">
      <c r="A2154" s="6">
        <v>2152</v>
      </c>
      <c r="B2154" s="7" t="str">
        <f>"29802021051021275087544"</f>
        <v>29802021051021275087544</v>
      </c>
      <c r="C2154" s="7" t="s">
        <v>17</v>
      </c>
      <c r="D2154" s="7" t="str">
        <f>"林雪"</f>
        <v>林雪</v>
      </c>
      <c r="E2154" s="7" t="str">
        <f t="shared" si="99"/>
        <v>女</v>
      </c>
    </row>
    <row r="2155" spans="1:5" ht="30" customHeight="1">
      <c r="A2155" s="6">
        <v>2153</v>
      </c>
      <c r="B2155" s="7" t="str">
        <f>"29802021051021331587583"</f>
        <v>29802021051021331587583</v>
      </c>
      <c r="C2155" s="7" t="s">
        <v>17</v>
      </c>
      <c r="D2155" s="7" t="str">
        <f>"张珠"</f>
        <v>张珠</v>
      </c>
      <c r="E2155" s="7" t="str">
        <f t="shared" si="99"/>
        <v>女</v>
      </c>
    </row>
    <row r="2156" spans="1:5" ht="30" customHeight="1">
      <c r="A2156" s="6">
        <v>2154</v>
      </c>
      <c r="B2156" s="7" t="str">
        <f>"29802021051021463187659"</f>
        <v>29802021051021463187659</v>
      </c>
      <c r="C2156" s="7" t="s">
        <v>17</v>
      </c>
      <c r="D2156" s="7" t="str">
        <f>"冯太平"</f>
        <v>冯太平</v>
      </c>
      <c r="E2156" s="7" t="str">
        <f t="shared" si="99"/>
        <v>女</v>
      </c>
    </row>
    <row r="2157" spans="1:5" ht="30" customHeight="1">
      <c r="A2157" s="6">
        <v>2155</v>
      </c>
      <c r="B2157" s="7" t="str">
        <f>"29802021051022011587724"</f>
        <v>29802021051022011587724</v>
      </c>
      <c r="C2157" s="7" t="s">
        <v>17</v>
      </c>
      <c r="D2157" s="7" t="str">
        <f>"王萃逢"</f>
        <v>王萃逢</v>
      </c>
      <c r="E2157" s="7" t="str">
        <f>"男"</f>
        <v>男</v>
      </c>
    </row>
    <row r="2158" spans="1:5" ht="30" customHeight="1">
      <c r="A2158" s="6">
        <v>2156</v>
      </c>
      <c r="B2158" s="7" t="str">
        <f>"29802021051022094687764"</f>
        <v>29802021051022094687764</v>
      </c>
      <c r="C2158" s="7" t="s">
        <v>17</v>
      </c>
      <c r="D2158" s="7" t="str">
        <f>"陈丽萍"</f>
        <v>陈丽萍</v>
      </c>
      <c r="E2158" s="7" t="str">
        <f aca="true" t="shared" si="100" ref="E2158:E2221">"女"</f>
        <v>女</v>
      </c>
    </row>
    <row r="2159" spans="1:5" ht="30" customHeight="1">
      <c r="A2159" s="6">
        <v>2157</v>
      </c>
      <c r="B2159" s="7" t="str">
        <f>"29802021051022483387930"</f>
        <v>29802021051022483387930</v>
      </c>
      <c r="C2159" s="7" t="s">
        <v>17</v>
      </c>
      <c r="D2159" s="7" t="str">
        <f>"马娜"</f>
        <v>马娜</v>
      </c>
      <c r="E2159" s="7" t="str">
        <f t="shared" si="100"/>
        <v>女</v>
      </c>
    </row>
    <row r="2160" spans="1:5" ht="30" customHeight="1">
      <c r="A2160" s="6">
        <v>2158</v>
      </c>
      <c r="B2160" s="7" t="str">
        <f>"29802021051023014087975"</f>
        <v>29802021051023014087975</v>
      </c>
      <c r="C2160" s="7" t="s">
        <v>17</v>
      </c>
      <c r="D2160" s="7" t="str">
        <f>"关远琴"</f>
        <v>关远琴</v>
      </c>
      <c r="E2160" s="7" t="str">
        <f t="shared" si="100"/>
        <v>女</v>
      </c>
    </row>
    <row r="2161" spans="1:5" ht="30" customHeight="1">
      <c r="A2161" s="6">
        <v>2159</v>
      </c>
      <c r="B2161" s="7" t="str">
        <f>"29802021051023070887992"</f>
        <v>29802021051023070887992</v>
      </c>
      <c r="C2161" s="7" t="s">
        <v>17</v>
      </c>
      <c r="D2161" s="7" t="str">
        <f>"王清丽"</f>
        <v>王清丽</v>
      </c>
      <c r="E2161" s="7" t="str">
        <f t="shared" si="100"/>
        <v>女</v>
      </c>
    </row>
    <row r="2162" spans="1:5" ht="30" customHeight="1">
      <c r="A2162" s="6">
        <v>2160</v>
      </c>
      <c r="B2162" s="7" t="str">
        <f>"29802021051100030188110"</f>
        <v>29802021051100030188110</v>
      </c>
      <c r="C2162" s="7" t="s">
        <v>17</v>
      </c>
      <c r="D2162" s="7" t="str">
        <f>"陈佳倩"</f>
        <v>陈佳倩</v>
      </c>
      <c r="E2162" s="7" t="str">
        <f t="shared" si="100"/>
        <v>女</v>
      </c>
    </row>
    <row r="2163" spans="1:5" ht="30" customHeight="1">
      <c r="A2163" s="6">
        <v>2161</v>
      </c>
      <c r="B2163" s="7" t="str">
        <f>"29802021051101150388161"</f>
        <v>29802021051101150388161</v>
      </c>
      <c r="C2163" s="7" t="s">
        <v>17</v>
      </c>
      <c r="D2163" s="7" t="str">
        <f>"王娜"</f>
        <v>王娜</v>
      </c>
      <c r="E2163" s="7" t="str">
        <f t="shared" si="100"/>
        <v>女</v>
      </c>
    </row>
    <row r="2164" spans="1:5" ht="30" customHeight="1">
      <c r="A2164" s="6">
        <v>2162</v>
      </c>
      <c r="B2164" s="7" t="str">
        <f>"29802021051106595688195"</f>
        <v>29802021051106595688195</v>
      </c>
      <c r="C2164" s="7" t="s">
        <v>17</v>
      </c>
      <c r="D2164" s="7" t="str">
        <f>"陈颖"</f>
        <v>陈颖</v>
      </c>
      <c r="E2164" s="7" t="str">
        <f t="shared" si="100"/>
        <v>女</v>
      </c>
    </row>
    <row r="2165" spans="1:5" ht="30" customHeight="1">
      <c r="A2165" s="6">
        <v>2163</v>
      </c>
      <c r="B2165" s="7" t="str">
        <f>"29802021051107140488201"</f>
        <v>29802021051107140488201</v>
      </c>
      <c r="C2165" s="7" t="s">
        <v>17</v>
      </c>
      <c r="D2165" s="7" t="str">
        <f>"文香提"</f>
        <v>文香提</v>
      </c>
      <c r="E2165" s="7" t="str">
        <f t="shared" si="100"/>
        <v>女</v>
      </c>
    </row>
    <row r="2166" spans="1:5" ht="30" customHeight="1">
      <c r="A2166" s="6">
        <v>2164</v>
      </c>
      <c r="B2166" s="7" t="str">
        <f>"29802021051108053888234"</f>
        <v>29802021051108053888234</v>
      </c>
      <c r="C2166" s="7" t="s">
        <v>17</v>
      </c>
      <c r="D2166" s="7" t="str">
        <f>"潘春妙"</f>
        <v>潘春妙</v>
      </c>
      <c r="E2166" s="7" t="str">
        <f t="shared" si="100"/>
        <v>女</v>
      </c>
    </row>
    <row r="2167" spans="1:5" ht="30" customHeight="1">
      <c r="A2167" s="6">
        <v>2165</v>
      </c>
      <c r="B2167" s="7" t="str">
        <f>"29802021051108195388260"</f>
        <v>29802021051108195388260</v>
      </c>
      <c r="C2167" s="7" t="s">
        <v>17</v>
      </c>
      <c r="D2167" s="7" t="str">
        <f>"林桂青"</f>
        <v>林桂青</v>
      </c>
      <c r="E2167" s="7" t="str">
        <f t="shared" si="100"/>
        <v>女</v>
      </c>
    </row>
    <row r="2168" spans="1:5" ht="30" customHeight="1">
      <c r="A2168" s="6">
        <v>2166</v>
      </c>
      <c r="B2168" s="7" t="str">
        <f>"29802021051108481588352"</f>
        <v>29802021051108481588352</v>
      </c>
      <c r="C2168" s="7" t="s">
        <v>17</v>
      </c>
      <c r="D2168" s="7" t="str">
        <f>"陈少盈"</f>
        <v>陈少盈</v>
      </c>
      <c r="E2168" s="7" t="str">
        <f t="shared" si="100"/>
        <v>女</v>
      </c>
    </row>
    <row r="2169" spans="1:5" ht="30" customHeight="1">
      <c r="A2169" s="6">
        <v>2167</v>
      </c>
      <c r="B2169" s="7" t="str">
        <f>"29802021051108551688382"</f>
        <v>29802021051108551688382</v>
      </c>
      <c r="C2169" s="7" t="s">
        <v>17</v>
      </c>
      <c r="D2169" s="7" t="str">
        <f>"李程"</f>
        <v>李程</v>
      </c>
      <c r="E2169" s="7" t="str">
        <f t="shared" si="100"/>
        <v>女</v>
      </c>
    </row>
    <row r="2170" spans="1:5" ht="30" customHeight="1">
      <c r="A2170" s="6">
        <v>2168</v>
      </c>
      <c r="B2170" s="7" t="str">
        <f>"29802021051109060888435"</f>
        <v>29802021051109060888435</v>
      </c>
      <c r="C2170" s="7" t="s">
        <v>17</v>
      </c>
      <c r="D2170" s="7" t="str">
        <f>"高芳霞"</f>
        <v>高芳霞</v>
      </c>
      <c r="E2170" s="7" t="str">
        <f t="shared" si="100"/>
        <v>女</v>
      </c>
    </row>
    <row r="2171" spans="1:5" ht="30" customHeight="1">
      <c r="A2171" s="6">
        <v>2169</v>
      </c>
      <c r="B2171" s="7" t="str">
        <f>"29802021051109064288440"</f>
        <v>29802021051109064288440</v>
      </c>
      <c r="C2171" s="7" t="s">
        <v>17</v>
      </c>
      <c r="D2171" s="7" t="str">
        <f>"陈言顺"</f>
        <v>陈言顺</v>
      </c>
      <c r="E2171" s="7" t="str">
        <f t="shared" si="100"/>
        <v>女</v>
      </c>
    </row>
    <row r="2172" spans="1:5" ht="30" customHeight="1">
      <c r="A2172" s="6">
        <v>2170</v>
      </c>
      <c r="B2172" s="7" t="str">
        <f>"29802021051109142088478"</f>
        <v>29802021051109142088478</v>
      </c>
      <c r="C2172" s="7" t="s">
        <v>17</v>
      </c>
      <c r="D2172" s="7" t="str">
        <f>"陈强"</f>
        <v>陈强</v>
      </c>
      <c r="E2172" s="7" t="str">
        <f t="shared" si="100"/>
        <v>女</v>
      </c>
    </row>
    <row r="2173" spans="1:5" ht="30" customHeight="1">
      <c r="A2173" s="6">
        <v>2171</v>
      </c>
      <c r="B2173" s="7" t="str">
        <f>"29802021051109215388511"</f>
        <v>29802021051109215388511</v>
      </c>
      <c r="C2173" s="7" t="s">
        <v>17</v>
      </c>
      <c r="D2173" s="7" t="str">
        <f>"张晶琴"</f>
        <v>张晶琴</v>
      </c>
      <c r="E2173" s="7" t="str">
        <f t="shared" si="100"/>
        <v>女</v>
      </c>
    </row>
    <row r="2174" spans="1:5" ht="30" customHeight="1">
      <c r="A2174" s="6">
        <v>2172</v>
      </c>
      <c r="B2174" s="7" t="str">
        <f>"29802021051109365788580"</f>
        <v>29802021051109365788580</v>
      </c>
      <c r="C2174" s="7" t="s">
        <v>17</v>
      </c>
      <c r="D2174" s="7" t="str">
        <f>"林翠兰"</f>
        <v>林翠兰</v>
      </c>
      <c r="E2174" s="7" t="str">
        <f t="shared" si="100"/>
        <v>女</v>
      </c>
    </row>
    <row r="2175" spans="1:5" ht="30" customHeight="1">
      <c r="A2175" s="6">
        <v>2173</v>
      </c>
      <c r="B2175" s="7" t="str">
        <f>"29802021051109440088616"</f>
        <v>29802021051109440088616</v>
      </c>
      <c r="C2175" s="7" t="s">
        <v>17</v>
      </c>
      <c r="D2175" s="7" t="str">
        <f>"邱金秀"</f>
        <v>邱金秀</v>
      </c>
      <c r="E2175" s="7" t="str">
        <f t="shared" si="100"/>
        <v>女</v>
      </c>
    </row>
    <row r="2176" spans="1:5" ht="30" customHeight="1">
      <c r="A2176" s="6">
        <v>2174</v>
      </c>
      <c r="B2176" s="7" t="str">
        <f>"29802021051109511388649"</f>
        <v>29802021051109511388649</v>
      </c>
      <c r="C2176" s="7" t="s">
        <v>17</v>
      </c>
      <c r="D2176" s="7" t="str">
        <f>"曾飞劲"</f>
        <v>曾飞劲</v>
      </c>
      <c r="E2176" s="7" t="str">
        <f t="shared" si="100"/>
        <v>女</v>
      </c>
    </row>
    <row r="2177" spans="1:5" ht="30" customHeight="1">
      <c r="A2177" s="6">
        <v>2175</v>
      </c>
      <c r="B2177" s="7" t="str">
        <f>"29802021051110042588713"</f>
        <v>29802021051110042588713</v>
      </c>
      <c r="C2177" s="7" t="s">
        <v>17</v>
      </c>
      <c r="D2177" s="7" t="str">
        <f>"简金妹"</f>
        <v>简金妹</v>
      </c>
      <c r="E2177" s="7" t="str">
        <f t="shared" si="100"/>
        <v>女</v>
      </c>
    </row>
    <row r="2178" spans="1:5" ht="30" customHeight="1">
      <c r="A2178" s="6">
        <v>2176</v>
      </c>
      <c r="B2178" s="7" t="str">
        <f>"29802021051110123588754"</f>
        <v>29802021051110123588754</v>
      </c>
      <c r="C2178" s="7" t="s">
        <v>17</v>
      </c>
      <c r="D2178" s="7" t="str">
        <f>"黄小滨"</f>
        <v>黄小滨</v>
      </c>
      <c r="E2178" s="7" t="str">
        <f t="shared" si="100"/>
        <v>女</v>
      </c>
    </row>
    <row r="2179" spans="1:5" ht="30" customHeight="1">
      <c r="A2179" s="6">
        <v>2177</v>
      </c>
      <c r="B2179" s="7" t="str">
        <f>"29802021051110381088891"</f>
        <v>29802021051110381088891</v>
      </c>
      <c r="C2179" s="7" t="s">
        <v>17</v>
      </c>
      <c r="D2179" s="7" t="str">
        <f>"李悦"</f>
        <v>李悦</v>
      </c>
      <c r="E2179" s="7" t="str">
        <f t="shared" si="100"/>
        <v>女</v>
      </c>
    </row>
    <row r="2180" spans="1:5" ht="30" customHeight="1">
      <c r="A2180" s="6">
        <v>2178</v>
      </c>
      <c r="B2180" s="7" t="str">
        <f>"29802021051110440588918"</f>
        <v>29802021051110440588918</v>
      </c>
      <c r="C2180" s="7" t="s">
        <v>17</v>
      </c>
      <c r="D2180" s="7" t="str">
        <f>"朱晨怡"</f>
        <v>朱晨怡</v>
      </c>
      <c r="E2180" s="7" t="str">
        <f t="shared" si="100"/>
        <v>女</v>
      </c>
    </row>
    <row r="2181" spans="1:5" ht="30" customHeight="1">
      <c r="A2181" s="6">
        <v>2179</v>
      </c>
      <c r="B2181" s="7" t="str">
        <f>"29802021051111023489033"</f>
        <v>29802021051111023489033</v>
      </c>
      <c r="C2181" s="7" t="s">
        <v>17</v>
      </c>
      <c r="D2181" s="7" t="str">
        <f>"何美霞"</f>
        <v>何美霞</v>
      </c>
      <c r="E2181" s="7" t="str">
        <f t="shared" si="100"/>
        <v>女</v>
      </c>
    </row>
    <row r="2182" spans="1:5" ht="30" customHeight="1">
      <c r="A2182" s="6">
        <v>2180</v>
      </c>
      <c r="B2182" s="7" t="str">
        <f>"29802021051111080389056"</f>
        <v>29802021051111080389056</v>
      </c>
      <c r="C2182" s="7" t="s">
        <v>17</v>
      </c>
      <c r="D2182" s="7" t="str">
        <f>"李蔓绮"</f>
        <v>李蔓绮</v>
      </c>
      <c r="E2182" s="7" t="str">
        <f t="shared" si="100"/>
        <v>女</v>
      </c>
    </row>
    <row r="2183" spans="1:5" ht="30" customHeight="1">
      <c r="A2183" s="6">
        <v>2181</v>
      </c>
      <c r="B2183" s="7" t="str">
        <f>"29802021051111330789156"</f>
        <v>29802021051111330789156</v>
      </c>
      <c r="C2183" s="7" t="s">
        <v>17</v>
      </c>
      <c r="D2183" s="7" t="str">
        <f>"方菲"</f>
        <v>方菲</v>
      </c>
      <c r="E2183" s="7" t="str">
        <f t="shared" si="100"/>
        <v>女</v>
      </c>
    </row>
    <row r="2184" spans="1:5" ht="30" customHeight="1">
      <c r="A2184" s="6">
        <v>2182</v>
      </c>
      <c r="B2184" s="7" t="str">
        <f>"29802021051111482889196"</f>
        <v>29802021051111482889196</v>
      </c>
      <c r="C2184" s="7" t="s">
        <v>17</v>
      </c>
      <c r="D2184" s="7" t="str">
        <f>"梁其益"</f>
        <v>梁其益</v>
      </c>
      <c r="E2184" s="7" t="str">
        <f t="shared" si="100"/>
        <v>女</v>
      </c>
    </row>
    <row r="2185" spans="1:5" ht="30" customHeight="1">
      <c r="A2185" s="6">
        <v>2183</v>
      </c>
      <c r="B2185" s="7" t="str">
        <f>"29802021051111532889214"</f>
        <v>29802021051111532889214</v>
      </c>
      <c r="C2185" s="7" t="s">
        <v>17</v>
      </c>
      <c r="D2185" s="7" t="str">
        <f>"吴秋燕"</f>
        <v>吴秋燕</v>
      </c>
      <c r="E2185" s="7" t="str">
        <f t="shared" si="100"/>
        <v>女</v>
      </c>
    </row>
    <row r="2186" spans="1:5" ht="30" customHeight="1">
      <c r="A2186" s="6">
        <v>2184</v>
      </c>
      <c r="B2186" s="7" t="str">
        <f>"29802021051112142289274"</f>
        <v>29802021051112142289274</v>
      </c>
      <c r="C2186" s="7" t="s">
        <v>17</v>
      </c>
      <c r="D2186" s="7" t="str">
        <f>"温淑汝"</f>
        <v>温淑汝</v>
      </c>
      <c r="E2186" s="7" t="str">
        <f t="shared" si="100"/>
        <v>女</v>
      </c>
    </row>
    <row r="2187" spans="1:5" ht="30" customHeight="1">
      <c r="A2187" s="6">
        <v>2185</v>
      </c>
      <c r="B2187" s="7" t="str">
        <f>"29802021051112220089293"</f>
        <v>29802021051112220089293</v>
      </c>
      <c r="C2187" s="7" t="s">
        <v>17</v>
      </c>
      <c r="D2187" s="7" t="str">
        <f>"吴健婵"</f>
        <v>吴健婵</v>
      </c>
      <c r="E2187" s="7" t="str">
        <f t="shared" si="100"/>
        <v>女</v>
      </c>
    </row>
    <row r="2188" spans="1:5" ht="30" customHeight="1">
      <c r="A2188" s="6">
        <v>2186</v>
      </c>
      <c r="B2188" s="7" t="str">
        <f>"29802021051112353389347"</f>
        <v>29802021051112353389347</v>
      </c>
      <c r="C2188" s="7" t="s">
        <v>17</v>
      </c>
      <c r="D2188" s="7" t="str">
        <f>"杨金妹"</f>
        <v>杨金妹</v>
      </c>
      <c r="E2188" s="7" t="str">
        <f t="shared" si="100"/>
        <v>女</v>
      </c>
    </row>
    <row r="2189" spans="1:5" ht="30" customHeight="1">
      <c r="A2189" s="6">
        <v>2187</v>
      </c>
      <c r="B2189" s="7" t="str">
        <f>"29802021051113235289450"</f>
        <v>29802021051113235289450</v>
      </c>
      <c r="C2189" s="7" t="s">
        <v>17</v>
      </c>
      <c r="D2189" s="7" t="str">
        <f>"吴迪"</f>
        <v>吴迪</v>
      </c>
      <c r="E2189" s="7" t="str">
        <f t="shared" si="100"/>
        <v>女</v>
      </c>
    </row>
    <row r="2190" spans="1:5" ht="30" customHeight="1">
      <c r="A2190" s="6">
        <v>2188</v>
      </c>
      <c r="B2190" s="7" t="str">
        <f>"29802021051113245089453"</f>
        <v>29802021051113245089453</v>
      </c>
      <c r="C2190" s="7" t="s">
        <v>17</v>
      </c>
      <c r="D2190" s="7" t="str">
        <f>"文怡"</f>
        <v>文怡</v>
      </c>
      <c r="E2190" s="7" t="str">
        <f t="shared" si="100"/>
        <v>女</v>
      </c>
    </row>
    <row r="2191" spans="1:5" ht="30" customHeight="1">
      <c r="A2191" s="6">
        <v>2189</v>
      </c>
      <c r="B2191" s="7" t="str">
        <f>"29802021051115111889738"</f>
        <v>29802021051115111889738</v>
      </c>
      <c r="C2191" s="7" t="s">
        <v>17</v>
      </c>
      <c r="D2191" s="7" t="str">
        <f>"林宾妹"</f>
        <v>林宾妹</v>
      </c>
      <c r="E2191" s="7" t="str">
        <f t="shared" si="100"/>
        <v>女</v>
      </c>
    </row>
    <row r="2192" spans="1:5" ht="30" customHeight="1">
      <c r="A2192" s="6">
        <v>2190</v>
      </c>
      <c r="B2192" s="7" t="str">
        <f>"29802021051115115389741"</f>
        <v>29802021051115115389741</v>
      </c>
      <c r="C2192" s="7" t="s">
        <v>17</v>
      </c>
      <c r="D2192" s="7" t="str">
        <f>"文昌召"</f>
        <v>文昌召</v>
      </c>
      <c r="E2192" s="7" t="str">
        <f t="shared" si="100"/>
        <v>女</v>
      </c>
    </row>
    <row r="2193" spans="1:5" ht="30" customHeight="1">
      <c r="A2193" s="6">
        <v>2191</v>
      </c>
      <c r="B2193" s="7" t="str">
        <f>"29802021051115150789762"</f>
        <v>29802021051115150789762</v>
      </c>
      <c r="C2193" s="7" t="s">
        <v>17</v>
      </c>
      <c r="D2193" s="7" t="str">
        <f>"何美兰"</f>
        <v>何美兰</v>
      </c>
      <c r="E2193" s="7" t="str">
        <f t="shared" si="100"/>
        <v>女</v>
      </c>
    </row>
    <row r="2194" spans="1:5" ht="30" customHeight="1">
      <c r="A2194" s="6">
        <v>2192</v>
      </c>
      <c r="B2194" s="7" t="str">
        <f>"29802021051115233689802"</f>
        <v>29802021051115233689802</v>
      </c>
      <c r="C2194" s="7" t="s">
        <v>17</v>
      </c>
      <c r="D2194" s="7" t="str">
        <f>"冯成尧"</f>
        <v>冯成尧</v>
      </c>
      <c r="E2194" s="7" t="str">
        <f t="shared" si="100"/>
        <v>女</v>
      </c>
    </row>
    <row r="2195" spans="1:5" ht="30" customHeight="1">
      <c r="A2195" s="6">
        <v>2193</v>
      </c>
      <c r="B2195" s="7" t="str">
        <f>"29802021051115440589908"</f>
        <v>29802021051115440589908</v>
      </c>
      <c r="C2195" s="7" t="s">
        <v>17</v>
      </c>
      <c r="D2195" s="7" t="str">
        <f>"黄林墨"</f>
        <v>黄林墨</v>
      </c>
      <c r="E2195" s="7" t="str">
        <f t="shared" si="100"/>
        <v>女</v>
      </c>
    </row>
    <row r="2196" spans="1:5" ht="30" customHeight="1">
      <c r="A2196" s="6">
        <v>2194</v>
      </c>
      <c r="B2196" s="7" t="str">
        <f>"29802021051115464889919"</f>
        <v>29802021051115464889919</v>
      </c>
      <c r="C2196" s="7" t="s">
        <v>17</v>
      </c>
      <c r="D2196" s="7" t="str">
        <f>"赵健婷"</f>
        <v>赵健婷</v>
      </c>
      <c r="E2196" s="7" t="str">
        <f t="shared" si="100"/>
        <v>女</v>
      </c>
    </row>
    <row r="2197" spans="1:5" ht="30" customHeight="1">
      <c r="A2197" s="6">
        <v>2195</v>
      </c>
      <c r="B2197" s="7" t="str">
        <f>"29802021051116014689986"</f>
        <v>29802021051116014689986</v>
      </c>
      <c r="C2197" s="7" t="s">
        <v>17</v>
      </c>
      <c r="D2197" s="7" t="str">
        <f>"高克珍"</f>
        <v>高克珍</v>
      </c>
      <c r="E2197" s="7" t="str">
        <f t="shared" si="100"/>
        <v>女</v>
      </c>
    </row>
    <row r="2198" spans="1:5" ht="30" customHeight="1">
      <c r="A2198" s="6">
        <v>2196</v>
      </c>
      <c r="B2198" s="7" t="str">
        <f>"29802021051116042489992"</f>
        <v>29802021051116042489992</v>
      </c>
      <c r="C2198" s="7" t="s">
        <v>17</v>
      </c>
      <c r="D2198" s="7" t="str">
        <f>"黄道茜"</f>
        <v>黄道茜</v>
      </c>
      <c r="E2198" s="7" t="str">
        <f t="shared" si="100"/>
        <v>女</v>
      </c>
    </row>
    <row r="2199" spans="1:5" ht="30" customHeight="1">
      <c r="A2199" s="6">
        <v>2197</v>
      </c>
      <c r="B2199" s="7" t="str">
        <f>"29802021051116115290024"</f>
        <v>29802021051116115290024</v>
      </c>
      <c r="C2199" s="7" t="s">
        <v>17</v>
      </c>
      <c r="D2199" s="7" t="str">
        <f>"罗梅"</f>
        <v>罗梅</v>
      </c>
      <c r="E2199" s="7" t="str">
        <f t="shared" si="100"/>
        <v>女</v>
      </c>
    </row>
    <row r="2200" spans="1:5" ht="30" customHeight="1">
      <c r="A2200" s="6">
        <v>2198</v>
      </c>
      <c r="B2200" s="7" t="str">
        <f>"29802021051116174090042"</f>
        <v>29802021051116174090042</v>
      </c>
      <c r="C2200" s="7" t="s">
        <v>17</v>
      </c>
      <c r="D2200" s="7" t="str">
        <f>"邢美娟"</f>
        <v>邢美娟</v>
      </c>
      <c r="E2200" s="7" t="str">
        <f t="shared" si="100"/>
        <v>女</v>
      </c>
    </row>
    <row r="2201" spans="1:5" ht="30" customHeight="1">
      <c r="A2201" s="6">
        <v>2199</v>
      </c>
      <c r="B2201" s="7" t="str">
        <f>"29802021051116180490043"</f>
        <v>29802021051116180490043</v>
      </c>
      <c r="C2201" s="7" t="s">
        <v>17</v>
      </c>
      <c r="D2201" s="7" t="str">
        <f>"黄彩英"</f>
        <v>黄彩英</v>
      </c>
      <c r="E2201" s="7" t="str">
        <f t="shared" si="100"/>
        <v>女</v>
      </c>
    </row>
    <row r="2202" spans="1:5" ht="30" customHeight="1">
      <c r="A2202" s="6">
        <v>2200</v>
      </c>
      <c r="B2202" s="7" t="str">
        <f>"29802021051116211490057"</f>
        <v>29802021051116211490057</v>
      </c>
      <c r="C2202" s="7" t="s">
        <v>17</v>
      </c>
      <c r="D2202" s="7" t="str">
        <f>"蔡兴南"</f>
        <v>蔡兴南</v>
      </c>
      <c r="E2202" s="7" t="str">
        <f t="shared" si="100"/>
        <v>女</v>
      </c>
    </row>
    <row r="2203" spans="1:5" ht="30" customHeight="1">
      <c r="A2203" s="6">
        <v>2201</v>
      </c>
      <c r="B2203" s="7" t="str">
        <f>"29802021051116284090089"</f>
        <v>29802021051116284090089</v>
      </c>
      <c r="C2203" s="7" t="s">
        <v>17</v>
      </c>
      <c r="D2203" s="7" t="str">
        <f>"梁蓉蓉"</f>
        <v>梁蓉蓉</v>
      </c>
      <c r="E2203" s="7" t="str">
        <f t="shared" si="100"/>
        <v>女</v>
      </c>
    </row>
    <row r="2204" spans="1:5" ht="30" customHeight="1">
      <c r="A2204" s="6">
        <v>2202</v>
      </c>
      <c r="B2204" s="7" t="str">
        <f>"29802021051117015190201"</f>
        <v>29802021051117015190201</v>
      </c>
      <c r="C2204" s="7" t="s">
        <v>17</v>
      </c>
      <c r="D2204" s="7" t="str">
        <f>"杨小芳"</f>
        <v>杨小芳</v>
      </c>
      <c r="E2204" s="7" t="str">
        <f t="shared" si="100"/>
        <v>女</v>
      </c>
    </row>
    <row r="2205" spans="1:5" ht="30" customHeight="1">
      <c r="A2205" s="6">
        <v>2203</v>
      </c>
      <c r="B2205" s="7" t="str">
        <f>"29802021051117092390229"</f>
        <v>29802021051117092390229</v>
      </c>
      <c r="C2205" s="7" t="s">
        <v>17</v>
      </c>
      <c r="D2205" s="7" t="str">
        <f>"苏云珍"</f>
        <v>苏云珍</v>
      </c>
      <c r="E2205" s="7" t="str">
        <f t="shared" si="100"/>
        <v>女</v>
      </c>
    </row>
    <row r="2206" spans="1:5" ht="30" customHeight="1">
      <c r="A2206" s="6">
        <v>2204</v>
      </c>
      <c r="B2206" s="7" t="str">
        <f>"29802021051117144190243"</f>
        <v>29802021051117144190243</v>
      </c>
      <c r="C2206" s="7" t="s">
        <v>17</v>
      </c>
      <c r="D2206" s="7" t="str">
        <f>"简美娥"</f>
        <v>简美娥</v>
      </c>
      <c r="E2206" s="7" t="str">
        <f t="shared" si="100"/>
        <v>女</v>
      </c>
    </row>
    <row r="2207" spans="1:5" ht="30" customHeight="1">
      <c r="A2207" s="6">
        <v>2205</v>
      </c>
      <c r="B2207" s="7" t="str">
        <f>"29802021051117275290296"</f>
        <v>29802021051117275290296</v>
      </c>
      <c r="C2207" s="7" t="s">
        <v>17</v>
      </c>
      <c r="D2207" s="7" t="str">
        <f>"王娉娉"</f>
        <v>王娉娉</v>
      </c>
      <c r="E2207" s="7" t="str">
        <f t="shared" si="100"/>
        <v>女</v>
      </c>
    </row>
    <row r="2208" spans="1:5" ht="30" customHeight="1">
      <c r="A2208" s="6">
        <v>2206</v>
      </c>
      <c r="B2208" s="7" t="str">
        <f>"29802021051118140090426"</f>
        <v>29802021051118140090426</v>
      </c>
      <c r="C2208" s="7" t="s">
        <v>17</v>
      </c>
      <c r="D2208" s="7" t="str">
        <f>"谢丽梅"</f>
        <v>谢丽梅</v>
      </c>
      <c r="E2208" s="7" t="str">
        <f t="shared" si="100"/>
        <v>女</v>
      </c>
    </row>
    <row r="2209" spans="1:5" ht="30" customHeight="1">
      <c r="A2209" s="6">
        <v>2207</v>
      </c>
      <c r="B2209" s="7" t="str">
        <f>"29802021051118182490434"</f>
        <v>29802021051118182490434</v>
      </c>
      <c r="C2209" s="7" t="s">
        <v>17</v>
      </c>
      <c r="D2209" s="7" t="str">
        <f>"陈少花"</f>
        <v>陈少花</v>
      </c>
      <c r="E2209" s="7" t="str">
        <f t="shared" si="100"/>
        <v>女</v>
      </c>
    </row>
    <row r="2210" spans="1:5" ht="30" customHeight="1">
      <c r="A2210" s="6">
        <v>2208</v>
      </c>
      <c r="B2210" s="7" t="str">
        <f>"29802021051118190190438"</f>
        <v>29802021051118190190438</v>
      </c>
      <c r="C2210" s="7" t="s">
        <v>17</v>
      </c>
      <c r="D2210" s="7" t="str">
        <f>"邹彤"</f>
        <v>邹彤</v>
      </c>
      <c r="E2210" s="7" t="str">
        <f t="shared" si="100"/>
        <v>女</v>
      </c>
    </row>
    <row r="2211" spans="1:5" ht="30" customHeight="1">
      <c r="A2211" s="6">
        <v>2209</v>
      </c>
      <c r="B2211" s="7" t="str">
        <f>"29802021051118272690465"</f>
        <v>29802021051118272690465</v>
      </c>
      <c r="C2211" s="7" t="s">
        <v>17</v>
      </c>
      <c r="D2211" s="7" t="str">
        <f>"邢晖"</f>
        <v>邢晖</v>
      </c>
      <c r="E2211" s="7" t="str">
        <f t="shared" si="100"/>
        <v>女</v>
      </c>
    </row>
    <row r="2212" spans="1:5" ht="30" customHeight="1">
      <c r="A2212" s="6">
        <v>2210</v>
      </c>
      <c r="B2212" s="7" t="str">
        <f>"29802021051119124690574"</f>
        <v>29802021051119124690574</v>
      </c>
      <c r="C2212" s="7" t="s">
        <v>17</v>
      </c>
      <c r="D2212" s="7" t="str">
        <f>"曾载益"</f>
        <v>曾载益</v>
      </c>
      <c r="E2212" s="7" t="str">
        <f t="shared" si="100"/>
        <v>女</v>
      </c>
    </row>
    <row r="2213" spans="1:5" ht="30" customHeight="1">
      <c r="A2213" s="6">
        <v>2211</v>
      </c>
      <c r="B2213" s="7" t="str">
        <f>"29802021051119245390611"</f>
        <v>29802021051119245390611</v>
      </c>
      <c r="C2213" s="7" t="s">
        <v>17</v>
      </c>
      <c r="D2213" s="7" t="str">
        <f>"符启娇"</f>
        <v>符启娇</v>
      </c>
      <c r="E2213" s="7" t="str">
        <f t="shared" si="100"/>
        <v>女</v>
      </c>
    </row>
    <row r="2214" spans="1:5" ht="30" customHeight="1">
      <c r="A2214" s="6">
        <v>2212</v>
      </c>
      <c r="B2214" s="7" t="str">
        <f>"29802021051119402890652"</f>
        <v>29802021051119402890652</v>
      </c>
      <c r="C2214" s="7" t="s">
        <v>17</v>
      </c>
      <c r="D2214" s="7" t="str">
        <f>"符晓丹"</f>
        <v>符晓丹</v>
      </c>
      <c r="E2214" s="7" t="str">
        <f t="shared" si="100"/>
        <v>女</v>
      </c>
    </row>
    <row r="2215" spans="1:5" ht="30" customHeight="1">
      <c r="A2215" s="6">
        <v>2213</v>
      </c>
      <c r="B2215" s="7" t="str">
        <f>"29802021051120032590729"</f>
        <v>29802021051120032590729</v>
      </c>
      <c r="C2215" s="7" t="s">
        <v>17</v>
      </c>
      <c r="D2215" s="7" t="str">
        <f>"符修琳"</f>
        <v>符修琳</v>
      </c>
      <c r="E2215" s="7" t="str">
        <f t="shared" si="100"/>
        <v>女</v>
      </c>
    </row>
    <row r="2216" spans="1:5" ht="30" customHeight="1">
      <c r="A2216" s="6">
        <v>2214</v>
      </c>
      <c r="B2216" s="7" t="str">
        <f>"29802021051120070590737"</f>
        <v>29802021051120070590737</v>
      </c>
      <c r="C2216" s="7" t="s">
        <v>17</v>
      </c>
      <c r="D2216" s="7" t="str">
        <f>"彭秋美"</f>
        <v>彭秋美</v>
      </c>
      <c r="E2216" s="7" t="str">
        <f t="shared" si="100"/>
        <v>女</v>
      </c>
    </row>
    <row r="2217" spans="1:5" ht="30" customHeight="1">
      <c r="A2217" s="6">
        <v>2215</v>
      </c>
      <c r="B2217" s="7" t="str">
        <f>"29802021051120384590838"</f>
        <v>29802021051120384590838</v>
      </c>
      <c r="C2217" s="7" t="s">
        <v>17</v>
      </c>
      <c r="D2217" s="7" t="str">
        <f>"侯文静"</f>
        <v>侯文静</v>
      </c>
      <c r="E2217" s="7" t="str">
        <f t="shared" si="100"/>
        <v>女</v>
      </c>
    </row>
    <row r="2218" spans="1:5" ht="30" customHeight="1">
      <c r="A2218" s="6">
        <v>2216</v>
      </c>
      <c r="B2218" s="7" t="str">
        <f>"29802021051120475690864"</f>
        <v>29802021051120475690864</v>
      </c>
      <c r="C2218" s="7" t="s">
        <v>17</v>
      </c>
      <c r="D2218" s="7" t="str">
        <f>"杨茗"</f>
        <v>杨茗</v>
      </c>
      <c r="E2218" s="7" t="str">
        <f t="shared" si="100"/>
        <v>女</v>
      </c>
    </row>
    <row r="2219" spans="1:5" ht="30" customHeight="1">
      <c r="A2219" s="6">
        <v>2217</v>
      </c>
      <c r="B2219" s="7" t="str">
        <f>"29802021051120581990897"</f>
        <v>29802021051120581990897</v>
      </c>
      <c r="C2219" s="7" t="s">
        <v>17</v>
      </c>
      <c r="D2219" s="7" t="str">
        <f>"何蕾蕾"</f>
        <v>何蕾蕾</v>
      </c>
      <c r="E2219" s="7" t="str">
        <f t="shared" si="100"/>
        <v>女</v>
      </c>
    </row>
    <row r="2220" spans="1:5" ht="30" customHeight="1">
      <c r="A2220" s="6">
        <v>2218</v>
      </c>
      <c r="B2220" s="7" t="str">
        <f>"29802021051121141790949"</f>
        <v>29802021051121141790949</v>
      </c>
      <c r="C2220" s="7" t="s">
        <v>17</v>
      </c>
      <c r="D2220" s="7" t="str">
        <f>"韩石香"</f>
        <v>韩石香</v>
      </c>
      <c r="E2220" s="7" t="str">
        <f t="shared" si="100"/>
        <v>女</v>
      </c>
    </row>
    <row r="2221" spans="1:5" ht="30" customHeight="1">
      <c r="A2221" s="6">
        <v>2219</v>
      </c>
      <c r="B2221" s="7" t="str">
        <f>"29802021051121150690953"</f>
        <v>29802021051121150690953</v>
      </c>
      <c r="C2221" s="7" t="s">
        <v>17</v>
      </c>
      <c r="D2221" s="7" t="str">
        <f>"杨菁菁"</f>
        <v>杨菁菁</v>
      </c>
      <c r="E2221" s="7" t="str">
        <f t="shared" si="100"/>
        <v>女</v>
      </c>
    </row>
    <row r="2222" spans="1:5" ht="30" customHeight="1">
      <c r="A2222" s="6">
        <v>2220</v>
      </c>
      <c r="B2222" s="7" t="str">
        <f>"29802021051121170690958"</f>
        <v>29802021051121170690958</v>
      </c>
      <c r="C2222" s="7" t="s">
        <v>17</v>
      </c>
      <c r="D2222" s="7" t="str">
        <f>"段丽芳"</f>
        <v>段丽芳</v>
      </c>
      <c r="E2222" s="7" t="str">
        <f aca="true" t="shared" si="101" ref="E2222:E2285">"女"</f>
        <v>女</v>
      </c>
    </row>
    <row r="2223" spans="1:5" ht="30" customHeight="1">
      <c r="A2223" s="6">
        <v>2221</v>
      </c>
      <c r="B2223" s="7" t="str">
        <f>"29802021051121324690996"</f>
        <v>29802021051121324690996</v>
      </c>
      <c r="C2223" s="7" t="s">
        <v>17</v>
      </c>
      <c r="D2223" s="7" t="str">
        <f>"饶敏"</f>
        <v>饶敏</v>
      </c>
      <c r="E2223" s="7" t="str">
        <f t="shared" si="101"/>
        <v>女</v>
      </c>
    </row>
    <row r="2224" spans="1:5" ht="30" customHeight="1">
      <c r="A2224" s="6">
        <v>2222</v>
      </c>
      <c r="B2224" s="7" t="str">
        <f>"29802021051121400891024"</f>
        <v>29802021051121400891024</v>
      </c>
      <c r="C2224" s="7" t="s">
        <v>17</v>
      </c>
      <c r="D2224" s="7" t="str">
        <f>"宋盈慧"</f>
        <v>宋盈慧</v>
      </c>
      <c r="E2224" s="7" t="str">
        <f t="shared" si="101"/>
        <v>女</v>
      </c>
    </row>
    <row r="2225" spans="1:5" ht="30" customHeight="1">
      <c r="A2225" s="6">
        <v>2223</v>
      </c>
      <c r="B2225" s="7" t="str">
        <f>"29802021051121405891030"</f>
        <v>29802021051121405891030</v>
      </c>
      <c r="C2225" s="7" t="s">
        <v>17</v>
      </c>
      <c r="D2225" s="7" t="str">
        <f>"林婷"</f>
        <v>林婷</v>
      </c>
      <c r="E2225" s="7" t="str">
        <f t="shared" si="101"/>
        <v>女</v>
      </c>
    </row>
    <row r="2226" spans="1:5" ht="30" customHeight="1">
      <c r="A2226" s="6">
        <v>2224</v>
      </c>
      <c r="B2226" s="7" t="str">
        <f>"29802021051122010091092"</f>
        <v>29802021051122010091092</v>
      </c>
      <c r="C2226" s="7" t="s">
        <v>17</v>
      </c>
      <c r="D2226" s="7" t="str">
        <f>"林鲜"</f>
        <v>林鲜</v>
      </c>
      <c r="E2226" s="7" t="str">
        <f t="shared" si="101"/>
        <v>女</v>
      </c>
    </row>
    <row r="2227" spans="1:5" ht="30" customHeight="1">
      <c r="A2227" s="6">
        <v>2225</v>
      </c>
      <c r="B2227" s="7" t="str">
        <f>"29802021051122042491099"</f>
        <v>29802021051122042491099</v>
      </c>
      <c r="C2227" s="7" t="s">
        <v>17</v>
      </c>
      <c r="D2227" s="7" t="str">
        <f>"王爱珠"</f>
        <v>王爱珠</v>
      </c>
      <c r="E2227" s="7" t="str">
        <f t="shared" si="101"/>
        <v>女</v>
      </c>
    </row>
    <row r="2228" spans="1:5" ht="30" customHeight="1">
      <c r="A2228" s="6">
        <v>2226</v>
      </c>
      <c r="B2228" s="7" t="str">
        <f>"29802021051122045191101"</f>
        <v>29802021051122045191101</v>
      </c>
      <c r="C2228" s="7" t="s">
        <v>17</v>
      </c>
      <c r="D2228" s="7" t="str">
        <f>"李玲"</f>
        <v>李玲</v>
      </c>
      <c r="E2228" s="7" t="str">
        <f t="shared" si="101"/>
        <v>女</v>
      </c>
    </row>
    <row r="2229" spans="1:5" ht="30" customHeight="1">
      <c r="A2229" s="6">
        <v>2227</v>
      </c>
      <c r="B2229" s="7" t="str">
        <f>"29802021051122094391109"</f>
        <v>29802021051122094391109</v>
      </c>
      <c r="C2229" s="7" t="s">
        <v>17</v>
      </c>
      <c r="D2229" s="7" t="str">
        <f>"曾丽丽"</f>
        <v>曾丽丽</v>
      </c>
      <c r="E2229" s="7" t="str">
        <f t="shared" si="101"/>
        <v>女</v>
      </c>
    </row>
    <row r="2230" spans="1:5" ht="30" customHeight="1">
      <c r="A2230" s="6">
        <v>2228</v>
      </c>
      <c r="B2230" s="7" t="str">
        <f>"29802021051122242491158"</f>
        <v>29802021051122242491158</v>
      </c>
      <c r="C2230" s="7" t="s">
        <v>17</v>
      </c>
      <c r="D2230" s="7" t="str">
        <f>"何娇"</f>
        <v>何娇</v>
      </c>
      <c r="E2230" s="7" t="str">
        <f t="shared" si="101"/>
        <v>女</v>
      </c>
    </row>
    <row r="2231" spans="1:5" ht="30" customHeight="1">
      <c r="A2231" s="6">
        <v>2229</v>
      </c>
      <c r="B2231" s="7" t="str">
        <f>"29802021051122305191180"</f>
        <v>29802021051122305191180</v>
      </c>
      <c r="C2231" s="7" t="s">
        <v>17</v>
      </c>
      <c r="D2231" s="7" t="str">
        <f>"冯小翠"</f>
        <v>冯小翠</v>
      </c>
      <c r="E2231" s="7" t="str">
        <f t="shared" si="101"/>
        <v>女</v>
      </c>
    </row>
    <row r="2232" spans="1:5" ht="30" customHeight="1">
      <c r="A2232" s="6">
        <v>2230</v>
      </c>
      <c r="B2232" s="7" t="str">
        <f>"29802021051122340491194"</f>
        <v>29802021051122340491194</v>
      </c>
      <c r="C2232" s="7" t="s">
        <v>17</v>
      </c>
      <c r="D2232" s="7" t="str">
        <f>"王雪连"</f>
        <v>王雪连</v>
      </c>
      <c r="E2232" s="7" t="str">
        <f t="shared" si="101"/>
        <v>女</v>
      </c>
    </row>
    <row r="2233" spans="1:5" ht="30" customHeight="1">
      <c r="A2233" s="6">
        <v>2231</v>
      </c>
      <c r="B2233" s="7" t="str">
        <f>"29802021051122385591210"</f>
        <v>29802021051122385591210</v>
      </c>
      <c r="C2233" s="7" t="s">
        <v>17</v>
      </c>
      <c r="D2233" s="7" t="str">
        <f>"陈贻艳"</f>
        <v>陈贻艳</v>
      </c>
      <c r="E2233" s="7" t="str">
        <f t="shared" si="101"/>
        <v>女</v>
      </c>
    </row>
    <row r="2234" spans="1:5" ht="30" customHeight="1">
      <c r="A2234" s="6">
        <v>2232</v>
      </c>
      <c r="B2234" s="7" t="str">
        <f>"29802021051122574091250"</f>
        <v>29802021051122574091250</v>
      </c>
      <c r="C2234" s="7" t="s">
        <v>17</v>
      </c>
      <c r="D2234" s="7" t="str">
        <f>"吴花妃"</f>
        <v>吴花妃</v>
      </c>
      <c r="E2234" s="7" t="str">
        <f t="shared" si="101"/>
        <v>女</v>
      </c>
    </row>
    <row r="2235" spans="1:5" ht="30" customHeight="1">
      <c r="A2235" s="6">
        <v>2233</v>
      </c>
      <c r="B2235" s="7" t="str">
        <f>"29802021051123082791274"</f>
        <v>29802021051123082791274</v>
      </c>
      <c r="C2235" s="7" t="s">
        <v>17</v>
      </c>
      <c r="D2235" s="7" t="str">
        <f>"吴嘉敏"</f>
        <v>吴嘉敏</v>
      </c>
      <c r="E2235" s="7" t="str">
        <f t="shared" si="101"/>
        <v>女</v>
      </c>
    </row>
    <row r="2236" spans="1:5" ht="30" customHeight="1">
      <c r="A2236" s="6">
        <v>2234</v>
      </c>
      <c r="B2236" s="7" t="str">
        <f>"29802021051123213491300"</f>
        <v>29802021051123213491300</v>
      </c>
      <c r="C2236" s="7" t="s">
        <v>17</v>
      </c>
      <c r="D2236" s="7" t="str">
        <f>"唐小香"</f>
        <v>唐小香</v>
      </c>
      <c r="E2236" s="7" t="str">
        <f t="shared" si="101"/>
        <v>女</v>
      </c>
    </row>
    <row r="2237" spans="1:5" ht="30" customHeight="1">
      <c r="A2237" s="6">
        <v>2235</v>
      </c>
      <c r="B2237" s="7" t="str">
        <f>"29802021051123362591325"</f>
        <v>29802021051123362591325</v>
      </c>
      <c r="C2237" s="7" t="s">
        <v>17</v>
      </c>
      <c r="D2237" s="7" t="str">
        <f>"吴谢苗"</f>
        <v>吴谢苗</v>
      </c>
      <c r="E2237" s="7" t="str">
        <f t="shared" si="101"/>
        <v>女</v>
      </c>
    </row>
    <row r="2238" spans="1:5" ht="30" customHeight="1">
      <c r="A2238" s="6">
        <v>2236</v>
      </c>
      <c r="B2238" s="7" t="str">
        <f>"29802021051200314791368"</f>
        <v>29802021051200314791368</v>
      </c>
      <c r="C2238" s="7" t="s">
        <v>17</v>
      </c>
      <c r="D2238" s="7" t="str">
        <f>"陈章琳"</f>
        <v>陈章琳</v>
      </c>
      <c r="E2238" s="7" t="str">
        <f t="shared" si="101"/>
        <v>女</v>
      </c>
    </row>
    <row r="2239" spans="1:5" ht="30" customHeight="1">
      <c r="A2239" s="6">
        <v>2237</v>
      </c>
      <c r="B2239" s="7" t="str">
        <f>"29802021051208200391451"</f>
        <v>29802021051208200391451</v>
      </c>
      <c r="C2239" s="7" t="s">
        <v>17</v>
      </c>
      <c r="D2239" s="7" t="str">
        <f>"刘迪"</f>
        <v>刘迪</v>
      </c>
      <c r="E2239" s="7" t="str">
        <f t="shared" si="101"/>
        <v>女</v>
      </c>
    </row>
    <row r="2240" spans="1:5" ht="30" customHeight="1">
      <c r="A2240" s="6">
        <v>2238</v>
      </c>
      <c r="B2240" s="7" t="str">
        <f>"29802021051208220891452"</f>
        <v>29802021051208220891452</v>
      </c>
      <c r="C2240" s="7" t="s">
        <v>17</v>
      </c>
      <c r="D2240" s="7" t="str">
        <f>"吴小双"</f>
        <v>吴小双</v>
      </c>
      <c r="E2240" s="7" t="str">
        <f t="shared" si="101"/>
        <v>女</v>
      </c>
    </row>
    <row r="2241" spans="1:5" ht="30" customHeight="1">
      <c r="A2241" s="6">
        <v>2239</v>
      </c>
      <c r="B2241" s="7" t="str">
        <f>"29802021051208415491496"</f>
        <v>29802021051208415491496</v>
      </c>
      <c r="C2241" s="7" t="s">
        <v>17</v>
      </c>
      <c r="D2241" s="7" t="str">
        <f>"李可心"</f>
        <v>李可心</v>
      </c>
      <c r="E2241" s="7" t="str">
        <f t="shared" si="101"/>
        <v>女</v>
      </c>
    </row>
    <row r="2242" spans="1:5" ht="30" customHeight="1">
      <c r="A2242" s="6">
        <v>2240</v>
      </c>
      <c r="B2242" s="7" t="str">
        <f>"29802021051209131491602"</f>
        <v>29802021051209131491602</v>
      </c>
      <c r="C2242" s="7" t="s">
        <v>17</v>
      </c>
      <c r="D2242" s="7" t="str">
        <f>"林姿"</f>
        <v>林姿</v>
      </c>
      <c r="E2242" s="7" t="str">
        <f t="shared" si="101"/>
        <v>女</v>
      </c>
    </row>
    <row r="2243" spans="1:5" ht="30" customHeight="1">
      <c r="A2243" s="6">
        <v>2241</v>
      </c>
      <c r="B2243" s="7" t="str">
        <f>"29802021051209141091608"</f>
        <v>29802021051209141091608</v>
      </c>
      <c r="C2243" s="7" t="s">
        <v>17</v>
      </c>
      <c r="D2243" s="7" t="str">
        <f>"王初鸾"</f>
        <v>王初鸾</v>
      </c>
      <c r="E2243" s="7" t="str">
        <f t="shared" si="101"/>
        <v>女</v>
      </c>
    </row>
    <row r="2244" spans="1:5" ht="30" customHeight="1">
      <c r="A2244" s="6">
        <v>2242</v>
      </c>
      <c r="B2244" s="7" t="str">
        <f>"29802021051209232591641"</f>
        <v>29802021051209232591641</v>
      </c>
      <c r="C2244" s="7" t="s">
        <v>17</v>
      </c>
      <c r="D2244" s="7" t="str">
        <f>"覃杨婷"</f>
        <v>覃杨婷</v>
      </c>
      <c r="E2244" s="7" t="str">
        <f t="shared" si="101"/>
        <v>女</v>
      </c>
    </row>
    <row r="2245" spans="1:5" ht="30" customHeight="1">
      <c r="A2245" s="6">
        <v>2243</v>
      </c>
      <c r="B2245" s="7" t="str">
        <f>"29802021051209334391684"</f>
        <v>29802021051209334391684</v>
      </c>
      <c r="C2245" s="7" t="s">
        <v>17</v>
      </c>
      <c r="D2245" s="7" t="str">
        <f>"陈美伶"</f>
        <v>陈美伶</v>
      </c>
      <c r="E2245" s="7" t="str">
        <f t="shared" si="101"/>
        <v>女</v>
      </c>
    </row>
    <row r="2246" spans="1:5" ht="30" customHeight="1">
      <c r="A2246" s="6">
        <v>2244</v>
      </c>
      <c r="B2246" s="7" t="str">
        <f>"29802021051209360691696"</f>
        <v>29802021051209360691696</v>
      </c>
      <c r="C2246" s="7" t="s">
        <v>17</v>
      </c>
      <c r="D2246" s="7" t="str">
        <f>"林超"</f>
        <v>林超</v>
      </c>
      <c r="E2246" s="7" t="str">
        <f t="shared" si="101"/>
        <v>女</v>
      </c>
    </row>
    <row r="2247" spans="1:5" ht="30" customHeight="1">
      <c r="A2247" s="6">
        <v>2245</v>
      </c>
      <c r="B2247" s="7" t="str">
        <f>"29802021051209421391725"</f>
        <v>29802021051209421391725</v>
      </c>
      <c r="C2247" s="7" t="s">
        <v>17</v>
      </c>
      <c r="D2247" s="7" t="str">
        <f>"童碧欣"</f>
        <v>童碧欣</v>
      </c>
      <c r="E2247" s="7" t="str">
        <f t="shared" si="101"/>
        <v>女</v>
      </c>
    </row>
    <row r="2248" spans="1:5" ht="30" customHeight="1">
      <c r="A2248" s="6">
        <v>2246</v>
      </c>
      <c r="B2248" s="7" t="str">
        <f>"29802021051210005091808"</f>
        <v>29802021051210005091808</v>
      </c>
      <c r="C2248" s="7" t="s">
        <v>17</v>
      </c>
      <c r="D2248" s="7" t="str">
        <f>"王春金"</f>
        <v>王春金</v>
      </c>
      <c r="E2248" s="7" t="str">
        <f t="shared" si="101"/>
        <v>女</v>
      </c>
    </row>
    <row r="2249" spans="1:5" ht="30" customHeight="1">
      <c r="A2249" s="6">
        <v>2247</v>
      </c>
      <c r="B2249" s="7" t="str">
        <f>"29802021051210171491889"</f>
        <v>29802021051210171491889</v>
      </c>
      <c r="C2249" s="7" t="s">
        <v>17</v>
      </c>
      <c r="D2249" s="7" t="str">
        <f>"文玉"</f>
        <v>文玉</v>
      </c>
      <c r="E2249" s="7" t="str">
        <f t="shared" si="101"/>
        <v>女</v>
      </c>
    </row>
    <row r="2250" spans="1:5" ht="30" customHeight="1">
      <c r="A2250" s="6">
        <v>2248</v>
      </c>
      <c r="B2250" s="7" t="str">
        <f>"29802021051210302591954"</f>
        <v>29802021051210302591954</v>
      </c>
      <c r="C2250" s="7" t="s">
        <v>17</v>
      </c>
      <c r="D2250" s="7" t="str">
        <f>"韦温馨"</f>
        <v>韦温馨</v>
      </c>
      <c r="E2250" s="7" t="str">
        <f t="shared" si="101"/>
        <v>女</v>
      </c>
    </row>
    <row r="2251" spans="1:5" ht="30" customHeight="1">
      <c r="A2251" s="6">
        <v>2249</v>
      </c>
      <c r="B2251" s="7" t="str">
        <f>"29802021051210305591957"</f>
        <v>29802021051210305591957</v>
      </c>
      <c r="C2251" s="7" t="s">
        <v>17</v>
      </c>
      <c r="D2251" s="7" t="str">
        <f>"李秋"</f>
        <v>李秋</v>
      </c>
      <c r="E2251" s="7" t="str">
        <f t="shared" si="101"/>
        <v>女</v>
      </c>
    </row>
    <row r="2252" spans="1:5" ht="30" customHeight="1">
      <c r="A2252" s="6">
        <v>2250</v>
      </c>
      <c r="B2252" s="7" t="str">
        <f>"29802021051210331091968"</f>
        <v>29802021051210331091968</v>
      </c>
      <c r="C2252" s="7" t="s">
        <v>17</v>
      </c>
      <c r="D2252" s="7" t="str">
        <f>"卢兰珍"</f>
        <v>卢兰珍</v>
      </c>
      <c r="E2252" s="7" t="str">
        <f t="shared" si="101"/>
        <v>女</v>
      </c>
    </row>
    <row r="2253" spans="1:5" ht="30" customHeight="1">
      <c r="A2253" s="6">
        <v>2251</v>
      </c>
      <c r="B2253" s="7" t="str">
        <f>"29802021051210333491969"</f>
        <v>29802021051210333491969</v>
      </c>
      <c r="C2253" s="7" t="s">
        <v>17</v>
      </c>
      <c r="D2253" s="7" t="str">
        <f>"胡琳琳"</f>
        <v>胡琳琳</v>
      </c>
      <c r="E2253" s="7" t="str">
        <f t="shared" si="101"/>
        <v>女</v>
      </c>
    </row>
    <row r="2254" spans="1:5" ht="30" customHeight="1">
      <c r="A2254" s="6">
        <v>2252</v>
      </c>
      <c r="B2254" s="7" t="str">
        <f>"29802021051210455092033"</f>
        <v>29802021051210455092033</v>
      </c>
      <c r="C2254" s="7" t="s">
        <v>17</v>
      </c>
      <c r="D2254" s="7" t="str">
        <f>"汤博芬"</f>
        <v>汤博芬</v>
      </c>
      <c r="E2254" s="7" t="str">
        <f t="shared" si="101"/>
        <v>女</v>
      </c>
    </row>
    <row r="2255" spans="1:5" ht="30" customHeight="1">
      <c r="A2255" s="6">
        <v>2253</v>
      </c>
      <c r="B2255" s="7" t="str">
        <f>"29802021051210545392099"</f>
        <v>29802021051210545392099</v>
      </c>
      <c r="C2255" s="7" t="s">
        <v>17</v>
      </c>
      <c r="D2255" s="7" t="str">
        <f>"王云霞"</f>
        <v>王云霞</v>
      </c>
      <c r="E2255" s="7" t="str">
        <f t="shared" si="101"/>
        <v>女</v>
      </c>
    </row>
    <row r="2256" spans="1:5" ht="30" customHeight="1">
      <c r="A2256" s="6">
        <v>2254</v>
      </c>
      <c r="B2256" s="7" t="str">
        <f>"29802021051211092992159"</f>
        <v>29802021051211092992159</v>
      </c>
      <c r="C2256" s="7" t="s">
        <v>17</v>
      </c>
      <c r="D2256" s="7" t="str">
        <f>"韦晓羽"</f>
        <v>韦晓羽</v>
      </c>
      <c r="E2256" s="7" t="str">
        <f t="shared" si="101"/>
        <v>女</v>
      </c>
    </row>
    <row r="2257" spans="1:5" ht="30" customHeight="1">
      <c r="A2257" s="6">
        <v>2255</v>
      </c>
      <c r="B2257" s="7" t="str">
        <f>"29802021051211161992187"</f>
        <v>29802021051211161992187</v>
      </c>
      <c r="C2257" s="7" t="s">
        <v>17</v>
      </c>
      <c r="D2257" s="7" t="str">
        <f>"王小燕"</f>
        <v>王小燕</v>
      </c>
      <c r="E2257" s="7" t="str">
        <f t="shared" si="101"/>
        <v>女</v>
      </c>
    </row>
    <row r="2258" spans="1:5" ht="30" customHeight="1">
      <c r="A2258" s="6">
        <v>2256</v>
      </c>
      <c r="B2258" s="7" t="str">
        <f>"29802021051211191892200"</f>
        <v>29802021051211191892200</v>
      </c>
      <c r="C2258" s="7" t="s">
        <v>17</v>
      </c>
      <c r="D2258" s="7" t="str">
        <f>"刘亚芹"</f>
        <v>刘亚芹</v>
      </c>
      <c r="E2258" s="7" t="str">
        <f t="shared" si="101"/>
        <v>女</v>
      </c>
    </row>
    <row r="2259" spans="1:5" ht="30" customHeight="1">
      <c r="A2259" s="6">
        <v>2257</v>
      </c>
      <c r="B2259" s="7" t="str">
        <f>"29802021051211212992211"</f>
        <v>29802021051211212992211</v>
      </c>
      <c r="C2259" s="7" t="s">
        <v>17</v>
      </c>
      <c r="D2259" s="7" t="str">
        <f>"王秀清"</f>
        <v>王秀清</v>
      </c>
      <c r="E2259" s="7" t="str">
        <f t="shared" si="101"/>
        <v>女</v>
      </c>
    </row>
    <row r="2260" spans="1:5" ht="30" customHeight="1">
      <c r="A2260" s="6">
        <v>2258</v>
      </c>
      <c r="B2260" s="7" t="str">
        <f>"29802021051211303992251"</f>
        <v>29802021051211303992251</v>
      </c>
      <c r="C2260" s="7" t="s">
        <v>17</v>
      </c>
      <c r="D2260" s="7" t="str">
        <f>"符艳姣"</f>
        <v>符艳姣</v>
      </c>
      <c r="E2260" s="7" t="str">
        <f t="shared" si="101"/>
        <v>女</v>
      </c>
    </row>
    <row r="2261" spans="1:5" ht="30" customHeight="1">
      <c r="A2261" s="6">
        <v>2259</v>
      </c>
      <c r="B2261" s="7" t="str">
        <f>"29802021051211505792323"</f>
        <v>29802021051211505792323</v>
      </c>
      <c r="C2261" s="7" t="s">
        <v>17</v>
      </c>
      <c r="D2261" s="7" t="str">
        <f>"邢维娜"</f>
        <v>邢维娜</v>
      </c>
      <c r="E2261" s="7" t="str">
        <f t="shared" si="101"/>
        <v>女</v>
      </c>
    </row>
    <row r="2262" spans="1:5" ht="30" customHeight="1">
      <c r="A2262" s="6">
        <v>2260</v>
      </c>
      <c r="B2262" s="7" t="str">
        <f>"29802021051212051792364"</f>
        <v>29802021051212051792364</v>
      </c>
      <c r="C2262" s="7" t="s">
        <v>17</v>
      </c>
      <c r="D2262" s="7" t="str">
        <f>"陈雪娇"</f>
        <v>陈雪娇</v>
      </c>
      <c r="E2262" s="7" t="str">
        <f t="shared" si="101"/>
        <v>女</v>
      </c>
    </row>
    <row r="2263" spans="1:5" ht="30" customHeight="1">
      <c r="A2263" s="6">
        <v>2261</v>
      </c>
      <c r="B2263" s="7" t="str">
        <f>"29802021051212192192394"</f>
        <v>29802021051212192192394</v>
      </c>
      <c r="C2263" s="7" t="s">
        <v>17</v>
      </c>
      <c r="D2263" s="7" t="str">
        <f>"王南阶"</f>
        <v>王南阶</v>
      </c>
      <c r="E2263" s="7" t="str">
        <f t="shared" si="101"/>
        <v>女</v>
      </c>
    </row>
    <row r="2264" spans="1:5" ht="30" customHeight="1">
      <c r="A2264" s="6">
        <v>2262</v>
      </c>
      <c r="B2264" s="7" t="str">
        <f>"29802021051213245292604"</f>
        <v>29802021051213245292604</v>
      </c>
      <c r="C2264" s="7" t="s">
        <v>17</v>
      </c>
      <c r="D2264" s="7" t="str">
        <f>"黄晓虹"</f>
        <v>黄晓虹</v>
      </c>
      <c r="E2264" s="7" t="str">
        <f t="shared" si="101"/>
        <v>女</v>
      </c>
    </row>
    <row r="2265" spans="1:5" ht="30" customHeight="1">
      <c r="A2265" s="6">
        <v>2263</v>
      </c>
      <c r="B2265" s="7" t="str">
        <f>"29802021051215113692848"</f>
        <v>29802021051215113692848</v>
      </c>
      <c r="C2265" s="7" t="s">
        <v>17</v>
      </c>
      <c r="D2265" s="7" t="str">
        <f>"陈慧"</f>
        <v>陈慧</v>
      </c>
      <c r="E2265" s="7" t="str">
        <f t="shared" si="101"/>
        <v>女</v>
      </c>
    </row>
    <row r="2266" spans="1:5" ht="30" customHeight="1">
      <c r="A2266" s="6">
        <v>2264</v>
      </c>
      <c r="B2266" s="7" t="str">
        <f>"29802021051215251692913"</f>
        <v>29802021051215251692913</v>
      </c>
      <c r="C2266" s="7" t="s">
        <v>17</v>
      </c>
      <c r="D2266" s="7" t="str">
        <f>"练丽萍"</f>
        <v>练丽萍</v>
      </c>
      <c r="E2266" s="7" t="str">
        <f t="shared" si="101"/>
        <v>女</v>
      </c>
    </row>
    <row r="2267" spans="1:5" ht="30" customHeight="1">
      <c r="A2267" s="6">
        <v>2265</v>
      </c>
      <c r="B2267" s="7" t="str">
        <f>"29802021051215253892915"</f>
        <v>29802021051215253892915</v>
      </c>
      <c r="C2267" s="7" t="s">
        <v>17</v>
      </c>
      <c r="D2267" s="7" t="str">
        <f>"聂凤云"</f>
        <v>聂凤云</v>
      </c>
      <c r="E2267" s="7" t="str">
        <f t="shared" si="101"/>
        <v>女</v>
      </c>
    </row>
    <row r="2268" spans="1:5" ht="30" customHeight="1">
      <c r="A2268" s="6">
        <v>2266</v>
      </c>
      <c r="B2268" s="7" t="str">
        <f>"29802021051215272792919"</f>
        <v>29802021051215272792919</v>
      </c>
      <c r="C2268" s="7" t="s">
        <v>17</v>
      </c>
      <c r="D2268" s="7" t="str">
        <f>"陈雅姿"</f>
        <v>陈雅姿</v>
      </c>
      <c r="E2268" s="7" t="str">
        <f t="shared" si="101"/>
        <v>女</v>
      </c>
    </row>
    <row r="2269" spans="1:5" ht="30" customHeight="1">
      <c r="A2269" s="6">
        <v>2267</v>
      </c>
      <c r="B2269" s="7" t="str">
        <f>"29802021051215360192955"</f>
        <v>29802021051215360192955</v>
      </c>
      <c r="C2269" s="7" t="s">
        <v>17</v>
      </c>
      <c r="D2269" s="7" t="str">
        <f>"林芳妃"</f>
        <v>林芳妃</v>
      </c>
      <c r="E2269" s="7" t="str">
        <f t="shared" si="101"/>
        <v>女</v>
      </c>
    </row>
    <row r="2270" spans="1:5" ht="30" customHeight="1">
      <c r="A2270" s="6">
        <v>2268</v>
      </c>
      <c r="B2270" s="7" t="str">
        <f>"29802021051216123893091"</f>
        <v>29802021051216123893091</v>
      </c>
      <c r="C2270" s="7" t="s">
        <v>17</v>
      </c>
      <c r="D2270" s="7" t="str">
        <f>"陈少娥"</f>
        <v>陈少娥</v>
      </c>
      <c r="E2270" s="7" t="str">
        <f t="shared" si="101"/>
        <v>女</v>
      </c>
    </row>
    <row r="2271" spans="1:5" ht="30" customHeight="1">
      <c r="A2271" s="6">
        <v>2269</v>
      </c>
      <c r="B2271" s="7" t="str">
        <f>"29802021051216142693099"</f>
        <v>29802021051216142693099</v>
      </c>
      <c r="C2271" s="7" t="s">
        <v>17</v>
      </c>
      <c r="D2271" s="7" t="str">
        <f>"曹林格"</f>
        <v>曹林格</v>
      </c>
      <c r="E2271" s="7" t="str">
        <f t="shared" si="101"/>
        <v>女</v>
      </c>
    </row>
    <row r="2272" spans="1:5" ht="30" customHeight="1">
      <c r="A2272" s="6">
        <v>2270</v>
      </c>
      <c r="B2272" s="7" t="str">
        <f>"29802021051216424993227"</f>
        <v>29802021051216424993227</v>
      </c>
      <c r="C2272" s="7" t="s">
        <v>17</v>
      </c>
      <c r="D2272" s="7" t="str">
        <f>"吴彦梅"</f>
        <v>吴彦梅</v>
      </c>
      <c r="E2272" s="7" t="str">
        <f t="shared" si="101"/>
        <v>女</v>
      </c>
    </row>
    <row r="2273" spans="1:5" ht="30" customHeight="1">
      <c r="A2273" s="6">
        <v>2271</v>
      </c>
      <c r="B2273" s="7" t="str">
        <f>"29802021051217075093337"</f>
        <v>29802021051217075093337</v>
      </c>
      <c r="C2273" s="7" t="s">
        <v>17</v>
      </c>
      <c r="D2273" s="7" t="str">
        <f>"吴捷"</f>
        <v>吴捷</v>
      </c>
      <c r="E2273" s="7" t="str">
        <f t="shared" si="101"/>
        <v>女</v>
      </c>
    </row>
    <row r="2274" spans="1:5" ht="30" customHeight="1">
      <c r="A2274" s="6">
        <v>2272</v>
      </c>
      <c r="B2274" s="7" t="str">
        <f>"29802021051217430993444"</f>
        <v>29802021051217430993444</v>
      </c>
      <c r="C2274" s="7" t="s">
        <v>17</v>
      </c>
      <c r="D2274" s="7" t="str">
        <f>"翁德玉"</f>
        <v>翁德玉</v>
      </c>
      <c r="E2274" s="7" t="str">
        <f t="shared" si="101"/>
        <v>女</v>
      </c>
    </row>
    <row r="2275" spans="1:5" ht="30" customHeight="1">
      <c r="A2275" s="6">
        <v>2273</v>
      </c>
      <c r="B2275" s="7" t="str">
        <f>"29802021051218132193501"</f>
        <v>29802021051218132193501</v>
      </c>
      <c r="C2275" s="7" t="s">
        <v>17</v>
      </c>
      <c r="D2275" s="7" t="str">
        <f>"符春令"</f>
        <v>符春令</v>
      </c>
      <c r="E2275" s="7" t="str">
        <f t="shared" si="101"/>
        <v>女</v>
      </c>
    </row>
    <row r="2276" spans="1:5" ht="30" customHeight="1">
      <c r="A2276" s="6">
        <v>2274</v>
      </c>
      <c r="B2276" s="7" t="str">
        <f>"29802021051218332493545"</f>
        <v>29802021051218332493545</v>
      </c>
      <c r="C2276" s="7" t="s">
        <v>17</v>
      </c>
      <c r="D2276" s="7" t="str">
        <f>" 赵明霞"</f>
        <v> 赵明霞</v>
      </c>
      <c r="E2276" s="7" t="str">
        <f t="shared" si="101"/>
        <v>女</v>
      </c>
    </row>
    <row r="2277" spans="1:5" ht="30" customHeight="1">
      <c r="A2277" s="6">
        <v>2275</v>
      </c>
      <c r="B2277" s="7" t="str">
        <f>"29802021051219012993594"</f>
        <v>29802021051219012993594</v>
      </c>
      <c r="C2277" s="7" t="s">
        <v>17</v>
      </c>
      <c r="D2277" s="7" t="str">
        <f>"周宝旧"</f>
        <v>周宝旧</v>
      </c>
      <c r="E2277" s="7" t="str">
        <f t="shared" si="101"/>
        <v>女</v>
      </c>
    </row>
    <row r="2278" spans="1:5" ht="30" customHeight="1">
      <c r="A2278" s="6">
        <v>2276</v>
      </c>
      <c r="B2278" s="7" t="str">
        <f>"29802021051219093393606"</f>
        <v>29802021051219093393606</v>
      </c>
      <c r="C2278" s="7" t="s">
        <v>17</v>
      </c>
      <c r="D2278" s="7" t="str">
        <f>"李俏"</f>
        <v>李俏</v>
      </c>
      <c r="E2278" s="7" t="str">
        <f t="shared" si="101"/>
        <v>女</v>
      </c>
    </row>
    <row r="2279" spans="1:5" ht="30" customHeight="1">
      <c r="A2279" s="6">
        <v>2277</v>
      </c>
      <c r="B2279" s="7" t="str">
        <f>"29802021051219395593651"</f>
        <v>29802021051219395593651</v>
      </c>
      <c r="C2279" s="7" t="s">
        <v>17</v>
      </c>
      <c r="D2279" s="7" t="str">
        <f>"周岁岁"</f>
        <v>周岁岁</v>
      </c>
      <c r="E2279" s="7" t="str">
        <f t="shared" si="101"/>
        <v>女</v>
      </c>
    </row>
    <row r="2280" spans="1:5" ht="30" customHeight="1">
      <c r="A2280" s="6">
        <v>2278</v>
      </c>
      <c r="B2280" s="7" t="str">
        <f>"29802021051219472093673"</f>
        <v>29802021051219472093673</v>
      </c>
      <c r="C2280" s="7" t="s">
        <v>17</v>
      </c>
      <c r="D2280" s="7" t="str">
        <f>"秦少凤"</f>
        <v>秦少凤</v>
      </c>
      <c r="E2280" s="7" t="str">
        <f t="shared" si="101"/>
        <v>女</v>
      </c>
    </row>
    <row r="2281" spans="1:5" ht="30" customHeight="1">
      <c r="A2281" s="6">
        <v>2279</v>
      </c>
      <c r="B2281" s="7" t="str">
        <f>"29802021051220130893721"</f>
        <v>29802021051220130893721</v>
      </c>
      <c r="C2281" s="7" t="s">
        <v>17</v>
      </c>
      <c r="D2281" s="7" t="str">
        <f>"符妹"</f>
        <v>符妹</v>
      </c>
      <c r="E2281" s="7" t="str">
        <f t="shared" si="101"/>
        <v>女</v>
      </c>
    </row>
    <row r="2282" spans="1:5" ht="30" customHeight="1">
      <c r="A2282" s="6">
        <v>2280</v>
      </c>
      <c r="B2282" s="7" t="str">
        <f>"29802021051220360793780"</f>
        <v>29802021051220360793780</v>
      </c>
      <c r="C2282" s="7" t="s">
        <v>17</v>
      </c>
      <c r="D2282" s="7" t="str">
        <f>"陈苗"</f>
        <v>陈苗</v>
      </c>
      <c r="E2282" s="7" t="str">
        <f t="shared" si="101"/>
        <v>女</v>
      </c>
    </row>
    <row r="2283" spans="1:5" ht="30" customHeight="1">
      <c r="A2283" s="6">
        <v>2281</v>
      </c>
      <c r="B2283" s="7" t="str">
        <f>"29802021051220570593827"</f>
        <v>29802021051220570593827</v>
      </c>
      <c r="C2283" s="7" t="s">
        <v>17</v>
      </c>
      <c r="D2283" s="7" t="str">
        <f>"林晶晶"</f>
        <v>林晶晶</v>
      </c>
      <c r="E2283" s="7" t="str">
        <f t="shared" si="101"/>
        <v>女</v>
      </c>
    </row>
    <row r="2284" spans="1:5" ht="30" customHeight="1">
      <c r="A2284" s="6">
        <v>2282</v>
      </c>
      <c r="B2284" s="7" t="str">
        <f>"29802021051221075593853"</f>
        <v>29802021051221075593853</v>
      </c>
      <c r="C2284" s="7" t="s">
        <v>17</v>
      </c>
      <c r="D2284" s="7" t="str">
        <f>"麦璇"</f>
        <v>麦璇</v>
      </c>
      <c r="E2284" s="7" t="str">
        <f t="shared" si="101"/>
        <v>女</v>
      </c>
    </row>
    <row r="2285" spans="1:5" ht="30" customHeight="1">
      <c r="A2285" s="6">
        <v>2283</v>
      </c>
      <c r="B2285" s="7" t="str">
        <f>"29802021051221374593937"</f>
        <v>29802021051221374593937</v>
      </c>
      <c r="C2285" s="7" t="s">
        <v>17</v>
      </c>
      <c r="D2285" s="7" t="str">
        <f>"梁玉"</f>
        <v>梁玉</v>
      </c>
      <c r="E2285" s="7" t="str">
        <f t="shared" si="101"/>
        <v>女</v>
      </c>
    </row>
    <row r="2286" spans="1:5" ht="30" customHeight="1">
      <c r="A2286" s="6">
        <v>2284</v>
      </c>
      <c r="B2286" s="7" t="str">
        <f>"29802021051221440693951"</f>
        <v>29802021051221440693951</v>
      </c>
      <c r="C2286" s="7" t="s">
        <v>17</v>
      </c>
      <c r="D2286" s="7" t="str">
        <f>"王蔚"</f>
        <v>王蔚</v>
      </c>
      <c r="E2286" s="7" t="str">
        <f aca="true" t="shared" si="102" ref="E2286:E2349">"女"</f>
        <v>女</v>
      </c>
    </row>
    <row r="2287" spans="1:5" ht="30" customHeight="1">
      <c r="A2287" s="6">
        <v>2285</v>
      </c>
      <c r="B2287" s="7" t="str">
        <f>"29802021051221484893966"</f>
        <v>29802021051221484893966</v>
      </c>
      <c r="C2287" s="7" t="s">
        <v>17</v>
      </c>
      <c r="D2287" s="7" t="str">
        <f>"薛春驳"</f>
        <v>薛春驳</v>
      </c>
      <c r="E2287" s="7" t="str">
        <f t="shared" si="102"/>
        <v>女</v>
      </c>
    </row>
    <row r="2288" spans="1:5" ht="30" customHeight="1">
      <c r="A2288" s="6">
        <v>2286</v>
      </c>
      <c r="B2288" s="7" t="str">
        <f>"29802021051222024893999"</f>
        <v>29802021051222024893999</v>
      </c>
      <c r="C2288" s="7" t="s">
        <v>17</v>
      </c>
      <c r="D2288" s="7" t="str">
        <f>"吴舒雅"</f>
        <v>吴舒雅</v>
      </c>
      <c r="E2288" s="7" t="str">
        <f t="shared" si="102"/>
        <v>女</v>
      </c>
    </row>
    <row r="2289" spans="1:5" ht="30" customHeight="1">
      <c r="A2289" s="6">
        <v>2287</v>
      </c>
      <c r="B2289" s="7" t="str">
        <f>"29802021051222120994021"</f>
        <v>29802021051222120994021</v>
      </c>
      <c r="C2289" s="7" t="s">
        <v>17</v>
      </c>
      <c r="D2289" s="7" t="str">
        <f>"文发妹"</f>
        <v>文发妹</v>
      </c>
      <c r="E2289" s="7" t="str">
        <f t="shared" si="102"/>
        <v>女</v>
      </c>
    </row>
    <row r="2290" spans="1:5" ht="30" customHeight="1">
      <c r="A2290" s="6">
        <v>2288</v>
      </c>
      <c r="B2290" s="7" t="str">
        <f>"29802021051222184594045"</f>
        <v>29802021051222184594045</v>
      </c>
      <c r="C2290" s="7" t="s">
        <v>17</v>
      </c>
      <c r="D2290" s="7" t="str">
        <f>"吴晓红"</f>
        <v>吴晓红</v>
      </c>
      <c r="E2290" s="7" t="str">
        <f t="shared" si="102"/>
        <v>女</v>
      </c>
    </row>
    <row r="2291" spans="1:5" ht="30" customHeight="1">
      <c r="A2291" s="6">
        <v>2289</v>
      </c>
      <c r="B2291" s="7" t="str">
        <f>"29802021051222200594048"</f>
        <v>29802021051222200594048</v>
      </c>
      <c r="C2291" s="7" t="s">
        <v>17</v>
      </c>
      <c r="D2291" s="7" t="str">
        <f>"卢皇玲"</f>
        <v>卢皇玲</v>
      </c>
      <c r="E2291" s="7" t="str">
        <f t="shared" si="102"/>
        <v>女</v>
      </c>
    </row>
    <row r="2292" spans="1:5" ht="30" customHeight="1">
      <c r="A2292" s="6">
        <v>2290</v>
      </c>
      <c r="B2292" s="7" t="str">
        <f>"29802021051222381394074"</f>
        <v>29802021051222381394074</v>
      </c>
      <c r="C2292" s="7" t="s">
        <v>17</v>
      </c>
      <c r="D2292" s="7" t="str">
        <f>"林文英"</f>
        <v>林文英</v>
      </c>
      <c r="E2292" s="7" t="str">
        <f t="shared" si="102"/>
        <v>女</v>
      </c>
    </row>
    <row r="2293" spans="1:5" ht="30" customHeight="1">
      <c r="A2293" s="6">
        <v>2291</v>
      </c>
      <c r="B2293" s="7" t="str">
        <f>"29802021051222401594077"</f>
        <v>29802021051222401594077</v>
      </c>
      <c r="C2293" s="7" t="s">
        <v>17</v>
      </c>
      <c r="D2293" s="7" t="str">
        <f>"李香琼"</f>
        <v>李香琼</v>
      </c>
      <c r="E2293" s="7" t="str">
        <f t="shared" si="102"/>
        <v>女</v>
      </c>
    </row>
    <row r="2294" spans="1:5" ht="30" customHeight="1">
      <c r="A2294" s="6">
        <v>2292</v>
      </c>
      <c r="B2294" s="7" t="str">
        <f>"29802021051222414894086"</f>
        <v>29802021051222414894086</v>
      </c>
      <c r="C2294" s="7" t="s">
        <v>17</v>
      </c>
      <c r="D2294" s="7" t="str">
        <f>"陈瑞玲"</f>
        <v>陈瑞玲</v>
      </c>
      <c r="E2294" s="7" t="str">
        <f t="shared" si="102"/>
        <v>女</v>
      </c>
    </row>
    <row r="2295" spans="1:5" ht="30" customHeight="1">
      <c r="A2295" s="6">
        <v>2293</v>
      </c>
      <c r="B2295" s="7" t="str">
        <f>"29802021051223325994191"</f>
        <v>29802021051223325994191</v>
      </c>
      <c r="C2295" s="7" t="s">
        <v>17</v>
      </c>
      <c r="D2295" s="7" t="str">
        <f>"张诗婷"</f>
        <v>张诗婷</v>
      </c>
      <c r="E2295" s="7" t="str">
        <f t="shared" si="102"/>
        <v>女</v>
      </c>
    </row>
    <row r="2296" spans="1:5" ht="30" customHeight="1">
      <c r="A2296" s="6">
        <v>2294</v>
      </c>
      <c r="B2296" s="7" t="str">
        <f>"29802021051307370394272"</f>
        <v>29802021051307370394272</v>
      </c>
      <c r="C2296" s="7" t="s">
        <v>17</v>
      </c>
      <c r="D2296" s="7" t="str">
        <f>"王敏"</f>
        <v>王敏</v>
      </c>
      <c r="E2296" s="7" t="str">
        <f t="shared" si="102"/>
        <v>女</v>
      </c>
    </row>
    <row r="2297" spans="1:5" ht="30" customHeight="1">
      <c r="A2297" s="6">
        <v>2295</v>
      </c>
      <c r="B2297" s="7" t="str">
        <f>"29802021051308222694307"</f>
        <v>29802021051308222694307</v>
      </c>
      <c r="C2297" s="7" t="s">
        <v>17</v>
      </c>
      <c r="D2297" s="7" t="str">
        <f>"李文莹"</f>
        <v>李文莹</v>
      </c>
      <c r="E2297" s="7" t="str">
        <f t="shared" si="102"/>
        <v>女</v>
      </c>
    </row>
    <row r="2298" spans="1:5" ht="30" customHeight="1">
      <c r="A2298" s="6">
        <v>2296</v>
      </c>
      <c r="B2298" s="7" t="str">
        <f>"29802021051308392194340"</f>
        <v>29802021051308392194340</v>
      </c>
      <c r="C2298" s="7" t="s">
        <v>17</v>
      </c>
      <c r="D2298" s="7" t="str">
        <f>"徐永玲"</f>
        <v>徐永玲</v>
      </c>
      <c r="E2298" s="7" t="str">
        <f t="shared" si="102"/>
        <v>女</v>
      </c>
    </row>
    <row r="2299" spans="1:5" ht="30" customHeight="1">
      <c r="A2299" s="6">
        <v>2297</v>
      </c>
      <c r="B2299" s="7" t="str">
        <f>"29802021051309160694433"</f>
        <v>29802021051309160694433</v>
      </c>
      <c r="C2299" s="7" t="s">
        <v>17</v>
      </c>
      <c r="D2299" s="7" t="str">
        <f>"唐琳"</f>
        <v>唐琳</v>
      </c>
      <c r="E2299" s="7" t="str">
        <f t="shared" si="102"/>
        <v>女</v>
      </c>
    </row>
    <row r="2300" spans="1:5" ht="30" customHeight="1">
      <c r="A2300" s="6">
        <v>2298</v>
      </c>
      <c r="B2300" s="7" t="str">
        <f>"29802021051309461394523"</f>
        <v>29802021051309461394523</v>
      </c>
      <c r="C2300" s="7" t="s">
        <v>17</v>
      </c>
      <c r="D2300" s="7" t="str">
        <f>"吴媛皎"</f>
        <v>吴媛皎</v>
      </c>
      <c r="E2300" s="7" t="str">
        <f t="shared" si="102"/>
        <v>女</v>
      </c>
    </row>
    <row r="2301" spans="1:5" ht="30" customHeight="1">
      <c r="A2301" s="6">
        <v>2299</v>
      </c>
      <c r="B2301" s="7" t="str">
        <f>"29802021051310405694695"</f>
        <v>29802021051310405694695</v>
      </c>
      <c r="C2301" s="7" t="s">
        <v>17</v>
      </c>
      <c r="D2301" s="7" t="str">
        <f>"梁敏"</f>
        <v>梁敏</v>
      </c>
      <c r="E2301" s="7" t="str">
        <f t="shared" si="102"/>
        <v>女</v>
      </c>
    </row>
    <row r="2302" spans="1:5" ht="30" customHeight="1">
      <c r="A2302" s="6">
        <v>2300</v>
      </c>
      <c r="B2302" s="7" t="str">
        <f>"29802021051310460294712"</f>
        <v>29802021051310460294712</v>
      </c>
      <c r="C2302" s="7" t="s">
        <v>17</v>
      </c>
      <c r="D2302" s="7" t="str">
        <f>"李小珍"</f>
        <v>李小珍</v>
      </c>
      <c r="E2302" s="7" t="str">
        <f t="shared" si="102"/>
        <v>女</v>
      </c>
    </row>
    <row r="2303" spans="1:5" ht="30" customHeight="1">
      <c r="A2303" s="6">
        <v>2301</v>
      </c>
      <c r="B2303" s="7" t="str">
        <f>"29802021051310470594720"</f>
        <v>29802021051310470594720</v>
      </c>
      <c r="C2303" s="7" t="s">
        <v>17</v>
      </c>
      <c r="D2303" s="7" t="str">
        <f>"钟小珍"</f>
        <v>钟小珍</v>
      </c>
      <c r="E2303" s="7" t="str">
        <f t="shared" si="102"/>
        <v>女</v>
      </c>
    </row>
    <row r="2304" spans="1:5" ht="30" customHeight="1">
      <c r="A2304" s="6">
        <v>2302</v>
      </c>
      <c r="B2304" s="7" t="str">
        <f>"29802021051311175594836"</f>
        <v>29802021051311175594836</v>
      </c>
      <c r="C2304" s="7" t="s">
        <v>17</v>
      </c>
      <c r="D2304" s="7" t="str">
        <f>"王丹玉"</f>
        <v>王丹玉</v>
      </c>
      <c r="E2304" s="7" t="str">
        <f t="shared" si="102"/>
        <v>女</v>
      </c>
    </row>
    <row r="2305" spans="1:5" ht="30" customHeight="1">
      <c r="A2305" s="6">
        <v>2303</v>
      </c>
      <c r="B2305" s="7" t="str">
        <f>"29802021051311491094917"</f>
        <v>29802021051311491094917</v>
      </c>
      <c r="C2305" s="7" t="s">
        <v>17</v>
      </c>
      <c r="D2305" s="7" t="str">
        <f>"张莹"</f>
        <v>张莹</v>
      </c>
      <c r="E2305" s="7" t="str">
        <f t="shared" si="102"/>
        <v>女</v>
      </c>
    </row>
    <row r="2306" spans="1:5" ht="30" customHeight="1">
      <c r="A2306" s="6">
        <v>2304</v>
      </c>
      <c r="B2306" s="7" t="str">
        <f>"29802021051311524394923"</f>
        <v>29802021051311524394923</v>
      </c>
      <c r="C2306" s="7" t="s">
        <v>17</v>
      </c>
      <c r="D2306" s="7" t="str">
        <f>"苏丽燕"</f>
        <v>苏丽燕</v>
      </c>
      <c r="E2306" s="7" t="str">
        <f t="shared" si="102"/>
        <v>女</v>
      </c>
    </row>
    <row r="2307" spans="1:5" ht="30" customHeight="1">
      <c r="A2307" s="6">
        <v>2305</v>
      </c>
      <c r="B2307" s="7" t="str">
        <f>"29802021051312584395035"</f>
        <v>29802021051312584395035</v>
      </c>
      <c r="C2307" s="7" t="s">
        <v>17</v>
      </c>
      <c r="D2307" s="7" t="str">
        <f>"冯丽朱"</f>
        <v>冯丽朱</v>
      </c>
      <c r="E2307" s="7" t="str">
        <f t="shared" si="102"/>
        <v>女</v>
      </c>
    </row>
    <row r="2308" spans="1:5" ht="30" customHeight="1">
      <c r="A2308" s="6">
        <v>2306</v>
      </c>
      <c r="B2308" s="7" t="str">
        <f>"29802021051313331595089"</f>
        <v>29802021051313331595089</v>
      </c>
      <c r="C2308" s="7" t="s">
        <v>17</v>
      </c>
      <c r="D2308" s="7" t="str">
        <f>"熊玫"</f>
        <v>熊玫</v>
      </c>
      <c r="E2308" s="7" t="str">
        <f t="shared" si="102"/>
        <v>女</v>
      </c>
    </row>
    <row r="2309" spans="1:5" ht="30" customHeight="1">
      <c r="A2309" s="6">
        <v>2307</v>
      </c>
      <c r="B2309" s="7" t="str">
        <f>"29802021051314090195142"</f>
        <v>29802021051314090195142</v>
      </c>
      <c r="C2309" s="7" t="s">
        <v>17</v>
      </c>
      <c r="D2309" s="7" t="str">
        <f>"洪雪花"</f>
        <v>洪雪花</v>
      </c>
      <c r="E2309" s="7" t="str">
        <f t="shared" si="102"/>
        <v>女</v>
      </c>
    </row>
    <row r="2310" spans="1:5" ht="30" customHeight="1">
      <c r="A2310" s="6">
        <v>2308</v>
      </c>
      <c r="B2310" s="7" t="str">
        <f>"29802021051314302395189"</f>
        <v>29802021051314302395189</v>
      </c>
      <c r="C2310" s="7" t="s">
        <v>17</v>
      </c>
      <c r="D2310" s="7" t="str">
        <f>"陆国欣"</f>
        <v>陆国欣</v>
      </c>
      <c r="E2310" s="7" t="str">
        <f t="shared" si="102"/>
        <v>女</v>
      </c>
    </row>
    <row r="2311" spans="1:5" ht="30" customHeight="1">
      <c r="A2311" s="6">
        <v>2309</v>
      </c>
      <c r="B2311" s="7" t="str">
        <f>"29802021051314360795195"</f>
        <v>29802021051314360795195</v>
      </c>
      <c r="C2311" s="7" t="s">
        <v>17</v>
      </c>
      <c r="D2311" s="7" t="str">
        <f>"郑丹妹"</f>
        <v>郑丹妹</v>
      </c>
      <c r="E2311" s="7" t="str">
        <f t="shared" si="102"/>
        <v>女</v>
      </c>
    </row>
    <row r="2312" spans="1:5" ht="30" customHeight="1">
      <c r="A2312" s="6">
        <v>2310</v>
      </c>
      <c r="B2312" s="7" t="str">
        <f>"29802021051314425795208"</f>
        <v>29802021051314425795208</v>
      </c>
      <c r="C2312" s="7" t="s">
        <v>17</v>
      </c>
      <c r="D2312" s="7" t="str">
        <f>"黄丽鸣"</f>
        <v>黄丽鸣</v>
      </c>
      <c r="E2312" s="7" t="str">
        <f t="shared" si="102"/>
        <v>女</v>
      </c>
    </row>
    <row r="2313" spans="1:5" ht="30" customHeight="1">
      <c r="A2313" s="6">
        <v>2311</v>
      </c>
      <c r="B2313" s="7" t="str">
        <f>"29802021051314582895242"</f>
        <v>29802021051314582895242</v>
      </c>
      <c r="C2313" s="7" t="s">
        <v>17</v>
      </c>
      <c r="D2313" s="7" t="str">
        <f>"罗親游"</f>
        <v>罗親游</v>
      </c>
      <c r="E2313" s="7" t="str">
        <f t="shared" si="102"/>
        <v>女</v>
      </c>
    </row>
    <row r="2314" spans="1:5" ht="30" customHeight="1">
      <c r="A2314" s="6">
        <v>2312</v>
      </c>
      <c r="B2314" s="7" t="str">
        <f>"29802021051315013595250"</f>
        <v>29802021051315013595250</v>
      </c>
      <c r="C2314" s="7" t="s">
        <v>17</v>
      </c>
      <c r="D2314" s="7" t="str">
        <f>"洪娉婷"</f>
        <v>洪娉婷</v>
      </c>
      <c r="E2314" s="7" t="str">
        <f t="shared" si="102"/>
        <v>女</v>
      </c>
    </row>
    <row r="2315" spans="1:5" ht="30" customHeight="1">
      <c r="A2315" s="6">
        <v>2313</v>
      </c>
      <c r="B2315" s="7" t="str">
        <f>"29802021051315074395266"</f>
        <v>29802021051315074395266</v>
      </c>
      <c r="C2315" s="7" t="s">
        <v>17</v>
      </c>
      <c r="D2315" s="7" t="str">
        <f>"邢芳"</f>
        <v>邢芳</v>
      </c>
      <c r="E2315" s="7" t="str">
        <f t="shared" si="102"/>
        <v>女</v>
      </c>
    </row>
    <row r="2316" spans="1:5" ht="30" customHeight="1">
      <c r="A2316" s="6">
        <v>2314</v>
      </c>
      <c r="B2316" s="7" t="str">
        <f>"29802021051315164995286"</f>
        <v>29802021051315164995286</v>
      </c>
      <c r="C2316" s="7" t="s">
        <v>17</v>
      </c>
      <c r="D2316" s="7" t="str">
        <f>"刘亚菲"</f>
        <v>刘亚菲</v>
      </c>
      <c r="E2316" s="7" t="str">
        <f t="shared" si="102"/>
        <v>女</v>
      </c>
    </row>
    <row r="2317" spans="1:5" ht="30" customHeight="1">
      <c r="A2317" s="6">
        <v>2315</v>
      </c>
      <c r="B2317" s="7" t="str">
        <f>"29802021051316044095410"</f>
        <v>29802021051316044095410</v>
      </c>
      <c r="C2317" s="7" t="s">
        <v>17</v>
      </c>
      <c r="D2317" s="7" t="str">
        <f>"吴思怡"</f>
        <v>吴思怡</v>
      </c>
      <c r="E2317" s="7" t="str">
        <f t="shared" si="102"/>
        <v>女</v>
      </c>
    </row>
    <row r="2318" spans="1:5" ht="30" customHeight="1">
      <c r="A2318" s="6">
        <v>2316</v>
      </c>
      <c r="B2318" s="7" t="str">
        <f>"29802021051316531095526"</f>
        <v>29802021051316531095526</v>
      </c>
      <c r="C2318" s="7" t="s">
        <v>17</v>
      </c>
      <c r="D2318" s="7" t="str">
        <f>"谢丽研"</f>
        <v>谢丽研</v>
      </c>
      <c r="E2318" s="7" t="str">
        <f t="shared" si="102"/>
        <v>女</v>
      </c>
    </row>
    <row r="2319" spans="1:5" ht="30" customHeight="1">
      <c r="A2319" s="6">
        <v>2317</v>
      </c>
      <c r="B2319" s="7" t="str">
        <f>"29802021051317131995590"</f>
        <v>29802021051317131995590</v>
      </c>
      <c r="C2319" s="7" t="s">
        <v>17</v>
      </c>
      <c r="D2319" s="7" t="str">
        <f>"吴汉姣"</f>
        <v>吴汉姣</v>
      </c>
      <c r="E2319" s="7" t="str">
        <f t="shared" si="102"/>
        <v>女</v>
      </c>
    </row>
    <row r="2320" spans="1:5" ht="30" customHeight="1">
      <c r="A2320" s="6">
        <v>2318</v>
      </c>
      <c r="B2320" s="7" t="str">
        <f>"29802021051317170695597"</f>
        <v>29802021051317170695597</v>
      </c>
      <c r="C2320" s="7" t="s">
        <v>17</v>
      </c>
      <c r="D2320" s="7" t="str">
        <f>"王月"</f>
        <v>王月</v>
      </c>
      <c r="E2320" s="7" t="str">
        <f t="shared" si="102"/>
        <v>女</v>
      </c>
    </row>
    <row r="2321" spans="1:5" ht="30" customHeight="1">
      <c r="A2321" s="6">
        <v>2319</v>
      </c>
      <c r="B2321" s="7" t="str">
        <f>"29802021051317333295628"</f>
        <v>29802021051317333295628</v>
      </c>
      <c r="C2321" s="7" t="s">
        <v>17</v>
      </c>
      <c r="D2321" s="7" t="str">
        <f>"陈元冰"</f>
        <v>陈元冰</v>
      </c>
      <c r="E2321" s="7" t="str">
        <f t="shared" si="102"/>
        <v>女</v>
      </c>
    </row>
    <row r="2322" spans="1:5" ht="30" customHeight="1">
      <c r="A2322" s="6">
        <v>2320</v>
      </c>
      <c r="B2322" s="7" t="str">
        <f>"29802021051317370795635"</f>
        <v>29802021051317370795635</v>
      </c>
      <c r="C2322" s="7" t="s">
        <v>17</v>
      </c>
      <c r="D2322" s="7" t="str">
        <f>"吴培玉"</f>
        <v>吴培玉</v>
      </c>
      <c r="E2322" s="7" t="str">
        <f t="shared" si="102"/>
        <v>女</v>
      </c>
    </row>
    <row r="2323" spans="1:5" ht="30" customHeight="1">
      <c r="A2323" s="6">
        <v>2321</v>
      </c>
      <c r="B2323" s="7" t="str">
        <f>"29802021051317443695651"</f>
        <v>29802021051317443695651</v>
      </c>
      <c r="C2323" s="7" t="s">
        <v>17</v>
      </c>
      <c r="D2323" s="7" t="str">
        <f>"张汉娇"</f>
        <v>张汉娇</v>
      </c>
      <c r="E2323" s="7" t="str">
        <f t="shared" si="102"/>
        <v>女</v>
      </c>
    </row>
    <row r="2324" spans="1:5" ht="30" customHeight="1">
      <c r="A2324" s="6">
        <v>2322</v>
      </c>
      <c r="B2324" s="7" t="str">
        <f>"29802021051318321095749"</f>
        <v>29802021051318321095749</v>
      </c>
      <c r="C2324" s="7" t="s">
        <v>17</v>
      </c>
      <c r="D2324" s="7" t="str">
        <f>"王明朗"</f>
        <v>王明朗</v>
      </c>
      <c r="E2324" s="7" t="str">
        <f t="shared" si="102"/>
        <v>女</v>
      </c>
    </row>
    <row r="2325" spans="1:5" ht="30" customHeight="1">
      <c r="A2325" s="6">
        <v>2323</v>
      </c>
      <c r="B2325" s="7" t="str">
        <f>"29802021051318382195760"</f>
        <v>29802021051318382195760</v>
      </c>
      <c r="C2325" s="7" t="s">
        <v>17</v>
      </c>
      <c r="D2325" s="7" t="str">
        <f>"李金霞"</f>
        <v>李金霞</v>
      </c>
      <c r="E2325" s="7" t="str">
        <f t="shared" si="102"/>
        <v>女</v>
      </c>
    </row>
    <row r="2326" spans="1:5" ht="30" customHeight="1">
      <c r="A2326" s="6">
        <v>2324</v>
      </c>
      <c r="B2326" s="7" t="str">
        <f>"29802021051319220495847"</f>
        <v>29802021051319220495847</v>
      </c>
      <c r="C2326" s="7" t="s">
        <v>17</v>
      </c>
      <c r="D2326" s="7" t="str">
        <f>"麦美玉"</f>
        <v>麦美玉</v>
      </c>
      <c r="E2326" s="7" t="str">
        <f t="shared" si="102"/>
        <v>女</v>
      </c>
    </row>
    <row r="2327" spans="1:5" ht="30" customHeight="1">
      <c r="A2327" s="6">
        <v>2325</v>
      </c>
      <c r="B2327" s="7" t="str">
        <f>"29802021051319230895850"</f>
        <v>29802021051319230895850</v>
      </c>
      <c r="C2327" s="7" t="s">
        <v>17</v>
      </c>
      <c r="D2327" s="7" t="str">
        <f>"陈婧"</f>
        <v>陈婧</v>
      </c>
      <c r="E2327" s="7" t="str">
        <f t="shared" si="102"/>
        <v>女</v>
      </c>
    </row>
    <row r="2328" spans="1:5" ht="30" customHeight="1">
      <c r="A2328" s="6">
        <v>2326</v>
      </c>
      <c r="B2328" s="7" t="str">
        <f>"29802021051319265895856"</f>
        <v>29802021051319265895856</v>
      </c>
      <c r="C2328" s="7" t="s">
        <v>17</v>
      </c>
      <c r="D2328" s="7" t="str">
        <f>"梁文连"</f>
        <v>梁文连</v>
      </c>
      <c r="E2328" s="7" t="str">
        <f t="shared" si="102"/>
        <v>女</v>
      </c>
    </row>
    <row r="2329" spans="1:5" ht="30" customHeight="1">
      <c r="A2329" s="6">
        <v>2327</v>
      </c>
      <c r="B2329" s="7" t="str">
        <f>"29802021051320211595944"</f>
        <v>29802021051320211595944</v>
      </c>
      <c r="C2329" s="7" t="s">
        <v>17</v>
      </c>
      <c r="D2329" s="7" t="str">
        <f>"杜才凤"</f>
        <v>杜才凤</v>
      </c>
      <c r="E2329" s="7" t="str">
        <f t="shared" si="102"/>
        <v>女</v>
      </c>
    </row>
    <row r="2330" spans="1:5" ht="30" customHeight="1">
      <c r="A2330" s="6">
        <v>2328</v>
      </c>
      <c r="B2330" s="7" t="str">
        <f>"29802021051320523796014"</f>
        <v>29802021051320523796014</v>
      </c>
      <c r="C2330" s="7" t="s">
        <v>17</v>
      </c>
      <c r="D2330" s="7" t="str">
        <f>"郭小丹"</f>
        <v>郭小丹</v>
      </c>
      <c r="E2330" s="7" t="str">
        <f t="shared" si="102"/>
        <v>女</v>
      </c>
    </row>
    <row r="2331" spans="1:5" ht="30" customHeight="1">
      <c r="A2331" s="6">
        <v>2329</v>
      </c>
      <c r="B2331" s="7" t="str">
        <f>"29802021051321402296108"</f>
        <v>29802021051321402296108</v>
      </c>
      <c r="C2331" s="7" t="s">
        <v>17</v>
      </c>
      <c r="D2331" s="7" t="str">
        <f>"符梅丽"</f>
        <v>符梅丽</v>
      </c>
      <c r="E2331" s="7" t="str">
        <f t="shared" si="102"/>
        <v>女</v>
      </c>
    </row>
    <row r="2332" spans="1:5" ht="30" customHeight="1">
      <c r="A2332" s="6">
        <v>2330</v>
      </c>
      <c r="B2332" s="7" t="str">
        <f>"29802021051321410796113"</f>
        <v>29802021051321410796113</v>
      </c>
      <c r="C2332" s="7" t="s">
        <v>17</v>
      </c>
      <c r="D2332" s="7" t="str">
        <f>"符倩"</f>
        <v>符倩</v>
      </c>
      <c r="E2332" s="7" t="str">
        <f t="shared" si="102"/>
        <v>女</v>
      </c>
    </row>
    <row r="2333" spans="1:5" ht="30" customHeight="1">
      <c r="A2333" s="6">
        <v>2331</v>
      </c>
      <c r="B2333" s="7" t="str">
        <f>"29802021051321413596114"</f>
        <v>29802021051321413596114</v>
      </c>
      <c r="C2333" s="7" t="s">
        <v>17</v>
      </c>
      <c r="D2333" s="7" t="str">
        <f>"符华艳"</f>
        <v>符华艳</v>
      </c>
      <c r="E2333" s="7" t="str">
        <f t="shared" si="102"/>
        <v>女</v>
      </c>
    </row>
    <row r="2334" spans="1:5" ht="30" customHeight="1">
      <c r="A2334" s="6">
        <v>2332</v>
      </c>
      <c r="B2334" s="7" t="str">
        <f>"29802021051322134696195"</f>
        <v>29802021051322134696195</v>
      </c>
      <c r="C2334" s="7" t="s">
        <v>17</v>
      </c>
      <c r="D2334" s="7" t="str">
        <f>"莫佳华"</f>
        <v>莫佳华</v>
      </c>
      <c r="E2334" s="7" t="str">
        <f t="shared" si="102"/>
        <v>女</v>
      </c>
    </row>
    <row r="2335" spans="1:5" ht="30" customHeight="1">
      <c r="A2335" s="6">
        <v>2333</v>
      </c>
      <c r="B2335" s="7" t="str">
        <f>"29802021051322314696239"</f>
        <v>29802021051322314696239</v>
      </c>
      <c r="C2335" s="7" t="s">
        <v>17</v>
      </c>
      <c r="D2335" s="7" t="str">
        <f>"王袁丽"</f>
        <v>王袁丽</v>
      </c>
      <c r="E2335" s="7" t="str">
        <f t="shared" si="102"/>
        <v>女</v>
      </c>
    </row>
    <row r="2336" spans="1:5" ht="30" customHeight="1">
      <c r="A2336" s="6">
        <v>2334</v>
      </c>
      <c r="B2336" s="7" t="str">
        <f>"29802021051322342196248"</f>
        <v>29802021051322342196248</v>
      </c>
      <c r="C2336" s="7" t="s">
        <v>17</v>
      </c>
      <c r="D2336" s="7" t="str">
        <f>"徐文玲"</f>
        <v>徐文玲</v>
      </c>
      <c r="E2336" s="7" t="str">
        <f t="shared" si="102"/>
        <v>女</v>
      </c>
    </row>
    <row r="2337" spans="1:5" ht="30" customHeight="1">
      <c r="A2337" s="6">
        <v>2335</v>
      </c>
      <c r="B2337" s="7" t="str">
        <f>"29802021051322465296270"</f>
        <v>29802021051322465296270</v>
      </c>
      <c r="C2337" s="7" t="s">
        <v>17</v>
      </c>
      <c r="D2337" s="7" t="str">
        <f>"李月玲"</f>
        <v>李月玲</v>
      </c>
      <c r="E2337" s="7" t="str">
        <f t="shared" si="102"/>
        <v>女</v>
      </c>
    </row>
    <row r="2338" spans="1:5" ht="30" customHeight="1">
      <c r="A2338" s="6">
        <v>2336</v>
      </c>
      <c r="B2338" s="7" t="str">
        <f>"29802021051322530696275"</f>
        <v>29802021051322530696275</v>
      </c>
      <c r="C2338" s="7" t="s">
        <v>17</v>
      </c>
      <c r="D2338" s="7" t="str">
        <f>"韦力"</f>
        <v>韦力</v>
      </c>
      <c r="E2338" s="7" t="str">
        <f t="shared" si="102"/>
        <v>女</v>
      </c>
    </row>
    <row r="2339" spans="1:5" ht="30" customHeight="1">
      <c r="A2339" s="6">
        <v>2337</v>
      </c>
      <c r="B2339" s="7" t="str">
        <f>"29802021051323081796305"</f>
        <v>29802021051323081796305</v>
      </c>
      <c r="C2339" s="7" t="s">
        <v>17</v>
      </c>
      <c r="D2339" s="7" t="str">
        <f>"林宏艳"</f>
        <v>林宏艳</v>
      </c>
      <c r="E2339" s="7" t="str">
        <f t="shared" si="102"/>
        <v>女</v>
      </c>
    </row>
    <row r="2340" spans="1:5" ht="30" customHeight="1">
      <c r="A2340" s="6">
        <v>2338</v>
      </c>
      <c r="B2340" s="7" t="str">
        <f>"29802021051323185296321"</f>
        <v>29802021051323185296321</v>
      </c>
      <c r="C2340" s="7" t="s">
        <v>17</v>
      </c>
      <c r="D2340" s="7" t="str">
        <f>"王照珍"</f>
        <v>王照珍</v>
      </c>
      <c r="E2340" s="7" t="str">
        <f t="shared" si="102"/>
        <v>女</v>
      </c>
    </row>
    <row r="2341" spans="1:5" ht="30" customHeight="1">
      <c r="A2341" s="6">
        <v>2339</v>
      </c>
      <c r="B2341" s="7" t="str">
        <f>"29802021051408401796486"</f>
        <v>29802021051408401796486</v>
      </c>
      <c r="C2341" s="7" t="s">
        <v>17</v>
      </c>
      <c r="D2341" s="7" t="str">
        <f>"林日玲"</f>
        <v>林日玲</v>
      </c>
      <c r="E2341" s="7" t="str">
        <f t="shared" si="102"/>
        <v>女</v>
      </c>
    </row>
    <row r="2342" spans="1:5" ht="30" customHeight="1">
      <c r="A2342" s="6">
        <v>2340</v>
      </c>
      <c r="B2342" s="7" t="str">
        <f>"29802021051408464996501"</f>
        <v>29802021051408464996501</v>
      </c>
      <c r="C2342" s="7" t="s">
        <v>17</v>
      </c>
      <c r="D2342" s="7" t="str">
        <f>"陈柳婷"</f>
        <v>陈柳婷</v>
      </c>
      <c r="E2342" s="7" t="str">
        <f t="shared" si="102"/>
        <v>女</v>
      </c>
    </row>
    <row r="2343" spans="1:5" ht="30" customHeight="1">
      <c r="A2343" s="6">
        <v>2341</v>
      </c>
      <c r="B2343" s="7" t="str">
        <f>"29802021051408484496505"</f>
        <v>29802021051408484496505</v>
      </c>
      <c r="C2343" s="7" t="s">
        <v>17</v>
      </c>
      <c r="D2343" s="7" t="str">
        <f>"林春燕"</f>
        <v>林春燕</v>
      </c>
      <c r="E2343" s="7" t="str">
        <f t="shared" si="102"/>
        <v>女</v>
      </c>
    </row>
    <row r="2344" spans="1:5" ht="30" customHeight="1">
      <c r="A2344" s="6">
        <v>2342</v>
      </c>
      <c r="B2344" s="7" t="str">
        <f>"29802021051409231296569"</f>
        <v>29802021051409231296569</v>
      </c>
      <c r="C2344" s="7" t="s">
        <v>17</v>
      </c>
      <c r="D2344" s="7" t="str">
        <f>"刘晓霞"</f>
        <v>刘晓霞</v>
      </c>
      <c r="E2344" s="7" t="str">
        <f t="shared" si="102"/>
        <v>女</v>
      </c>
    </row>
    <row r="2345" spans="1:5" ht="30" customHeight="1">
      <c r="A2345" s="6">
        <v>2343</v>
      </c>
      <c r="B2345" s="7" t="str">
        <f>"29802021051409364796595"</f>
        <v>29802021051409364796595</v>
      </c>
      <c r="C2345" s="7" t="s">
        <v>17</v>
      </c>
      <c r="D2345" s="7" t="str">
        <f>"陈丽萍"</f>
        <v>陈丽萍</v>
      </c>
      <c r="E2345" s="7" t="str">
        <f t="shared" si="102"/>
        <v>女</v>
      </c>
    </row>
    <row r="2346" spans="1:5" ht="30" customHeight="1">
      <c r="A2346" s="6">
        <v>2344</v>
      </c>
      <c r="B2346" s="7" t="str">
        <f>"29802021051409380096598"</f>
        <v>29802021051409380096598</v>
      </c>
      <c r="C2346" s="7" t="s">
        <v>17</v>
      </c>
      <c r="D2346" s="7" t="str">
        <f>"王秀红"</f>
        <v>王秀红</v>
      </c>
      <c r="E2346" s="7" t="str">
        <f t="shared" si="102"/>
        <v>女</v>
      </c>
    </row>
    <row r="2347" spans="1:5" ht="30" customHeight="1">
      <c r="A2347" s="6">
        <v>2345</v>
      </c>
      <c r="B2347" s="7" t="str">
        <f>"29802021051409550596642"</f>
        <v>29802021051409550596642</v>
      </c>
      <c r="C2347" s="7" t="s">
        <v>17</v>
      </c>
      <c r="D2347" s="7" t="str">
        <f>"王丽聪"</f>
        <v>王丽聪</v>
      </c>
      <c r="E2347" s="7" t="str">
        <f t="shared" si="102"/>
        <v>女</v>
      </c>
    </row>
    <row r="2348" spans="1:5" ht="30" customHeight="1">
      <c r="A2348" s="6">
        <v>2346</v>
      </c>
      <c r="B2348" s="7" t="str">
        <f>"29802021051410030196666"</f>
        <v>29802021051410030196666</v>
      </c>
      <c r="C2348" s="7" t="s">
        <v>17</v>
      </c>
      <c r="D2348" s="7" t="str">
        <f>"林彩莲"</f>
        <v>林彩莲</v>
      </c>
      <c r="E2348" s="7" t="str">
        <f t="shared" si="102"/>
        <v>女</v>
      </c>
    </row>
    <row r="2349" spans="1:5" ht="30" customHeight="1">
      <c r="A2349" s="6">
        <v>2347</v>
      </c>
      <c r="B2349" s="7" t="str">
        <f>"29802021051410164796702"</f>
        <v>29802021051410164796702</v>
      </c>
      <c r="C2349" s="7" t="s">
        <v>17</v>
      </c>
      <c r="D2349" s="7" t="str">
        <f>"陈艳"</f>
        <v>陈艳</v>
      </c>
      <c r="E2349" s="7" t="str">
        <f t="shared" si="102"/>
        <v>女</v>
      </c>
    </row>
    <row r="2350" spans="1:5" ht="30" customHeight="1">
      <c r="A2350" s="6">
        <v>2348</v>
      </c>
      <c r="B2350" s="7" t="str">
        <f>"29802021051410325496738"</f>
        <v>29802021051410325496738</v>
      </c>
      <c r="C2350" s="7" t="s">
        <v>17</v>
      </c>
      <c r="D2350" s="7" t="str">
        <f>"符淑年"</f>
        <v>符淑年</v>
      </c>
      <c r="E2350" s="7" t="str">
        <f aca="true" t="shared" si="103" ref="E2350:E2413">"女"</f>
        <v>女</v>
      </c>
    </row>
    <row r="2351" spans="1:5" ht="30" customHeight="1">
      <c r="A2351" s="6">
        <v>2349</v>
      </c>
      <c r="B2351" s="7" t="str">
        <f>"29802021051410491696767"</f>
        <v>29802021051410491696767</v>
      </c>
      <c r="C2351" s="7" t="s">
        <v>17</v>
      </c>
      <c r="D2351" s="7" t="str">
        <f>"陈梦云"</f>
        <v>陈梦云</v>
      </c>
      <c r="E2351" s="7" t="str">
        <f t="shared" si="103"/>
        <v>女</v>
      </c>
    </row>
    <row r="2352" spans="1:5" ht="30" customHeight="1">
      <c r="A2352" s="6">
        <v>2350</v>
      </c>
      <c r="B2352" s="7" t="str">
        <f>"29802021051410584096789"</f>
        <v>29802021051410584096789</v>
      </c>
      <c r="C2352" s="7" t="s">
        <v>17</v>
      </c>
      <c r="D2352" s="7" t="str">
        <f>"胡红丽"</f>
        <v>胡红丽</v>
      </c>
      <c r="E2352" s="7" t="str">
        <f t="shared" si="103"/>
        <v>女</v>
      </c>
    </row>
    <row r="2353" spans="1:5" ht="30" customHeight="1">
      <c r="A2353" s="6">
        <v>2351</v>
      </c>
      <c r="B2353" s="7" t="str">
        <f>"29802021051411181596836"</f>
        <v>29802021051411181596836</v>
      </c>
      <c r="C2353" s="7" t="s">
        <v>17</v>
      </c>
      <c r="D2353" s="7" t="str">
        <f>"陈会"</f>
        <v>陈会</v>
      </c>
      <c r="E2353" s="7" t="str">
        <f t="shared" si="103"/>
        <v>女</v>
      </c>
    </row>
    <row r="2354" spans="1:5" ht="30" customHeight="1">
      <c r="A2354" s="6">
        <v>2352</v>
      </c>
      <c r="B2354" s="7" t="str">
        <f>"29802021051411391496884"</f>
        <v>29802021051411391496884</v>
      </c>
      <c r="C2354" s="7" t="s">
        <v>17</v>
      </c>
      <c r="D2354" s="7" t="str">
        <f>"何东涛"</f>
        <v>何东涛</v>
      </c>
      <c r="E2354" s="7" t="str">
        <f t="shared" si="103"/>
        <v>女</v>
      </c>
    </row>
    <row r="2355" spans="1:5" ht="30" customHeight="1">
      <c r="A2355" s="6">
        <v>2353</v>
      </c>
      <c r="B2355" s="7" t="str">
        <f>"29802021051411471096897"</f>
        <v>29802021051411471096897</v>
      </c>
      <c r="C2355" s="7" t="s">
        <v>17</v>
      </c>
      <c r="D2355" s="7" t="str">
        <f>"王绥芳"</f>
        <v>王绥芳</v>
      </c>
      <c r="E2355" s="7" t="str">
        <f t="shared" si="103"/>
        <v>女</v>
      </c>
    </row>
    <row r="2356" spans="1:5" ht="30" customHeight="1">
      <c r="A2356" s="6">
        <v>2354</v>
      </c>
      <c r="B2356" s="7" t="str">
        <f>"29802021051411563496915"</f>
        <v>29802021051411563496915</v>
      </c>
      <c r="C2356" s="7" t="s">
        <v>17</v>
      </c>
      <c r="D2356" s="7" t="str">
        <f>"陈沙沙"</f>
        <v>陈沙沙</v>
      </c>
      <c r="E2356" s="7" t="str">
        <f t="shared" si="103"/>
        <v>女</v>
      </c>
    </row>
    <row r="2357" spans="1:5" ht="30" customHeight="1">
      <c r="A2357" s="6">
        <v>2355</v>
      </c>
      <c r="B2357" s="7" t="str">
        <f>"29802021051412042696929"</f>
        <v>29802021051412042696929</v>
      </c>
      <c r="C2357" s="7" t="s">
        <v>17</v>
      </c>
      <c r="D2357" s="7" t="str">
        <f>"符丹凤"</f>
        <v>符丹凤</v>
      </c>
      <c r="E2357" s="7" t="str">
        <f t="shared" si="103"/>
        <v>女</v>
      </c>
    </row>
    <row r="2358" spans="1:5" ht="30" customHeight="1">
      <c r="A2358" s="6">
        <v>2356</v>
      </c>
      <c r="B2358" s="7" t="str">
        <f>"29802021051412071196934"</f>
        <v>29802021051412071196934</v>
      </c>
      <c r="C2358" s="7" t="s">
        <v>17</v>
      </c>
      <c r="D2358" s="7" t="str">
        <f>"杨桑"</f>
        <v>杨桑</v>
      </c>
      <c r="E2358" s="7" t="str">
        <f t="shared" si="103"/>
        <v>女</v>
      </c>
    </row>
    <row r="2359" spans="1:5" ht="30" customHeight="1">
      <c r="A2359" s="6">
        <v>2357</v>
      </c>
      <c r="B2359" s="7" t="str">
        <f>"29802021051412130996946"</f>
        <v>29802021051412130996946</v>
      </c>
      <c r="C2359" s="7" t="s">
        <v>17</v>
      </c>
      <c r="D2359" s="7" t="str">
        <f>"谢梅兰"</f>
        <v>谢梅兰</v>
      </c>
      <c r="E2359" s="7" t="str">
        <f t="shared" si="103"/>
        <v>女</v>
      </c>
    </row>
    <row r="2360" spans="1:5" ht="30" customHeight="1">
      <c r="A2360" s="6">
        <v>2358</v>
      </c>
      <c r="B2360" s="7" t="str">
        <f>"29802021051412452697012"</f>
        <v>29802021051412452697012</v>
      </c>
      <c r="C2360" s="7" t="s">
        <v>17</v>
      </c>
      <c r="D2360" s="7" t="str">
        <f>"陈冬梅"</f>
        <v>陈冬梅</v>
      </c>
      <c r="E2360" s="7" t="str">
        <f t="shared" si="103"/>
        <v>女</v>
      </c>
    </row>
    <row r="2361" spans="1:5" ht="30" customHeight="1">
      <c r="A2361" s="6">
        <v>2359</v>
      </c>
      <c r="B2361" s="7" t="str">
        <f>"29802021051413105797066"</f>
        <v>29802021051413105797066</v>
      </c>
      <c r="C2361" s="7" t="s">
        <v>17</v>
      </c>
      <c r="D2361" s="7" t="str">
        <f>"吕锡娜"</f>
        <v>吕锡娜</v>
      </c>
      <c r="E2361" s="7" t="str">
        <f t="shared" si="103"/>
        <v>女</v>
      </c>
    </row>
    <row r="2362" spans="1:5" ht="30" customHeight="1">
      <c r="A2362" s="6">
        <v>2360</v>
      </c>
      <c r="B2362" s="7" t="str">
        <f>"29802021051413143697078"</f>
        <v>29802021051413143697078</v>
      </c>
      <c r="C2362" s="7" t="s">
        <v>17</v>
      </c>
      <c r="D2362" s="7" t="str">
        <f>"文丽"</f>
        <v>文丽</v>
      </c>
      <c r="E2362" s="7" t="str">
        <f t="shared" si="103"/>
        <v>女</v>
      </c>
    </row>
    <row r="2363" spans="1:5" ht="30" customHeight="1">
      <c r="A2363" s="6">
        <v>2361</v>
      </c>
      <c r="B2363" s="7" t="str">
        <f>"29802021051413171097087"</f>
        <v>29802021051413171097087</v>
      </c>
      <c r="C2363" s="7" t="s">
        <v>17</v>
      </c>
      <c r="D2363" s="7" t="str">
        <f>"麦中霞"</f>
        <v>麦中霞</v>
      </c>
      <c r="E2363" s="7" t="str">
        <f t="shared" si="103"/>
        <v>女</v>
      </c>
    </row>
    <row r="2364" spans="1:5" ht="30" customHeight="1">
      <c r="A2364" s="6">
        <v>2362</v>
      </c>
      <c r="B2364" s="7" t="str">
        <f>"29802021051413403697122"</f>
        <v>29802021051413403697122</v>
      </c>
      <c r="C2364" s="7" t="s">
        <v>17</v>
      </c>
      <c r="D2364" s="7" t="str">
        <f>"黄燕玉"</f>
        <v>黄燕玉</v>
      </c>
      <c r="E2364" s="7" t="str">
        <f t="shared" si="103"/>
        <v>女</v>
      </c>
    </row>
    <row r="2365" spans="1:5" ht="30" customHeight="1">
      <c r="A2365" s="6">
        <v>2363</v>
      </c>
      <c r="B2365" s="7" t="str">
        <f>"29802021051414162597176"</f>
        <v>29802021051414162597176</v>
      </c>
      <c r="C2365" s="7" t="s">
        <v>17</v>
      </c>
      <c r="D2365" s="7" t="str">
        <f>"武瑞"</f>
        <v>武瑞</v>
      </c>
      <c r="E2365" s="7" t="str">
        <f t="shared" si="103"/>
        <v>女</v>
      </c>
    </row>
    <row r="2366" spans="1:5" ht="30" customHeight="1">
      <c r="A2366" s="6">
        <v>2364</v>
      </c>
      <c r="B2366" s="7" t="str">
        <f>"29802021051414205797186"</f>
        <v>29802021051414205797186</v>
      </c>
      <c r="C2366" s="7" t="s">
        <v>17</v>
      </c>
      <c r="D2366" s="7" t="str">
        <f>"章霖静"</f>
        <v>章霖静</v>
      </c>
      <c r="E2366" s="7" t="str">
        <f t="shared" si="103"/>
        <v>女</v>
      </c>
    </row>
    <row r="2367" spans="1:5" ht="30" customHeight="1">
      <c r="A2367" s="6">
        <v>2365</v>
      </c>
      <c r="B2367" s="7" t="str">
        <f>"29802021051415035197266"</f>
        <v>29802021051415035197266</v>
      </c>
      <c r="C2367" s="7" t="s">
        <v>17</v>
      </c>
      <c r="D2367" s="7" t="str">
        <f>"林小娜"</f>
        <v>林小娜</v>
      </c>
      <c r="E2367" s="7" t="str">
        <f t="shared" si="103"/>
        <v>女</v>
      </c>
    </row>
    <row r="2368" spans="1:5" ht="30" customHeight="1">
      <c r="A2368" s="6">
        <v>2366</v>
      </c>
      <c r="B2368" s="7" t="str">
        <f>"29802021051415343197341"</f>
        <v>29802021051415343197341</v>
      </c>
      <c r="C2368" s="7" t="s">
        <v>17</v>
      </c>
      <c r="D2368" s="7" t="str">
        <f>"岳正容"</f>
        <v>岳正容</v>
      </c>
      <c r="E2368" s="7" t="str">
        <f t="shared" si="103"/>
        <v>女</v>
      </c>
    </row>
    <row r="2369" spans="1:5" ht="30" customHeight="1">
      <c r="A2369" s="6">
        <v>2367</v>
      </c>
      <c r="B2369" s="7" t="str">
        <f>"29802021051416331997491"</f>
        <v>29802021051416331997491</v>
      </c>
      <c r="C2369" s="7" t="s">
        <v>17</v>
      </c>
      <c r="D2369" s="7" t="str">
        <f>"张艳"</f>
        <v>张艳</v>
      </c>
      <c r="E2369" s="7" t="str">
        <f t="shared" si="103"/>
        <v>女</v>
      </c>
    </row>
    <row r="2370" spans="1:5" ht="30" customHeight="1">
      <c r="A2370" s="6">
        <v>2368</v>
      </c>
      <c r="B2370" s="7" t="str">
        <f>"29802021051416581397548"</f>
        <v>29802021051416581397548</v>
      </c>
      <c r="C2370" s="7" t="s">
        <v>17</v>
      </c>
      <c r="D2370" s="7" t="str">
        <f>"陈元芳"</f>
        <v>陈元芳</v>
      </c>
      <c r="E2370" s="7" t="str">
        <f t="shared" si="103"/>
        <v>女</v>
      </c>
    </row>
    <row r="2371" spans="1:5" ht="30" customHeight="1">
      <c r="A2371" s="6">
        <v>2369</v>
      </c>
      <c r="B2371" s="7" t="str">
        <f>"29802021051418273697704"</f>
        <v>29802021051418273697704</v>
      </c>
      <c r="C2371" s="7" t="s">
        <v>17</v>
      </c>
      <c r="D2371" s="7" t="str">
        <f>"王秋萍"</f>
        <v>王秋萍</v>
      </c>
      <c r="E2371" s="7" t="str">
        <f t="shared" si="103"/>
        <v>女</v>
      </c>
    </row>
    <row r="2372" spans="1:5" ht="30" customHeight="1">
      <c r="A2372" s="6">
        <v>2370</v>
      </c>
      <c r="B2372" s="7" t="str">
        <f>"29802021051418410997727"</f>
        <v>29802021051418410997727</v>
      </c>
      <c r="C2372" s="7" t="s">
        <v>17</v>
      </c>
      <c r="D2372" s="7" t="str">
        <f>"邱天丽"</f>
        <v>邱天丽</v>
      </c>
      <c r="E2372" s="7" t="str">
        <f t="shared" si="103"/>
        <v>女</v>
      </c>
    </row>
    <row r="2373" spans="1:5" ht="30" customHeight="1">
      <c r="A2373" s="6">
        <v>2371</v>
      </c>
      <c r="B2373" s="7" t="str">
        <f>"29802021051419004797750"</f>
        <v>29802021051419004797750</v>
      </c>
      <c r="C2373" s="7" t="s">
        <v>17</v>
      </c>
      <c r="D2373" s="7" t="str">
        <f>"陈小慧"</f>
        <v>陈小慧</v>
      </c>
      <c r="E2373" s="7" t="str">
        <f t="shared" si="103"/>
        <v>女</v>
      </c>
    </row>
    <row r="2374" spans="1:5" ht="30" customHeight="1">
      <c r="A2374" s="6">
        <v>2372</v>
      </c>
      <c r="B2374" s="7" t="str">
        <f>"29802021051419245797787"</f>
        <v>29802021051419245797787</v>
      </c>
      <c r="C2374" s="7" t="s">
        <v>17</v>
      </c>
      <c r="D2374" s="7" t="str">
        <f>"羊秀庆"</f>
        <v>羊秀庆</v>
      </c>
      <c r="E2374" s="7" t="str">
        <f t="shared" si="103"/>
        <v>女</v>
      </c>
    </row>
    <row r="2375" spans="1:5" ht="30" customHeight="1">
      <c r="A2375" s="6">
        <v>2373</v>
      </c>
      <c r="B2375" s="7" t="str">
        <f>"29802021051419375897807"</f>
        <v>29802021051419375897807</v>
      </c>
      <c r="C2375" s="7" t="s">
        <v>17</v>
      </c>
      <c r="D2375" s="7" t="str">
        <f>"陈宪杰"</f>
        <v>陈宪杰</v>
      </c>
      <c r="E2375" s="7" t="str">
        <f t="shared" si="103"/>
        <v>女</v>
      </c>
    </row>
    <row r="2376" spans="1:5" ht="30" customHeight="1">
      <c r="A2376" s="6">
        <v>2374</v>
      </c>
      <c r="B2376" s="7" t="str">
        <f>"29802021051420493897917"</f>
        <v>29802021051420493897917</v>
      </c>
      <c r="C2376" s="7" t="s">
        <v>17</v>
      </c>
      <c r="D2376" s="7" t="str">
        <f>"符家贇"</f>
        <v>符家贇</v>
      </c>
      <c r="E2376" s="7" t="str">
        <f t="shared" si="103"/>
        <v>女</v>
      </c>
    </row>
    <row r="2377" spans="1:5" ht="30" customHeight="1">
      <c r="A2377" s="6">
        <v>2375</v>
      </c>
      <c r="B2377" s="7" t="str">
        <f>"29802021051421031697941"</f>
        <v>29802021051421031697941</v>
      </c>
      <c r="C2377" s="7" t="s">
        <v>17</v>
      </c>
      <c r="D2377" s="7" t="str">
        <f>"邓永馨"</f>
        <v>邓永馨</v>
      </c>
      <c r="E2377" s="7" t="str">
        <f t="shared" si="103"/>
        <v>女</v>
      </c>
    </row>
    <row r="2378" spans="1:5" ht="30" customHeight="1">
      <c r="A2378" s="6">
        <v>2376</v>
      </c>
      <c r="B2378" s="7" t="str">
        <f>"29802021051421081297950"</f>
        <v>29802021051421081297950</v>
      </c>
      <c r="C2378" s="7" t="s">
        <v>17</v>
      </c>
      <c r="D2378" s="7" t="str">
        <f>"朱贵乔"</f>
        <v>朱贵乔</v>
      </c>
      <c r="E2378" s="7" t="str">
        <f t="shared" si="103"/>
        <v>女</v>
      </c>
    </row>
    <row r="2379" spans="1:5" ht="30" customHeight="1">
      <c r="A2379" s="6">
        <v>2377</v>
      </c>
      <c r="B2379" s="7" t="str">
        <f>"29802021051422295098096"</f>
        <v>29802021051422295098096</v>
      </c>
      <c r="C2379" s="7" t="s">
        <v>17</v>
      </c>
      <c r="D2379" s="7" t="str">
        <f>"林晓瑜"</f>
        <v>林晓瑜</v>
      </c>
      <c r="E2379" s="7" t="str">
        <f t="shared" si="103"/>
        <v>女</v>
      </c>
    </row>
    <row r="2380" spans="1:5" ht="30" customHeight="1">
      <c r="A2380" s="6">
        <v>2378</v>
      </c>
      <c r="B2380" s="7" t="str">
        <f>"29802021051422360398110"</f>
        <v>29802021051422360398110</v>
      </c>
      <c r="C2380" s="7" t="s">
        <v>17</v>
      </c>
      <c r="D2380" s="7" t="str">
        <f>"陈秀萍"</f>
        <v>陈秀萍</v>
      </c>
      <c r="E2380" s="7" t="str">
        <f t="shared" si="103"/>
        <v>女</v>
      </c>
    </row>
    <row r="2381" spans="1:5" ht="30" customHeight="1">
      <c r="A2381" s="6">
        <v>2379</v>
      </c>
      <c r="B2381" s="7" t="str">
        <f>"29802021051423032998151"</f>
        <v>29802021051423032998151</v>
      </c>
      <c r="C2381" s="7" t="s">
        <v>17</v>
      </c>
      <c r="D2381" s="7" t="str">
        <f>"吴李莲"</f>
        <v>吴李莲</v>
      </c>
      <c r="E2381" s="7" t="str">
        <f t="shared" si="103"/>
        <v>女</v>
      </c>
    </row>
    <row r="2382" spans="1:5" ht="30" customHeight="1">
      <c r="A2382" s="6">
        <v>2380</v>
      </c>
      <c r="B2382" s="7" t="str">
        <f>"29802021051423123898164"</f>
        <v>29802021051423123898164</v>
      </c>
      <c r="C2382" s="7" t="s">
        <v>17</v>
      </c>
      <c r="D2382" s="7" t="str">
        <f>"杜晓莹"</f>
        <v>杜晓莹</v>
      </c>
      <c r="E2382" s="7" t="str">
        <f t="shared" si="103"/>
        <v>女</v>
      </c>
    </row>
    <row r="2383" spans="1:5" ht="30" customHeight="1">
      <c r="A2383" s="6">
        <v>2381</v>
      </c>
      <c r="B2383" s="7" t="str">
        <f>"29802021051423132298166"</f>
        <v>29802021051423132298166</v>
      </c>
      <c r="C2383" s="7" t="s">
        <v>17</v>
      </c>
      <c r="D2383" s="7" t="str">
        <f>"陈景玉"</f>
        <v>陈景玉</v>
      </c>
      <c r="E2383" s="7" t="str">
        <f t="shared" si="103"/>
        <v>女</v>
      </c>
    </row>
    <row r="2384" spans="1:5" ht="30" customHeight="1">
      <c r="A2384" s="6">
        <v>2382</v>
      </c>
      <c r="B2384" s="7" t="str">
        <f>"29802021051423200998176"</f>
        <v>29802021051423200998176</v>
      </c>
      <c r="C2384" s="7" t="s">
        <v>17</v>
      </c>
      <c r="D2384" s="7" t="str">
        <f>"曾万英"</f>
        <v>曾万英</v>
      </c>
      <c r="E2384" s="7" t="str">
        <f t="shared" si="103"/>
        <v>女</v>
      </c>
    </row>
    <row r="2385" spans="1:5" ht="30" customHeight="1">
      <c r="A2385" s="6">
        <v>2383</v>
      </c>
      <c r="B2385" s="7" t="str">
        <f>"29802021051423291698187"</f>
        <v>29802021051423291698187</v>
      </c>
      <c r="C2385" s="7" t="s">
        <v>17</v>
      </c>
      <c r="D2385" s="7" t="str">
        <f>"黎憬梅"</f>
        <v>黎憬梅</v>
      </c>
      <c r="E2385" s="7" t="str">
        <f t="shared" si="103"/>
        <v>女</v>
      </c>
    </row>
    <row r="2386" spans="1:5" ht="30" customHeight="1">
      <c r="A2386" s="6">
        <v>2384</v>
      </c>
      <c r="B2386" s="7" t="str">
        <f>"29802021051500173998248"</f>
        <v>29802021051500173998248</v>
      </c>
      <c r="C2386" s="7" t="s">
        <v>17</v>
      </c>
      <c r="D2386" s="7" t="str">
        <f>"蔡金桂"</f>
        <v>蔡金桂</v>
      </c>
      <c r="E2386" s="7" t="str">
        <f t="shared" si="103"/>
        <v>女</v>
      </c>
    </row>
    <row r="2387" spans="1:5" ht="30" customHeight="1">
      <c r="A2387" s="6">
        <v>2385</v>
      </c>
      <c r="B2387" s="7" t="str">
        <f>"29802021051500205098251"</f>
        <v>29802021051500205098251</v>
      </c>
      <c r="C2387" s="7" t="s">
        <v>17</v>
      </c>
      <c r="D2387" s="7" t="str">
        <f>"张影"</f>
        <v>张影</v>
      </c>
      <c r="E2387" s="7" t="str">
        <f t="shared" si="103"/>
        <v>女</v>
      </c>
    </row>
    <row r="2388" spans="1:5" ht="30" customHeight="1">
      <c r="A2388" s="6">
        <v>2386</v>
      </c>
      <c r="B2388" s="7" t="str">
        <f>"29802021051500375698260"</f>
        <v>29802021051500375698260</v>
      </c>
      <c r="C2388" s="7" t="s">
        <v>17</v>
      </c>
      <c r="D2388" s="7" t="str">
        <f>"蔡美彩"</f>
        <v>蔡美彩</v>
      </c>
      <c r="E2388" s="7" t="str">
        <f t="shared" si="103"/>
        <v>女</v>
      </c>
    </row>
    <row r="2389" spans="1:5" ht="30" customHeight="1">
      <c r="A2389" s="6">
        <v>2387</v>
      </c>
      <c r="B2389" s="7" t="str">
        <f>"29802021051500572898266"</f>
        <v>29802021051500572898266</v>
      </c>
      <c r="C2389" s="7" t="s">
        <v>17</v>
      </c>
      <c r="D2389" s="7" t="str">
        <f>"王婵"</f>
        <v>王婵</v>
      </c>
      <c r="E2389" s="7" t="str">
        <f t="shared" si="103"/>
        <v>女</v>
      </c>
    </row>
    <row r="2390" spans="1:5" ht="30" customHeight="1">
      <c r="A2390" s="6">
        <v>2388</v>
      </c>
      <c r="B2390" s="7" t="str">
        <f>"29802021051501193398272"</f>
        <v>29802021051501193398272</v>
      </c>
      <c r="C2390" s="7" t="s">
        <v>17</v>
      </c>
      <c r="D2390" s="7" t="str">
        <f>"王君子"</f>
        <v>王君子</v>
      </c>
      <c r="E2390" s="7" t="str">
        <f t="shared" si="103"/>
        <v>女</v>
      </c>
    </row>
    <row r="2391" spans="1:5" ht="30" customHeight="1">
      <c r="A2391" s="6">
        <v>2389</v>
      </c>
      <c r="B2391" s="7" t="str">
        <f>"29802021051501511798278"</f>
        <v>29802021051501511798278</v>
      </c>
      <c r="C2391" s="7" t="s">
        <v>17</v>
      </c>
      <c r="D2391" s="7" t="str">
        <f>"张薰匀"</f>
        <v>张薰匀</v>
      </c>
      <c r="E2391" s="7" t="str">
        <f t="shared" si="103"/>
        <v>女</v>
      </c>
    </row>
    <row r="2392" spans="1:5" ht="30" customHeight="1">
      <c r="A2392" s="6">
        <v>2390</v>
      </c>
      <c r="B2392" s="7" t="str">
        <f>"29802021051507532698312"</f>
        <v>29802021051507532698312</v>
      </c>
      <c r="C2392" s="7" t="s">
        <v>17</v>
      </c>
      <c r="D2392" s="7" t="str">
        <f>"覃纷佩"</f>
        <v>覃纷佩</v>
      </c>
      <c r="E2392" s="7" t="str">
        <f t="shared" si="103"/>
        <v>女</v>
      </c>
    </row>
    <row r="2393" spans="1:5" ht="30" customHeight="1">
      <c r="A2393" s="6">
        <v>2391</v>
      </c>
      <c r="B2393" s="7" t="str">
        <f>"29802021051508241798329"</f>
        <v>29802021051508241798329</v>
      </c>
      <c r="C2393" s="7" t="s">
        <v>17</v>
      </c>
      <c r="D2393" s="7" t="str">
        <f>"汤家燕"</f>
        <v>汤家燕</v>
      </c>
      <c r="E2393" s="7" t="str">
        <f t="shared" si="103"/>
        <v>女</v>
      </c>
    </row>
    <row r="2394" spans="1:5" ht="30" customHeight="1">
      <c r="A2394" s="6">
        <v>2392</v>
      </c>
      <c r="B2394" s="7" t="str">
        <f>"29802021051508500398343"</f>
        <v>29802021051508500398343</v>
      </c>
      <c r="C2394" s="7" t="s">
        <v>17</v>
      </c>
      <c r="D2394" s="7" t="str">
        <f>"吴清麟"</f>
        <v>吴清麟</v>
      </c>
      <c r="E2394" s="7" t="str">
        <f t="shared" si="103"/>
        <v>女</v>
      </c>
    </row>
    <row r="2395" spans="1:5" ht="30" customHeight="1">
      <c r="A2395" s="6">
        <v>2393</v>
      </c>
      <c r="B2395" s="7" t="str">
        <f>"29802021051509461998402"</f>
        <v>29802021051509461998402</v>
      </c>
      <c r="C2395" s="7" t="s">
        <v>17</v>
      </c>
      <c r="D2395" s="7" t="str">
        <f>"吴环琴"</f>
        <v>吴环琴</v>
      </c>
      <c r="E2395" s="7" t="str">
        <f t="shared" si="103"/>
        <v>女</v>
      </c>
    </row>
    <row r="2396" spans="1:5" ht="30" customHeight="1">
      <c r="A2396" s="6">
        <v>2394</v>
      </c>
      <c r="B2396" s="7" t="str">
        <f>"29802021051509562798420"</f>
        <v>29802021051509562798420</v>
      </c>
      <c r="C2396" s="7" t="s">
        <v>17</v>
      </c>
      <c r="D2396" s="7" t="str">
        <f>"黎倩"</f>
        <v>黎倩</v>
      </c>
      <c r="E2396" s="7" t="str">
        <f t="shared" si="103"/>
        <v>女</v>
      </c>
    </row>
    <row r="2397" spans="1:5" ht="30" customHeight="1">
      <c r="A2397" s="6">
        <v>2395</v>
      </c>
      <c r="B2397" s="7" t="str">
        <f>"29802021051510190798451"</f>
        <v>29802021051510190798451</v>
      </c>
      <c r="C2397" s="7" t="s">
        <v>17</v>
      </c>
      <c r="D2397" s="7" t="str">
        <f>"谢碧青"</f>
        <v>谢碧青</v>
      </c>
      <c r="E2397" s="7" t="str">
        <f t="shared" si="103"/>
        <v>女</v>
      </c>
    </row>
    <row r="2398" spans="1:5" ht="30" customHeight="1">
      <c r="A2398" s="6">
        <v>2396</v>
      </c>
      <c r="B2398" s="7" t="str">
        <f>"29802021051510291998470"</f>
        <v>29802021051510291998470</v>
      </c>
      <c r="C2398" s="7" t="s">
        <v>17</v>
      </c>
      <c r="D2398" s="7" t="str">
        <f>"陈积彩"</f>
        <v>陈积彩</v>
      </c>
      <c r="E2398" s="7" t="str">
        <f t="shared" si="103"/>
        <v>女</v>
      </c>
    </row>
    <row r="2399" spans="1:5" ht="30" customHeight="1">
      <c r="A2399" s="6">
        <v>2397</v>
      </c>
      <c r="B2399" s="7" t="str">
        <f>"29802021051510365698486"</f>
        <v>29802021051510365698486</v>
      </c>
      <c r="C2399" s="7" t="s">
        <v>17</v>
      </c>
      <c r="D2399" s="7" t="str">
        <f>"田慧"</f>
        <v>田慧</v>
      </c>
      <c r="E2399" s="7" t="str">
        <f t="shared" si="103"/>
        <v>女</v>
      </c>
    </row>
    <row r="2400" spans="1:5" ht="30" customHeight="1">
      <c r="A2400" s="6">
        <v>2398</v>
      </c>
      <c r="B2400" s="7" t="str">
        <f>"29802021051510445998504"</f>
        <v>29802021051510445998504</v>
      </c>
      <c r="C2400" s="7" t="s">
        <v>17</v>
      </c>
      <c r="D2400" s="7" t="str">
        <f>"陈庆群"</f>
        <v>陈庆群</v>
      </c>
      <c r="E2400" s="7" t="str">
        <f t="shared" si="103"/>
        <v>女</v>
      </c>
    </row>
    <row r="2401" spans="1:5" ht="30" customHeight="1">
      <c r="A2401" s="6">
        <v>2399</v>
      </c>
      <c r="B2401" s="7" t="str">
        <f>"29802021051510504998520"</f>
        <v>29802021051510504998520</v>
      </c>
      <c r="C2401" s="7" t="s">
        <v>17</v>
      </c>
      <c r="D2401" s="7" t="str">
        <f>"符谷丹"</f>
        <v>符谷丹</v>
      </c>
      <c r="E2401" s="7" t="str">
        <f t="shared" si="103"/>
        <v>女</v>
      </c>
    </row>
    <row r="2402" spans="1:5" ht="30" customHeight="1">
      <c r="A2402" s="6">
        <v>2400</v>
      </c>
      <c r="B2402" s="7" t="str">
        <f>"29802021051511143298559"</f>
        <v>29802021051511143298559</v>
      </c>
      <c r="C2402" s="7" t="s">
        <v>17</v>
      </c>
      <c r="D2402" s="7" t="str">
        <f>"徐志萍"</f>
        <v>徐志萍</v>
      </c>
      <c r="E2402" s="7" t="str">
        <f t="shared" si="103"/>
        <v>女</v>
      </c>
    </row>
    <row r="2403" spans="1:5" ht="30" customHeight="1">
      <c r="A2403" s="6">
        <v>2401</v>
      </c>
      <c r="B2403" s="7" t="str">
        <f>"29802021051511385398597"</f>
        <v>29802021051511385398597</v>
      </c>
      <c r="C2403" s="7" t="s">
        <v>17</v>
      </c>
      <c r="D2403" s="7" t="str">
        <f>"杨明旭"</f>
        <v>杨明旭</v>
      </c>
      <c r="E2403" s="7" t="str">
        <f t="shared" si="103"/>
        <v>女</v>
      </c>
    </row>
    <row r="2404" spans="1:5" ht="30" customHeight="1">
      <c r="A2404" s="6">
        <v>2402</v>
      </c>
      <c r="B2404" s="7" t="str">
        <f>"29802021051511432698604"</f>
        <v>29802021051511432698604</v>
      </c>
      <c r="C2404" s="7" t="s">
        <v>17</v>
      </c>
      <c r="D2404" s="7" t="str">
        <f>"黎吉逢"</f>
        <v>黎吉逢</v>
      </c>
      <c r="E2404" s="7" t="str">
        <f t="shared" si="103"/>
        <v>女</v>
      </c>
    </row>
    <row r="2405" spans="1:5" ht="30" customHeight="1">
      <c r="A2405" s="6">
        <v>2403</v>
      </c>
      <c r="B2405" s="7" t="str">
        <f>"29802021051512041498643"</f>
        <v>29802021051512041498643</v>
      </c>
      <c r="C2405" s="7" t="s">
        <v>17</v>
      </c>
      <c r="D2405" s="7" t="str">
        <f>"符玉燕"</f>
        <v>符玉燕</v>
      </c>
      <c r="E2405" s="7" t="str">
        <f t="shared" si="103"/>
        <v>女</v>
      </c>
    </row>
    <row r="2406" spans="1:5" ht="30" customHeight="1">
      <c r="A2406" s="6">
        <v>2404</v>
      </c>
      <c r="B2406" s="7" t="str">
        <f>"29802021051512413398703"</f>
        <v>29802021051512413398703</v>
      </c>
      <c r="C2406" s="7" t="s">
        <v>17</v>
      </c>
      <c r="D2406" s="7" t="str">
        <f>"陈少珊"</f>
        <v>陈少珊</v>
      </c>
      <c r="E2406" s="7" t="str">
        <f t="shared" si="103"/>
        <v>女</v>
      </c>
    </row>
    <row r="2407" spans="1:5" ht="30" customHeight="1">
      <c r="A2407" s="6">
        <v>2405</v>
      </c>
      <c r="B2407" s="7" t="str">
        <f>"29802021051512430998705"</f>
        <v>29802021051512430998705</v>
      </c>
      <c r="C2407" s="7" t="s">
        <v>17</v>
      </c>
      <c r="D2407" s="7" t="str">
        <f>"潘甫虹"</f>
        <v>潘甫虹</v>
      </c>
      <c r="E2407" s="7" t="str">
        <f t="shared" si="103"/>
        <v>女</v>
      </c>
    </row>
    <row r="2408" spans="1:5" ht="30" customHeight="1">
      <c r="A2408" s="6">
        <v>2406</v>
      </c>
      <c r="B2408" s="7" t="str">
        <f>"29802021051512465898713"</f>
        <v>29802021051512465898713</v>
      </c>
      <c r="C2408" s="7" t="s">
        <v>17</v>
      </c>
      <c r="D2408" s="7" t="str">
        <f>"谢春莉"</f>
        <v>谢春莉</v>
      </c>
      <c r="E2408" s="7" t="str">
        <f t="shared" si="103"/>
        <v>女</v>
      </c>
    </row>
    <row r="2409" spans="1:5" ht="30" customHeight="1">
      <c r="A2409" s="6">
        <v>2407</v>
      </c>
      <c r="B2409" s="7" t="str">
        <f>"29802021051513300898778"</f>
        <v>29802021051513300898778</v>
      </c>
      <c r="C2409" s="7" t="s">
        <v>17</v>
      </c>
      <c r="D2409" s="7" t="str">
        <f>"王莉"</f>
        <v>王莉</v>
      </c>
      <c r="E2409" s="7" t="str">
        <f t="shared" si="103"/>
        <v>女</v>
      </c>
    </row>
    <row r="2410" spans="1:5" ht="30" customHeight="1">
      <c r="A2410" s="6">
        <v>2408</v>
      </c>
      <c r="B2410" s="7" t="str">
        <f>"29802021051513320098783"</f>
        <v>29802021051513320098783</v>
      </c>
      <c r="C2410" s="7" t="s">
        <v>17</v>
      </c>
      <c r="D2410" s="7" t="str">
        <f>"邝琼容"</f>
        <v>邝琼容</v>
      </c>
      <c r="E2410" s="7" t="str">
        <f t="shared" si="103"/>
        <v>女</v>
      </c>
    </row>
    <row r="2411" spans="1:5" ht="30" customHeight="1">
      <c r="A2411" s="6">
        <v>2409</v>
      </c>
      <c r="B2411" s="7" t="str">
        <f>"29802021051514020098832"</f>
        <v>29802021051514020098832</v>
      </c>
      <c r="C2411" s="7" t="s">
        <v>17</v>
      </c>
      <c r="D2411" s="7" t="str">
        <f>"马小燕"</f>
        <v>马小燕</v>
      </c>
      <c r="E2411" s="7" t="str">
        <f t="shared" si="103"/>
        <v>女</v>
      </c>
    </row>
    <row r="2412" spans="1:5" ht="30" customHeight="1">
      <c r="A2412" s="6">
        <v>2410</v>
      </c>
      <c r="B2412" s="7" t="str">
        <f>"29802021050908195680504"</f>
        <v>29802021050908195680504</v>
      </c>
      <c r="C2412" s="7" t="s">
        <v>18</v>
      </c>
      <c r="D2412" s="7" t="str">
        <f>"谭秋环"</f>
        <v>谭秋环</v>
      </c>
      <c r="E2412" s="7" t="str">
        <f t="shared" si="103"/>
        <v>女</v>
      </c>
    </row>
    <row r="2413" spans="1:5" ht="30" customHeight="1">
      <c r="A2413" s="6">
        <v>2411</v>
      </c>
      <c r="B2413" s="7" t="str">
        <f>"29802021050909263380601"</f>
        <v>29802021050909263380601</v>
      </c>
      <c r="C2413" s="7" t="s">
        <v>18</v>
      </c>
      <c r="D2413" s="7" t="str">
        <f>"彭夏芳"</f>
        <v>彭夏芳</v>
      </c>
      <c r="E2413" s="7" t="str">
        <f t="shared" si="103"/>
        <v>女</v>
      </c>
    </row>
    <row r="2414" spans="1:5" ht="30" customHeight="1">
      <c r="A2414" s="6">
        <v>2412</v>
      </c>
      <c r="B2414" s="7" t="str">
        <f>"29802021050909570480662"</f>
        <v>29802021050909570480662</v>
      </c>
      <c r="C2414" s="7" t="s">
        <v>18</v>
      </c>
      <c r="D2414" s="7" t="str">
        <f>"黎敏"</f>
        <v>黎敏</v>
      </c>
      <c r="E2414" s="7" t="str">
        <f aca="true" t="shared" si="104" ref="E2414:E2477">"女"</f>
        <v>女</v>
      </c>
    </row>
    <row r="2415" spans="1:5" ht="30" customHeight="1">
      <c r="A2415" s="6">
        <v>2413</v>
      </c>
      <c r="B2415" s="7" t="str">
        <f>"29802021050910553680794"</f>
        <v>29802021050910553680794</v>
      </c>
      <c r="C2415" s="7" t="s">
        <v>18</v>
      </c>
      <c r="D2415" s="7" t="str">
        <f>"刘霖菁"</f>
        <v>刘霖菁</v>
      </c>
      <c r="E2415" s="7" t="str">
        <f t="shared" si="104"/>
        <v>女</v>
      </c>
    </row>
    <row r="2416" spans="1:5" ht="30" customHeight="1">
      <c r="A2416" s="6">
        <v>2414</v>
      </c>
      <c r="B2416" s="7" t="str">
        <f>"29802021050912420380968"</f>
        <v>29802021050912420380968</v>
      </c>
      <c r="C2416" s="7" t="s">
        <v>18</v>
      </c>
      <c r="D2416" s="7" t="str">
        <f>"文晓翠"</f>
        <v>文晓翠</v>
      </c>
      <c r="E2416" s="7" t="str">
        <f t="shared" si="104"/>
        <v>女</v>
      </c>
    </row>
    <row r="2417" spans="1:5" ht="30" customHeight="1">
      <c r="A2417" s="6">
        <v>2415</v>
      </c>
      <c r="B2417" s="7" t="str">
        <f>"29802021050912504980985"</f>
        <v>29802021050912504980985</v>
      </c>
      <c r="C2417" s="7" t="s">
        <v>18</v>
      </c>
      <c r="D2417" s="7" t="str">
        <f>"符乃婷"</f>
        <v>符乃婷</v>
      </c>
      <c r="E2417" s="7" t="str">
        <f t="shared" si="104"/>
        <v>女</v>
      </c>
    </row>
    <row r="2418" spans="1:5" ht="30" customHeight="1">
      <c r="A2418" s="6">
        <v>2416</v>
      </c>
      <c r="B2418" s="7" t="str">
        <f>"29802021050914400181142"</f>
        <v>29802021050914400181142</v>
      </c>
      <c r="C2418" s="7" t="s">
        <v>18</v>
      </c>
      <c r="D2418" s="7" t="str">
        <f>"符少艳"</f>
        <v>符少艳</v>
      </c>
      <c r="E2418" s="7" t="str">
        <f t="shared" si="104"/>
        <v>女</v>
      </c>
    </row>
    <row r="2419" spans="1:5" ht="30" customHeight="1">
      <c r="A2419" s="6">
        <v>2417</v>
      </c>
      <c r="B2419" s="7" t="str">
        <f>"29802021050916585381398"</f>
        <v>29802021050916585381398</v>
      </c>
      <c r="C2419" s="7" t="s">
        <v>18</v>
      </c>
      <c r="D2419" s="7" t="str">
        <f>"张微"</f>
        <v>张微</v>
      </c>
      <c r="E2419" s="7" t="str">
        <f t="shared" si="104"/>
        <v>女</v>
      </c>
    </row>
    <row r="2420" spans="1:5" ht="30" customHeight="1">
      <c r="A2420" s="6">
        <v>2418</v>
      </c>
      <c r="B2420" s="7" t="str">
        <f>"29802021050919141981679"</f>
        <v>29802021050919141981679</v>
      </c>
      <c r="C2420" s="7" t="s">
        <v>18</v>
      </c>
      <c r="D2420" s="7" t="str">
        <f>"吕妹"</f>
        <v>吕妹</v>
      </c>
      <c r="E2420" s="7" t="str">
        <f t="shared" si="104"/>
        <v>女</v>
      </c>
    </row>
    <row r="2421" spans="1:5" ht="30" customHeight="1">
      <c r="A2421" s="6">
        <v>2419</v>
      </c>
      <c r="B2421" s="7" t="str">
        <f>"29802021050920012681764"</f>
        <v>29802021050920012681764</v>
      </c>
      <c r="C2421" s="7" t="s">
        <v>18</v>
      </c>
      <c r="D2421" s="7" t="str">
        <f>"张璇"</f>
        <v>张璇</v>
      </c>
      <c r="E2421" s="7" t="str">
        <f t="shared" si="104"/>
        <v>女</v>
      </c>
    </row>
    <row r="2422" spans="1:5" ht="30" customHeight="1">
      <c r="A2422" s="6">
        <v>2420</v>
      </c>
      <c r="B2422" s="7" t="str">
        <f>"29802021050921210081945"</f>
        <v>29802021050921210081945</v>
      </c>
      <c r="C2422" s="7" t="s">
        <v>18</v>
      </c>
      <c r="D2422" s="7" t="str">
        <f>"洪杰米"</f>
        <v>洪杰米</v>
      </c>
      <c r="E2422" s="7" t="str">
        <f t="shared" si="104"/>
        <v>女</v>
      </c>
    </row>
    <row r="2423" spans="1:5" ht="30" customHeight="1">
      <c r="A2423" s="6">
        <v>2421</v>
      </c>
      <c r="B2423" s="7" t="str">
        <f>"29802021050921480582014"</f>
        <v>29802021050921480582014</v>
      </c>
      <c r="C2423" s="7" t="s">
        <v>18</v>
      </c>
      <c r="D2423" s="7" t="str">
        <f>"郭珍珍"</f>
        <v>郭珍珍</v>
      </c>
      <c r="E2423" s="7" t="str">
        <f t="shared" si="104"/>
        <v>女</v>
      </c>
    </row>
    <row r="2424" spans="1:5" ht="30" customHeight="1">
      <c r="A2424" s="6">
        <v>2422</v>
      </c>
      <c r="B2424" s="7" t="str">
        <f>"29802021050922402582157"</f>
        <v>29802021050922402582157</v>
      </c>
      <c r="C2424" s="7" t="s">
        <v>18</v>
      </c>
      <c r="D2424" s="7" t="str">
        <f>"吴春觉"</f>
        <v>吴春觉</v>
      </c>
      <c r="E2424" s="7" t="str">
        <f t="shared" si="104"/>
        <v>女</v>
      </c>
    </row>
    <row r="2425" spans="1:5" ht="30" customHeight="1">
      <c r="A2425" s="6">
        <v>2423</v>
      </c>
      <c r="B2425" s="7" t="str">
        <f>"29802021051000005582286"</f>
        <v>29802021051000005582286</v>
      </c>
      <c r="C2425" s="7" t="s">
        <v>18</v>
      </c>
      <c r="D2425" s="7" t="str">
        <f>"马云凤"</f>
        <v>马云凤</v>
      </c>
      <c r="E2425" s="7" t="str">
        <f t="shared" si="104"/>
        <v>女</v>
      </c>
    </row>
    <row r="2426" spans="1:5" ht="30" customHeight="1">
      <c r="A2426" s="6">
        <v>2424</v>
      </c>
      <c r="B2426" s="7" t="str">
        <f>"29802021051007433282367"</f>
        <v>29802021051007433282367</v>
      </c>
      <c r="C2426" s="7" t="s">
        <v>18</v>
      </c>
      <c r="D2426" s="7" t="str">
        <f>"杨海芳"</f>
        <v>杨海芳</v>
      </c>
      <c r="E2426" s="7" t="str">
        <f t="shared" si="104"/>
        <v>女</v>
      </c>
    </row>
    <row r="2427" spans="1:5" ht="30" customHeight="1">
      <c r="A2427" s="6">
        <v>2425</v>
      </c>
      <c r="B2427" s="7" t="str">
        <f>"29802021051007464982372"</f>
        <v>29802021051007464982372</v>
      </c>
      <c r="C2427" s="7" t="s">
        <v>18</v>
      </c>
      <c r="D2427" s="7" t="str">
        <f>"苏小妹"</f>
        <v>苏小妹</v>
      </c>
      <c r="E2427" s="7" t="str">
        <f t="shared" si="104"/>
        <v>女</v>
      </c>
    </row>
    <row r="2428" spans="1:5" ht="30" customHeight="1">
      <c r="A2428" s="6">
        <v>2426</v>
      </c>
      <c r="B2428" s="7" t="str">
        <f>"29802021051008293182494"</f>
        <v>29802021051008293182494</v>
      </c>
      <c r="C2428" s="7" t="s">
        <v>18</v>
      </c>
      <c r="D2428" s="7" t="str">
        <f>"董怡红"</f>
        <v>董怡红</v>
      </c>
      <c r="E2428" s="7" t="str">
        <f t="shared" si="104"/>
        <v>女</v>
      </c>
    </row>
    <row r="2429" spans="1:5" ht="30" customHeight="1">
      <c r="A2429" s="6">
        <v>2427</v>
      </c>
      <c r="B2429" s="7" t="str">
        <f>"29802021051008300282498"</f>
        <v>29802021051008300282498</v>
      </c>
      <c r="C2429" s="7" t="s">
        <v>18</v>
      </c>
      <c r="D2429" s="7" t="str">
        <f>"陈甲子"</f>
        <v>陈甲子</v>
      </c>
      <c r="E2429" s="7" t="str">
        <f t="shared" si="104"/>
        <v>女</v>
      </c>
    </row>
    <row r="2430" spans="1:5" ht="30" customHeight="1">
      <c r="A2430" s="6">
        <v>2428</v>
      </c>
      <c r="B2430" s="7" t="str">
        <f>"29802021051008435582592"</f>
        <v>29802021051008435582592</v>
      </c>
      <c r="C2430" s="7" t="s">
        <v>18</v>
      </c>
      <c r="D2430" s="7" t="str">
        <f>"符天娜"</f>
        <v>符天娜</v>
      </c>
      <c r="E2430" s="7" t="str">
        <f t="shared" si="104"/>
        <v>女</v>
      </c>
    </row>
    <row r="2431" spans="1:5" ht="30" customHeight="1">
      <c r="A2431" s="6">
        <v>2429</v>
      </c>
      <c r="B2431" s="7" t="str">
        <f>"29802021051009152782913"</f>
        <v>29802021051009152782913</v>
      </c>
      <c r="C2431" s="7" t="s">
        <v>18</v>
      </c>
      <c r="D2431" s="7" t="str">
        <f>"王曼媛"</f>
        <v>王曼媛</v>
      </c>
      <c r="E2431" s="7" t="str">
        <f t="shared" si="104"/>
        <v>女</v>
      </c>
    </row>
    <row r="2432" spans="1:5" ht="30" customHeight="1">
      <c r="A2432" s="6">
        <v>2430</v>
      </c>
      <c r="B2432" s="7" t="str">
        <f>"29802021051009162282927"</f>
        <v>29802021051009162282927</v>
      </c>
      <c r="C2432" s="7" t="s">
        <v>18</v>
      </c>
      <c r="D2432" s="7" t="str">
        <f>"蔡兴燕"</f>
        <v>蔡兴燕</v>
      </c>
      <c r="E2432" s="7" t="str">
        <f t="shared" si="104"/>
        <v>女</v>
      </c>
    </row>
    <row r="2433" spans="1:5" ht="30" customHeight="1">
      <c r="A2433" s="6">
        <v>2431</v>
      </c>
      <c r="B2433" s="7" t="str">
        <f>"29802021051009571483360"</f>
        <v>29802021051009571483360</v>
      </c>
      <c r="C2433" s="7" t="s">
        <v>18</v>
      </c>
      <c r="D2433" s="7" t="str">
        <f>"黄伟倩"</f>
        <v>黄伟倩</v>
      </c>
      <c r="E2433" s="7" t="str">
        <f t="shared" si="104"/>
        <v>女</v>
      </c>
    </row>
    <row r="2434" spans="1:5" ht="30" customHeight="1">
      <c r="A2434" s="6">
        <v>2432</v>
      </c>
      <c r="B2434" s="7" t="str">
        <f>"29802021051011175184290"</f>
        <v>29802021051011175184290</v>
      </c>
      <c r="C2434" s="7" t="s">
        <v>18</v>
      </c>
      <c r="D2434" s="7" t="str">
        <f>"符芳虹"</f>
        <v>符芳虹</v>
      </c>
      <c r="E2434" s="7" t="str">
        <f t="shared" si="104"/>
        <v>女</v>
      </c>
    </row>
    <row r="2435" spans="1:5" ht="30" customHeight="1">
      <c r="A2435" s="6">
        <v>2433</v>
      </c>
      <c r="B2435" s="7" t="str">
        <f>"29802021051011411984472"</f>
        <v>29802021051011411984472</v>
      </c>
      <c r="C2435" s="7" t="s">
        <v>18</v>
      </c>
      <c r="D2435" s="7" t="str">
        <f>"邓桂梅"</f>
        <v>邓桂梅</v>
      </c>
      <c r="E2435" s="7" t="str">
        <f t="shared" si="104"/>
        <v>女</v>
      </c>
    </row>
    <row r="2436" spans="1:5" ht="30" customHeight="1">
      <c r="A2436" s="6">
        <v>2434</v>
      </c>
      <c r="B2436" s="7" t="str">
        <f>"29802021051012264484717"</f>
        <v>29802021051012264484717</v>
      </c>
      <c r="C2436" s="7" t="s">
        <v>18</v>
      </c>
      <c r="D2436" s="7" t="str">
        <f>"王丽娟"</f>
        <v>王丽娟</v>
      </c>
      <c r="E2436" s="7" t="str">
        <f t="shared" si="104"/>
        <v>女</v>
      </c>
    </row>
    <row r="2437" spans="1:5" ht="30" customHeight="1">
      <c r="A2437" s="6">
        <v>2435</v>
      </c>
      <c r="B2437" s="7" t="str">
        <f>"29802021051012394984799"</f>
        <v>29802021051012394984799</v>
      </c>
      <c r="C2437" s="7" t="s">
        <v>18</v>
      </c>
      <c r="D2437" s="7" t="str">
        <f>"黄梦茹"</f>
        <v>黄梦茹</v>
      </c>
      <c r="E2437" s="7" t="str">
        <f t="shared" si="104"/>
        <v>女</v>
      </c>
    </row>
    <row r="2438" spans="1:5" ht="30" customHeight="1">
      <c r="A2438" s="6">
        <v>2436</v>
      </c>
      <c r="B2438" s="7" t="str">
        <f>"29802021051012483184861"</f>
        <v>29802021051012483184861</v>
      </c>
      <c r="C2438" s="7" t="s">
        <v>18</v>
      </c>
      <c r="D2438" s="7" t="str">
        <f>"顾晓蕾"</f>
        <v>顾晓蕾</v>
      </c>
      <c r="E2438" s="7" t="str">
        <f t="shared" si="104"/>
        <v>女</v>
      </c>
    </row>
    <row r="2439" spans="1:5" ht="30" customHeight="1">
      <c r="A2439" s="6">
        <v>2437</v>
      </c>
      <c r="B2439" s="7" t="str">
        <f>"29802021051014553885462"</f>
        <v>29802021051014553885462</v>
      </c>
      <c r="C2439" s="7" t="s">
        <v>18</v>
      </c>
      <c r="D2439" s="7" t="str">
        <f>"罗羽仙"</f>
        <v>罗羽仙</v>
      </c>
      <c r="E2439" s="7" t="str">
        <f t="shared" si="104"/>
        <v>女</v>
      </c>
    </row>
    <row r="2440" spans="1:5" ht="30" customHeight="1">
      <c r="A2440" s="6">
        <v>2438</v>
      </c>
      <c r="B2440" s="7" t="str">
        <f>"29802021051015490885851"</f>
        <v>29802021051015490885851</v>
      </c>
      <c r="C2440" s="7" t="s">
        <v>18</v>
      </c>
      <c r="D2440" s="7" t="str">
        <f>"黄桂灵"</f>
        <v>黄桂灵</v>
      </c>
      <c r="E2440" s="7" t="str">
        <f t="shared" si="104"/>
        <v>女</v>
      </c>
    </row>
    <row r="2441" spans="1:5" ht="30" customHeight="1">
      <c r="A2441" s="6">
        <v>2439</v>
      </c>
      <c r="B2441" s="7" t="str">
        <f>"29802021051016443686253"</f>
        <v>29802021051016443686253</v>
      </c>
      <c r="C2441" s="7" t="s">
        <v>18</v>
      </c>
      <c r="D2441" s="7" t="str">
        <f>"董钰洁"</f>
        <v>董钰洁</v>
      </c>
      <c r="E2441" s="7" t="str">
        <f t="shared" si="104"/>
        <v>女</v>
      </c>
    </row>
    <row r="2442" spans="1:5" ht="30" customHeight="1">
      <c r="A2442" s="6">
        <v>2440</v>
      </c>
      <c r="B2442" s="7" t="str">
        <f>"29802021051017015086365"</f>
        <v>29802021051017015086365</v>
      </c>
      <c r="C2442" s="7" t="s">
        <v>18</v>
      </c>
      <c r="D2442" s="7" t="str">
        <f>"陆丹"</f>
        <v>陆丹</v>
      </c>
      <c r="E2442" s="7" t="str">
        <f t="shared" si="104"/>
        <v>女</v>
      </c>
    </row>
    <row r="2443" spans="1:5" ht="30" customHeight="1">
      <c r="A2443" s="6">
        <v>2441</v>
      </c>
      <c r="B2443" s="7" t="str">
        <f>"29802021051021205487515"</f>
        <v>29802021051021205487515</v>
      </c>
      <c r="C2443" s="7" t="s">
        <v>18</v>
      </c>
      <c r="D2443" s="7" t="str">
        <f>"陈清菊"</f>
        <v>陈清菊</v>
      </c>
      <c r="E2443" s="7" t="str">
        <f t="shared" si="104"/>
        <v>女</v>
      </c>
    </row>
    <row r="2444" spans="1:5" ht="30" customHeight="1">
      <c r="A2444" s="6">
        <v>2442</v>
      </c>
      <c r="B2444" s="7" t="str">
        <f>"29802021051023073587993"</f>
        <v>29802021051023073587993</v>
      </c>
      <c r="C2444" s="7" t="s">
        <v>18</v>
      </c>
      <c r="D2444" s="7" t="str">
        <f>"符文玉"</f>
        <v>符文玉</v>
      </c>
      <c r="E2444" s="7" t="str">
        <f t="shared" si="104"/>
        <v>女</v>
      </c>
    </row>
    <row r="2445" spans="1:5" ht="30" customHeight="1">
      <c r="A2445" s="6">
        <v>2443</v>
      </c>
      <c r="B2445" s="7" t="str">
        <f>"29802021051108212188264"</f>
        <v>29802021051108212188264</v>
      </c>
      <c r="C2445" s="7" t="s">
        <v>18</v>
      </c>
      <c r="D2445" s="7" t="str">
        <f>"李妹"</f>
        <v>李妹</v>
      </c>
      <c r="E2445" s="7" t="str">
        <f t="shared" si="104"/>
        <v>女</v>
      </c>
    </row>
    <row r="2446" spans="1:5" ht="30" customHeight="1">
      <c r="A2446" s="6">
        <v>2444</v>
      </c>
      <c r="B2446" s="7" t="str">
        <f>"29802021051108572688392"</f>
        <v>29802021051108572688392</v>
      </c>
      <c r="C2446" s="7" t="s">
        <v>18</v>
      </c>
      <c r="D2446" s="7" t="str">
        <f>"王娇慧"</f>
        <v>王娇慧</v>
      </c>
      <c r="E2446" s="7" t="str">
        <f t="shared" si="104"/>
        <v>女</v>
      </c>
    </row>
    <row r="2447" spans="1:5" ht="30" customHeight="1">
      <c r="A2447" s="6">
        <v>2445</v>
      </c>
      <c r="B2447" s="7" t="str">
        <f>"29802021051109222488515"</f>
        <v>29802021051109222488515</v>
      </c>
      <c r="C2447" s="7" t="s">
        <v>18</v>
      </c>
      <c r="D2447" s="7" t="str">
        <f>"胡丽美"</f>
        <v>胡丽美</v>
      </c>
      <c r="E2447" s="7" t="str">
        <f t="shared" si="104"/>
        <v>女</v>
      </c>
    </row>
    <row r="2448" spans="1:5" ht="30" customHeight="1">
      <c r="A2448" s="6">
        <v>2446</v>
      </c>
      <c r="B2448" s="7" t="str">
        <f>"29802021051109242988525"</f>
        <v>29802021051109242988525</v>
      </c>
      <c r="C2448" s="7" t="s">
        <v>18</v>
      </c>
      <c r="D2448" s="7" t="str">
        <f>"吉亚美"</f>
        <v>吉亚美</v>
      </c>
      <c r="E2448" s="7" t="str">
        <f t="shared" si="104"/>
        <v>女</v>
      </c>
    </row>
    <row r="2449" spans="1:5" ht="30" customHeight="1">
      <c r="A2449" s="6">
        <v>2447</v>
      </c>
      <c r="B2449" s="7" t="str">
        <f>"29802021051110213588801"</f>
        <v>29802021051110213588801</v>
      </c>
      <c r="C2449" s="7" t="s">
        <v>18</v>
      </c>
      <c r="D2449" s="7" t="str">
        <f>"黄晶晶"</f>
        <v>黄晶晶</v>
      </c>
      <c r="E2449" s="7" t="str">
        <f t="shared" si="104"/>
        <v>女</v>
      </c>
    </row>
    <row r="2450" spans="1:5" ht="30" customHeight="1">
      <c r="A2450" s="6">
        <v>2448</v>
      </c>
      <c r="B2450" s="7" t="str">
        <f>"29802021051110224088811"</f>
        <v>29802021051110224088811</v>
      </c>
      <c r="C2450" s="7" t="s">
        <v>18</v>
      </c>
      <c r="D2450" s="7" t="str">
        <f>"邢娇"</f>
        <v>邢娇</v>
      </c>
      <c r="E2450" s="7" t="str">
        <f t="shared" si="104"/>
        <v>女</v>
      </c>
    </row>
    <row r="2451" spans="1:5" ht="30" customHeight="1">
      <c r="A2451" s="6">
        <v>2449</v>
      </c>
      <c r="B2451" s="7" t="str">
        <f>"29802021051111011189024"</f>
        <v>29802021051111011189024</v>
      </c>
      <c r="C2451" s="7" t="s">
        <v>18</v>
      </c>
      <c r="D2451" s="7" t="str">
        <f>"高懿川"</f>
        <v>高懿川</v>
      </c>
      <c r="E2451" s="7" t="str">
        <f t="shared" si="104"/>
        <v>女</v>
      </c>
    </row>
    <row r="2452" spans="1:5" ht="30" customHeight="1">
      <c r="A2452" s="6">
        <v>2450</v>
      </c>
      <c r="B2452" s="7" t="str">
        <f>"29802021051115240389804"</f>
        <v>29802021051115240389804</v>
      </c>
      <c r="C2452" s="7" t="s">
        <v>18</v>
      </c>
      <c r="D2452" s="7" t="str">
        <f>"杨柳梅"</f>
        <v>杨柳梅</v>
      </c>
      <c r="E2452" s="7" t="str">
        <f t="shared" si="104"/>
        <v>女</v>
      </c>
    </row>
    <row r="2453" spans="1:5" ht="30" customHeight="1">
      <c r="A2453" s="6">
        <v>2451</v>
      </c>
      <c r="B2453" s="7" t="str">
        <f>"29802021051116331390105"</f>
        <v>29802021051116331390105</v>
      </c>
      <c r="C2453" s="7" t="s">
        <v>18</v>
      </c>
      <c r="D2453" s="7" t="str">
        <f>"王梦婕"</f>
        <v>王梦婕</v>
      </c>
      <c r="E2453" s="7" t="str">
        <f t="shared" si="104"/>
        <v>女</v>
      </c>
    </row>
    <row r="2454" spans="1:5" ht="30" customHeight="1">
      <c r="A2454" s="6">
        <v>2452</v>
      </c>
      <c r="B2454" s="7" t="str">
        <f>"29802021051116471290146"</f>
        <v>29802021051116471290146</v>
      </c>
      <c r="C2454" s="7" t="s">
        <v>18</v>
      </c>
      <c r="D2454" s="7" t="str">
        <f>"沈彩梦"</f>
        <v>沈彩梦</v>
      </c>
      <c r="E2454" s="7" t="str">
        <f t="shared" si="104"/>
        <v>女</v>
      </c>
    </row>
    <row r="2455" spans="1:5" ht="30" customHeight="1">
      <c r="A2455" s="6">
        <v>2453</v>
      </c>
      <c r="B2455" s="7" t="str">
        <f>"29802021051118455990515"</f>
        <v>29802021051118455990515</v>
      </c>
      <c r="C2455" s="7" t="s">
        <v>18</v>
      </c>
      <c r="D2455" s="7" t="str">
        <f>"李小芳"</f>
        <v>李小芳</v>
      </c>
      <c r="E2455" s="7" t="str">
        <f t="shared" si="104"/>
        <v>女</v>
      </c>
    </row>
    <row r="2456" spans="1:5" ht="30" customHeight="1">
      <c r="A2456" s="6">
        <v>2454</v>
      </c>
      <c r="B2456" s="7" t="str">
        <f>"29802021051120375290836"</f>
        <v>29802021051120375290836</v>
      </c>
      <c r="C2456" s="7" t="s">
        <v>18</v>
      </c>
      <c r="D2456" s="7" t="str">
        <f>"卢裕月"</f>
        <v>卢裕月</v>
      </c>
      <c r="E2456" s="7" t="str">
        <f t="shared" si="104"/>
        <v>女</v>
      </c>
    </row>
    <row r="2457" spans="1:5" ht="30" customHeight="1">
      <c r="A2457" s="6">
        <v>2455</v>
      </c>
      <c r="B2457" s="7" t="str">
        <f>"29802021051122443791226"</f>
        <v>29802021051122443791226</v>
      </c>
      <c r="C2457" s="7" t="s">
        <v>18</v>
      </c>
      <c r="D2457" s="7" t="str">
        <f>"蓝慧"</f>
        <v>蓝慧</v>
      </c>
      <c r="E2457" s="7" t="str">
        <f t="shared" si="104"/>
        <v>女</v>
      </c>
    </row>
    <row r="2458" spans="1:5" ht="30" customHeight="1">
      <c r="A2458" s="6">
        <v>2456</v>
      </c>
      <c r="B2458" s="7" t="str">
        <f>"29802021051123140691290"</f>
        <v>29802021051123140691290</v>
      </c>
      <c r="C2458" s="7" t="s">
        <v>18</v>
      </c>
      <c r="D2458" s="7" t="str">
        <f>"黎亚霞"</f>
        <v>黎亚霞</v>
      </c>
      <c r="E2458" s="7" t="str">
        <f t="shared" si="104"/>
        <v>女</v>
      </c>
    </row>
    <row r="2459" spans="1:5" ht="30" customHeight="1">
      <c r="A2459" s="6">
        <v>2457</v>
      </c>
      <c r="B2459" s="7" t="str">
        <f>"29802021051208361891481"</f>
        <v>29802021051208361891481</v>
      </c>
      <c r="C2459" s="7" t="s">
        <v>18</v>
      </c>
      <c r="D2459" s="7" t="str">
        <f>"周小芳"</f>
        <v>周小芳</v>
      </c>
      <c r="E2459" s="7" t="str">
        <f t="shared" si="104"/>
        <v>女</v>
      </c>
    </row>
    <row r="2460" spans="1:5" ht="30" customHeight="1">
      <c r="A2460" s="6">
        <v>2458</v>
      </c>
      <c r="B2460" s="7" t="str">
        <f>"29802021051208584791531"</f>
        <v>29802021051208584791531</v>
      </c>
      <c r="C2460" s="7" t="s">
        <v>18</v>
      </c>
      <c r="D2460" s="7" t="str">
        <f>"林小倩"</f>
        <v>林小倩</v>
      </c>
      <c r="E2460" s="7" t="str">
        <f t="shared" si="104"/>
        <v>女</v>
      </c>
    </row>
    <row r="2461" spans="1:5" ht="30" customHeight="1">
      <c r="A2461" s="6">
        <v>2459</v>
      </c>
      <c r="B2461" s="7" t="str">
        <f>"29802021051209344691688"</f>
        <v>29802021051209344691688</v>
      </c>
      <c r="C2461" s="7" t="s">
        <v>18</v>
      </c>
      <c r="D2461" s="7" t="str">
        <f>"陈小小"</f>
        <v>陈小小</v>
      </c>
      <c r="E2461" s="7" t="str">
        <f t="shared" si="104"/>
        <v>女</v>
      </c>
    </row>
    <row r="2462" spans="1:5" ht="30" customHeight="1">
      <c r="A2462" s="6">
        <v>2460</v>
      </c>
      <c r="B2462" s="7" t="str">
        <f>"29802021051211570992342"</f>
        <v>29802021051211570992342</v>
      </c>
      <c r="C2462" s="7" t="s">
        <v>18</v>
      </c>
      <c r="D2462" s="7" t="str">
        <f>"陈珊珊"</f>
        <v>陈珊珊</v>
      </c>
      <c r="E2462" s="7" t="str">
        <f t="shared" si="104"/>
        <v>女</v>
      </c>
    </row>
    <row r="2463" spans="1:5" ht="30" customHeight="1">
      <c r="A2463" s="6">
        <v>2461</v>
      </c>
      <c r="B2463" s="7" t="str">
        <f>"29802021051212025292358"</f>
        <v>29802021051212025292358</v>
      </c>
      <c r="C2463" s="7" t="s">
        <v>18</v>
      </c>
      <c r="D2463" s="7" t="str">
        <f>"谢丽雯"</f>
        <v>谢丽雯</v>
      </c>
      <c r="E2463" s="7" t="str">
        <f t="shared" si="104"/>
        <v>女</v>
      </c>
    </row>
    <row r="2464" spans="1:5" ht="30" customHeight="1">
      <c r="A2464" s="6">
        <v>2462</v>
      </c>
      <c r="B2464" s="7" t="str">
        <f>"29802021051214412492740"</f>
        <v>29802021051214412492740</v>
      </c>
      <c r="C2464" s="7" t="s">
        <v>18</v>
      </c>
      <c r="D2464" s="7" t="str">
        <f>"蒲佳雪"</f>
        <v>蒲佳雪</v>
      </c>
      <c r="E2464" s="7" t="str">
        <f t="shared" si="104"/>
        <v>女</v>
      </c>
    </row>
    <row r="2465" spans="1:5" ht="30" customHeight="1">
      <c r="A2465" s="6">
        <v>2463</v>
      </c>
      <c r="B2465" s="7" t="str">
        <f>"29802021051215373892959"</f>
        <v>29802021051215373892959</v>
      </c>
      <c r="C2465" s="7" t="s">
        <v>18</v>
      </c>
      <c r="D2465" s="7" t="str">
        <f>"董甜甜"</f>
        <v>董甜甜</v>
      </c>
      <c r="E2465" s="7" t="str">
        <f t="shared" si="104"/>
        <v>女</v>
      </c>
    </row>
    <row r="2466" spans="1:5" ht="30" customHeight="1">
      <c r="A2466" s="6">
        <v>2464</v>
      </c>
      <c r="B2466" s="7" t="str">
        <f>"29802021051216402793220"</f>
        <v>29802021051216402793220</v>
      </c>
      <c r="C2466" s="7" t="s">
        <v>18</v>
      </c>
      <c r="D2466" s="7" t="str">
        <f>"黄晓敏"</f>
        <v>黄晓敏</v>
      </c>
      <c r="E2466" s="7" t="str">
        <f t="shared" si="104"/>
        <v>女</v>
      </c>
    </row>
    <row r="2467" spans="1:5" ht="30" customHeight="1">
      <c r="A2467" s="6">
        <v>2465</v>
      </c>
      <c r="B2467" s="7" t="str">
        <f>"29802021051218100293497"</f>
        <v>29802021051218100293497</v>
      </c>
      <c r="C2467" s="7" t="s">
        <v>18</v>
      </c>
      <c r="D2467" s="7" t="str">
        <f>"黄慧"</f>
        <v>黄慧</v>
      </c>
      <c r="E2467" s="7" t="str">
        <f t="shared" si="104"/>
        <v>女</v>
      </c>
    </row>
    <row r="2468" spans="1:5" ht="30" customHeight="1">
      <c r="A2468" s="6">
        <v>2466</v>
      </c>
      <c r="B2468" s="7" t="str">
        <f>"29802021051219253893631"</f>
        <v>29802021051219253893631</v>
      </c>
      <c r="C2468" s="7" t="s">
        <v>18</v>
      </c>
      <c r="D2468" s="7" t="str">
        <f>"冯海芳"</f>
        <v>冯海芳</v>
      </c>
      <c r="E2468" s="7" t="str">
        <f t="shared" si="104"/>
        <v>女</v>
      </c>
    </row>
    <row r="2469" spans="1:5" ht="30" customHeight="1">
      <c r="A2469" s="6">
        <v>2467</v>
      </c>
      <c r="B2469" s="7" t="str">
        <f>"29802021051219290093635"</f>
        <v>29802021051219290093635</v>
      </c>
      <c r="C2469" s="7" t="s">
        <v>18</v>
      </c>
      <c r="D2469" s="7" t="str">
        <f>"尹杨晓"</f>
        <v>尹杨晓</v>
      </c>
      <c r="E2469" s="7" t="str">
        <f t="shared" si="104"/>
        <v>女</v>
      </c>
    </row>
    <row r="2470" spans="1:5" ht="30" customHeight="1">
      <c r="A2470" s="6">
        <v>2468</v>
      </c>
      <c r="B2470" s="7" t="str">
        <f>"29802021051307074594261"</f>
        <v>29802021051307074594261</v>
      </c>
      <c r="C2470" s="7" t="s">
        <v>18</v>
      </c>
      <c r="D2470" s="7" t="str">
        <f>"黄丽娇"</f>
        <v>黄丽娇</v>
      </c>
      <c r="E2470" s="7" t="str">
        <f t="shared" si="104"/>
        <v>女</v>
      </c>
    </row>
    <row r="2471" spans="1:5" ht="30" customHeight="1">
      <c r="A2471" s="6">
        <v>2469</v>
      </c>
      <c r="B2471" s="7" t="str">
        <f>"29802021051308210594305"</f>
        <v>29802021051308210594305</v>
      </c>
      <c r="C2471" s="7" t="s">
        <v>18</v>
      </c>
      <c r="D2471" s="7" t="str">
        <f>"王秋英"</f>
        <v>王秋英</v>
      </c>
      <c r="E2471" s="7" t="str">
        <f t="shared" si="104"/>
        <v>女</v>
      </c>
    </row>
    <row r="2472" spans="1:5" ht="30" customHeight="1">
      <c r="A2472" s="6">
        <v>2470</v>
      </c>
      <c r="B2472" s="7" t="str">
        <f>"29802021051310211894626"</f>
        <v>29802021051310211894626</v>
      </c>
      <c r="C2472" s="7" t="s">
        <v>18</v>
      </c>
      <c r="D2472" s="7" t="str">
        <f>"李秋萍"</f>
        <v>李秋萍</v>
      </c>
      <c r="E2472" s="7" t="str">
        <f t="shared" si="104"/>
        <v>女</v>
      </c>
    </row>
    <row r="2473" spans="1:5" ht="30" customHeight="1">
      <c r="A2473" s="6">
        <v>2471</v>
      </c>
      <c r="B2473" s="7" t="str">
        <f>"29802021051312153894967"</f>
        <v>29802021051312153894967</v>
      </c>
      <c r="C2473" s="7" t="s">
        <v>18</v>
      </c>
      <c r="D2473" s="7" t="str">
        <f>"苏天玉"</f>
        <v>苏天玉</v>
      </c>
      <c r="E2473" s="7" t="str">
        <f t="shared" si="104"/>
        <v>女</v>
      </c>
    </row>
    <row r="2474" spans="1:5" ht="30" customHeight="1">
      <c r="A2474" s="6">
        <v>2472</v>
      </c>
      <c r="B2474" s="7" t="str">
        <f>"29802021051314450195210"</f>
        <v>29802021051314450195210</v>
      </c>
      <c r="C2474" s="7" t="s">
        <v>18</v>
      </c>
      <c r="D2474" s="7" t="str">
        <f>"许慧敏"</f>
        <v>许慧敏</v>
      </c>
      <c r="E2474" s="7" t="str">
        <f t="shared" si="104"/>
        <v>女</v>
      </c>
    </row>
    <row r="2475" spans="1:5" ht="30" customHeight="1">
      <c r="A2475" s="6">
        <v>2473</v>
      </c>
      <c r="B2475" s="7" t="str">
        <f>"29802021051315031195255"</f>
        <v>29802021051315031195255</v>
      </c>
      <c r="C2475" s="7" t="s">
        <v>18</v>
      </c>
      <c r="D2475" s="7" t="str">
        <f>"黄奕苑"</f>
        <v>黄奕苑</v>
      </c>
      <c r="E2475" s="7" t="str">
        <f t="shared" si="104"/>
        <v>女</v>
      </c>
    </row>
    <row r="2476" spans="1:5" ht="30" customHeight="1">
      <c r="A2476" s="6">
        <v>2474</v>
      </c>
      <c r="B2476" s="7" t="str">
        <f>"29802021051315562295388"</f>
        <v>29802021051315562295388</v>
      </c>
      <c r="C2476" s="7" t="s">
        <v>18</v>
      </c>
      <c r="D2476" s="7" t="str">
        <f>"陈繁"</f>
        <v>陈繁</v>
      </c>
      <c r="E2476" s="7" t="str">
        <f t="shared" si="104"/>
        <v>女</v>
      </c>
    </row>
    <row r="2477" spans="1:5" ht="30" customHeight="1">
      <c r="A2477" s="6">
        <v>2475</v>
      </c>
      <c r="B2477" s="7" t="str">
        <f>"29802021051320165295937"</f>
        <v>29802021051320165295937</v>
      </c>
      <c r="C2477" s="7" t="s">
        <v>18</v>
      </c>
      <c r="D2477" s="7" t="str">
        <f>"王柳婷"</f>
        <v>王柳婷</v>
      </c>
      <c r="E2477" s="7" t="str">
        <f t="shared" si="104"/>
        <v>女</v>
      </c>
    </row>
    <row r="2478" spans="1:5" ht="30" customHeight="1">
      <c r="A2478" s="6">
        <v>2476</v>
      </c>
      <c r="B2478" s="7" t="str">
        <f>"29802021051409083596540"</f>
        <v>29802021051409083596540</v>
      </c>
      <c r="C2478" s="7" t="s">
        <v>18</v>
      </c>
      <c r="D2478" s="7" t="str">
        <f>"龙瑜"</f>
        <v>龙瑜</v>
      </c>
      <c r="E2478" s="7" t="str">
        <f aca="true" t="shared" si="105" ref="E2478:E2488">"女"</f>
        <v>女</v>
      </c>
    </row>
    <row r="2479" spans="1:5" ht="30" customHeight="1">
      <c r="A2479" s="6">
        <v>2477</v>
      </c>
      <c r="B2479" s="7" t="str">
        <f>"29802021051410013696660"</f>
        <v>29802021051410013696660</v>
      </c>
      <c r="C2479" s="7" t="s">
        <v>18</v>
      </c>
      <c r="D2479" s="7" t="str">
        <f>"黄妮娜"</f>
        <v>黄妮娜</v>
      </c>
      <c r="E2479" s="7" t="str">
        <f t="shared" si="105"/>
        <v>女</v>
      </c>
    </row>
    <row r="2480" spans="1:5" ht="30" customHeight="1">
      <c r="A2480" s="6">
        <v>2478</v>
      </c>
      <c r="B2480" s="7" t="str">
        <f>"29802021051411253396853"</f>
        <v>29802021051411253396853</v>
      </c>
      <c r="C2480" s="7" t="s">
        <v>18</v>
      </c>
      <c r="D2480" s="7" t="str">
        <f>"马晓藤"</f>
        <v>马晓藤</v>
      </c>
      <c r="E2480" s="7" t="str">
        <f t="shared" si="105"/>
        <v>女</v>
      </c>
    </row>
    <row r="2481" spans="1:5" ht="30" customHeight="1">
      <c r="A2481" s="6">
        <v>2479</v>
      </c>
      <c r="B2481" s="7" t="str">
        <f>"29802021051411495796901"</f>
        <v>29802021051411495796901</v>
      </c>
      <c r="C2481" s="7" t="s">
        <v>18</v>
      </c>
      <c r="D2481" s="7" t="str">
        <f>"钟晓莹"</f>
        <v>钟晓莹</v>
      </c>
      <c r="E2481" s="7" t="str">
        <f t="shared" si="105"/>
        <v>女</v>
      </c>
    </row>
    <row r="2482" spans="1:5" ht="30" customHeight="1">
      <c r="A2482" s="6">
        <v>2480</v>
      </c>
      <c r="B2482" s="7" t="str">
        <f>"29802021051413491997144"</f>
        <v>29802021051413491997144</v>
      </c>
      <c r="C2482" s="7" t="s">
        <v>18</v>
      </c>
      <c r="D2482" s="7" t="str">
        <f>"黄群"</f>
        <v>黄群</v>
      </c>
      <c r="E2482" s="7" t="str">
        <f t="shared" si="105"/>
        <v>女</v>
      </c>
    </row>
    <row r="2483" spans="1:5" ht="30" customHeight="1">
      <c r="A2483" s="6">
        <v>2481</v>
      </c>
      <c r="B2483" s="7" t="str">
        <f>"29802021051416021297412"</f>
        <v>29802021051416021297412</v>
      </c>
      <c r="C2483" s="7" t="s">
        <v>18</v>
      </c>
      <c r="D2483" s="7" t="str">
        <f>"王梦思"</f>
        <v>王梦思</v>
      </c>
      <c r="E2483" s="7" t="str">
        <f t="shared" si="105"/>
        <v>女</v>
      </c>
    </row>
    <row r="2484" spans="1:5" ht="30" customHeight="1">
      <c r="A2484" s="6">
        <v>2482</v>
      </c>
      <c r="B2484" s="7" t="str">
        <f>"29802021051420121897857"</f>
        <v>29802021051420121897857</v>
      </c>
      <c r="C2484" s="7" t="s">
        <v>18</v>
      </c>
      <c r="D2484" s="7" t="str">
        <f>"周丹丹"</f>
        <v>周丹丹</v>
      </c>
      <c r="E2484" s="7" t="str">
        <f t="shared" si="105"/>
        <v>女</v>
      </c>
    </row>
    <row r="2485" spans="1:5" ht="30" customHeight="1">
      <c r="A2485" s="6">
        <v>2483</v>
      </c>
      <c r="B2485" s="7" t="str">
        <f>"29802021051423031198150"</f>
        <v>29802021051423031198150</v>
      </c>
      <c r="C2485" s="7" t="s">
        <v>18</v>
      </c>
      <c r="D2485" s="7" t="str">
        <f>"黎舒宽"</f>
        <v>黎舒宽</v>
      </c>
      <c r="E2485" s="7" t="str">
        <f t="shared" si="105"/>
        <v>女</v>
      </c>
    </row>
    <row r="2486" spans="1:5" ht="30" customHeight="1">
      <c r="A2486" s="6">
        <v>2484</v>
      </c>
      <c r="B2486" s="7" t="str">
        <f>"29802021051507514298311"</f>
        <v>29802021051507514298311</v>
      </c>
      <c r="C2486" s="7" t="s">
        <v>18</v>
      </c>
      <c r="D2486" s="7" t="str">
        <f>"黄碧荷"</f>
        <v>黄碧荷</v>
      </c>
      <c r="E2486" s="7" t="str">
        <f t="shared" si="105"/>
        <v>女</v>
      </c>
    </row>
    <row r="2487" spans="1:5" ht="30" customHeight="1">
      <c r="A2487" s="6">
        <v>2485</v>
      </c>
      <c r="B2487" s="7" t="str">
        <f>"29802021051509421598397"</f>
        <v>29802021051509421598397</v>
      </c>
      <c r="C2487" s="7" t="s">
        <v>18</v>
      </c>
      <c r="D2487" s="7" t="str">
        <f>"吴季娟"</f>
        <v>吴季娟</v>
      </c>
      <c r="E2487" s="7" t="str">
        <f t="shared" si="105"/>
        <v>女</v>
      </c>
    </row>
    <row r="2488" spans="1:5" ht="30" customHeight="1">
      <c r="A2488" s="6">
        <v>2486</v>
      </c>
      <c r="B2488" s="7" t="str">
        <f>"29802021051513423798801"</f>
        <v>29802021051513423798801</v>
      </c>
      <c r="C2488" s="7" t="s">
        <v>18</v>
      </c>
      <c r="D2488" s="7" t="str">
        <f>"郑斌云"</f>
        <v>郑斌云</v>
      </c>
      <c r="E2488" s="7" t="str">
        <f t="shared" si="105"/>
        <v>女</v>
      </c>
    </row>
    <row r="2489" spans="1:5" ht="30" customHeight="1">
      <c r="A2489" s="6">
        <v>2487</v>
      </c>
      <c r="B2489" s="7" t="str">
        <f>"29802021050908123180489"</f>
        <v>29802021050908123180489</v>
      </c>
      <c r="C2489" s="7" t="s">
        <v>19</v>
      </c>
      <c r="D2489" s="7" t="str">
        <f>"吴挺鑫"</f>
        <v>吴挺鑫</v>
      </c>
      <c r="E2489" s="7" t="str">
        <f>"男"</f>
        <v>男</v>
      </c>
    </row>
    <row r="2490" spans="1:5" ht="30" customHeight="1">
      <c r="A2490" s="6">
        <v>2488</v>
      </c>
      <c r="B2490" s="7" t="str">
        <f>"29802021050910143780705"</f>
        <v>29802021050910143780705</v>
      </c>
      <c r="C2490" s="7" t="s">
        <v>19</v>
      </c>
      <c r="D2490" s="7" t="str">
        <f>"罗金"</f>
        <v>罗金</v>
      </c>
      <c r="E2490" s="7" t="str">
        <f>"男"</f>
        <v>男</v>
      </c>
    </row>
    <row r="2491" spans="1:5" ht="30" customHeight="1">
      <c r="A2491" s="6">
        <v>2489</v>
      </c>
      <c r="B2491" s="7" t="str">
        <f>"29802021050910582480805"</f>
        <v>29802021050910582480805</v>
      </c>
      <c r="C2491" s="7" t="s">
        <v>19</v>
      </c>
      <c r="D2491" s="7" t="str">
        <f>"王佩"</f>
        <v>王佩</v>
      </c>
      <c r="E2491" s="7" t="str">
        <f>"女"</f>
        <v>女</v>
      </c>
    </row>
    <row r="2492" spans="1:5" ht="30" customHeight="1">
      <c r="A2492" s="6">
        <v>2490</v>
      </c>
      <c r="B2492" s="7" t="str">
        <f>"29802021050911035680811"</f>
        <v>29802021050911035680811</v>
      </c>
      <c r="C2492" s="7" t="s">
        <v>19</v>
      </c>
      <c r="D2492" s="7" t="str">
        <f>"梁丽梅"</f>
        <v>梁丽梅</v>
      </c>
      <c r="E2492" s="7" t="str">
        <f>"女"</f>
        <v>女</v>
      </c>
    </row>
    <row r="2493" spans="1:5" ht="30" customHeight="1">
      <c r="A2493" s="6">
        <v>2491</v>
      </c>
      <c r="B2493" s="7" t="str">
        <f>"29802021050911091780822"</f>
        <v>29802021050911091780822</v>
      </c>
      <c r="C2493" s="7" t="s">
        <v>19</v>
      </c>
      <c r="D2493" s="7" t="str">
        <f>"朱深良"</f>
        <v>朱深良</v>
      </c>
      <c r="E2493" s="7" t="str">
        <f>"男"</f>
        <v>男</v>
      </c>
    </row>
    <row r="2494" spans="1:5" ht="30" customHeight="1">
      <c r="A2494" s="6">
        <v>2492</v>
      </c>
      <c r="B2494" s="7" t="str">
        <f>"29802021050911272980847"</f>
        <v>29802021050911272980847</v>
      </c>
      <c r="C2494" s="7" t="s">
        <v>19</v>
      </c>
      <c r="D2494" s="7" t="str">
        <f>"李皎余"</f>
        <v>李皎余</v>
      </c>
      <c r="E2494" s="7" t="str">
        <f aca="true" t="shared" si="106" ref="E2494:E2501">"女"</f>
        <v>女</v>
      </c>
    </row>
    <row r="2495" spans="1:5" ht="30" customHeight="1">
      <c r="A2495" s="6">
        <v>2493</v>
      </c>
      <c r="B2495" s="7" t="str">
        <f>"29802021050911561580903"</f>
        <v>29802021050911561580903</v>
      </c>
      <c r="C2495" s="7" t="s">
        <v>19</v>
      </c>
      <c r="D2495" s="7" t="str">
        <f>"陈兴强"</f>
        <v>陈兴强</v>
      </c>
      <c r="E2495" s="7" t="str">
        <f t="shared" si="106"/>
        <v>女</v>
      </c>
    </row>
    <row r="2496" spans="1:5" ht="30" customHeight="1">
      <c r="A2496" s="6">
        <v>2494</v>
      </c>
      <c r="B2496" s="7" t="str">
        <f>"29802021050912442980976"</f>
        <v>29802021050912442980976</v>
      </c>
      <c r="C2496" s="7" t="s">
        <v>19</v>
      </c>
      <c r="D2496" s="7" t="str">
        <f>"杨春兰"</f>
        <v>杨春兰</v>
      </c>
      <c r="E2496" s="7" t="str">
        <f t="shared" si="106"/>
        <v>女</v>
      </c>
    </row>
    <row r="2497" spans="1:5" ht="30" customHeight="1">
      <c r="A2497" s="6">
        <v>2495</v>
      </c>
      <c r="B2497" s="7" t="str">
        <f>"29802021050912452780977"</f>
        <v>29802021050912452780977</v>
      </c>
      <c r="C2497" s="7" t="s">
        <v>19</v>
      </c>
      <c r="D2497" s="7" t="str">
        <f>"李蕾"</f>
        <v>李蕾</v>
      </c>
      <c r="E2497" s="7" t="str">
        <f t="shared" si="106"/>
        <v>女</v>
      </c>
    </row>
    <row r="2498" spans="1:5" ht="30" customHeight="1">
      <c r="A2498" s="6">
        <v>2496</v>
      </c>
      <c r="B2498" s="7" t="str">
        <f>"29802021050913043581015"</f>
        <v>29802021050913043581015</v>
      </c>
      <c r="C2498" s="7" t="s">
        <v>19</v>
      </c>
      <c r="D2498" s="7" t="str">
        <f>"谢冰"</f>
        <v>谢冰</v>
      </c>
      <c r="E2498" s="7" t="str">
        <f t="shared" si="106"/>
        <v>女</v>
      </c>
    </row>
    <row r="2499" spans="1:5" ht="30" customHeight="1">
      <c r="A2499" s="6">
        <v>2497</v>
      </c>
      <c r="B2499" s="7" t="str">
        <f>"29802021050913442881070"</f>
        <v>29802021050913442881070</v>
      </c>
      <c r="C2499" s="7" t="s">
        <v>19</v>
      </c>
      <c r="D2499" s="7" t="str">
        <f>"陈慧孟"</f>
        <v>陈慧孟</v>
      </c>
      <c r="E2499" s="7" t="str">
        <f t="shared" si="106"/>
        <v>女</v>
      </c>
    </row>
    <row r="2500" spans="1:5" ht="30" customHeight="1">
      <c r="A2500" s="6">
        <v>2498</v>
      </c>
      <c r="B2500" s="7" t="str">
        <f>"29802021050915123581195"</f>
        <v>29802021050915123581195</v>
      </c>
      <c r="C2500" s="7" t="s">
        <v>19</v>
      </c>
      <c r="D2500" s="7" t="str">
        <f>"王娟"</f>
        <v>王娟</v>
      </c>
      <c r="E2500" s="7" t="str">
        <f t="shared" si="106"/>
        <v>女</v>
      </c>
    </row>
    <row r="2501" spans="1:5" ht="30" customHeight="1">
      <c r="A2501" s="6">
        <v>2499</v>
      </c>
      <c r="B2501" s="7" t="str">
        <f>"29802021050915294681216"</f>
        <v>29802021050915294681216</v>
      </c>
      <c r="C2501" s="7" t="s">
        <v>19</v>
      </c>
      <c r="D2501" s="7" t="str">
        <f>"陆钟盈"</f>
        <v>陆钟盈</v>
      </c>
      <c r="E2501" s="7" t="str">
        <f t="shared" si="106"/>
        <v>女</v>
      </c>
    </row>
    <row r="2502" spans="1:5" ht="30" customHeight="1">
      <c r="A2502" s="6">
        <v>2500</v>
      </c>
      <c r="B2502" s="7" t="str">
        <f>"29802021050916311681341"</f>
        <v>29802021050916311681341</v>
      </c>
      <c r="C2502" s="7" t="s">
        <v>19</v>
      </c>
      <c r="D2502" s="7" t="str">
        <f>"雷家善"</f>
        <v>雷家善</v>
      </c>
      <c r="E2502" s="7" t="str">
        <f>"男"</f>
        <v>男</v>
      </c>
    </row>
    <row r="2503" spans="1:5" ht="30" customHeight="1">
      <c r="A2503" s="6">
        <v>2501</v>
      </c>
      <c r="B2503" s="7" t="str">
        <f>"29802021050916415081365"</f>
        <v>29802021050916415081365</v>
      </c>
      <c r="C2503" s="7" t="s">
        <v>19</v>
      </c>
      <c r="D2503" s="7" t="str">
        <f>"黄霞"</f>
        <v>黄霞</v>
      </c>
      <c r="E2503" s="7" t="str">
        <f>"女"</f>
        <v>女</v>
      </c>
    </row>
    <row r="2504" spans="1:5" ht="30" customHeight="1">
      <c r="A2504" s="6">
        <v>2502</v>
      </c>
      <c r="B2504" s="7" t="str">
        <f>"29802021050918113981561"</f>
        <v>29802021050918113981561</v>
      </c>
      <c r="C2504" s="7" t="s">
        <v>19</v>
      </c>
      <c r="D2504" s="7" t="str">
        <f>"符霓蕾"</f>
        <v>符霓蕾</v>
      </c>
      <c r="E2504" s="7" t="str">
        <f>"女"</f>
        <v>女</v>
      </c>
    </row>
    <row r="2505" spans="1:5" ht="30" customHeight="1">
      <c r="A2505" s="6">
        <v>2503</v>
      </c>
      <c r="B2505" s="7" t="str">
        <f>"29802021050918155081570"</f>
        <v>29802021050918155081570</v>
      </c>
      <c r="C2505" s="7" t="s">
        <v>19</v>
      </c>
      <c r="D2505" s="7" t="str">
        <f>"邱阳林"</f>
        <v>邱阳林</v>
      </c>
      <c r="E2505" s="7" t="str">
        <f>"女"</f>
        <v>女</v>
      </c>
    </row>
    <row r="2506" spans="1:5" ht="30" customHeight="1">
      <c r="A2506" s="6">
        <v>2504</v>
      </c>
      <c r="B2506" s="7" t="str">
        <f>"29802021050918180881574"</f>
        <v>29802021050918180881574</v>
      </c>
      <c r="C2506" s="7" t="s">
        <v>19</v>
      </c>
      <c r="D2506" s="7" t="str">
        <f>"黄小倩"</f>
        <v>黄小倩</v>
      </c>
      <c r="E2506" s="7" t="str">
        <f>"女"</f>
        <v>女</v>
      </c>
    </row>
    <row r="2507" spans="1:5" ht="30" customHeight="1">
      <c r="A2507" s="6">
        <v>2505</v>
      </c>
      <c r="B2507" s="7" t="str">
        <f>"29802021050919441781732"</f>
        <v>29802021050919441781732</v>
      </c>
      <c r="C2507" s="7" t="s">
        <v>19</v>
      </c>
      <c r="D2507" s="7" t="str">
        <f>"王子庆"</f>
        <v>王子庆</v>
      </c>
      <c r="E2507" s="7" t="str">
        <f>"男"</f>
        <v>男</v>
      </c>
    </row>
    <row r="2508" spans="1:5" ht="30" customHeight="1">
      <c r="A2508" s="6">
        <v>2506</v>
      </c>
      <c r="B2508" s="7" t="str">
        <f>"29802021050922111082077"</f>
        <v>29802021050922111082077</v>
      </c>
      <c r="C2508" s="7" t="s">
        <v>19</v>
      </c>
      <c r="D2508" s="7" t="str">
        <f>"王丽焕"</f>
        <v>王丽焕</v>
      </c>
      <c r="E2508" s="7" t="str">
        <f aca="true" t="shared" si="107" ref="E2508:E2520">"女"</f>
        <v>女</v>
      </c>
    </row>
    <row r="2509" spans="1:5" ht="30" customHeight="1">
      <c r="A2509" s="6">
        <v>2507</v>
      </c>
      <c r="B2509" s="7" t="str">
        <f>"29802021051000044682291"</f>
        <v>29802021051000044682291</v>
      </c>
      <c r="C2509" s="7" t="s">
        <v>19</v>
      </c>
      <c r="D2509" s="7" t="str">
        <f>"欧诒翠"</f>
        <v>欧诒翠</v>
      </c>
      <c r="E2509" s="7" t="str">
        <f t="shared" si="107"/>
        <v>女</v>
      </c>
    </row>
    <row r="2510" spans="1:5" ht="30" customHeight="1">
      <c r="A2510" s="6">
        <v>2508</v>
      </c>
      <c r="B2510" s="7" t="str">
        <f>"29802021051007560382386"</f>
        <v>29802021051007560382386</v>
      </c>
      <c r="C2510" s="7" t="s">
        <v>19</v>
      </c>
      <c r="D2510" s="7" t="str">
        <f>"李红霞"</f>
        <v>李红霞</v>
      </c>
      <c r="E2510" s="7" t="str">
        <f t="shared" si="107"/>
        <v>女</v>
      </c>
    </row>
    <row r="2511" spans="1:5" ht="30" customHeight="1">
      <c r="A2511" s="6">
        <v>2509</v>
      </c>
      <c r="B2511" s="7" t="str">
        <f>"29802021051008072082411"</f>
        <v>29802021051008072082411</v>
      </c>
      <c r="C2511" s="7" t="s">
        <v>19</v>
      </c>
      <c r="D2511" s="7" t="str">
        <f>"许小税"</f>
        <v>许小税</v>
      </c>
      <c r="E2511" s="7" t="str">
        <f t="shared" si="107"/>
        <v>女</v>
      </c>
    </row>
    <row r="2512" spans="1:5" ht="30" customHeight="1">
      <c r="A2512" s="6">
        <v>2510</v>
      </c>
      <c r="B2512" s="7" t="str">
        <f>"29802021051008484282625"</f>
        <v>29802021051008484282625</v>
      </c>
      <c r="C2512" s="7" t="s">
        <v>19</v>
      </c>
      <c r="D2512" s="7" t="str">
        <f>"符惠媛"</f>
        <v>符惠媛</v>
      </c>
      <c r="E2512" s="7" t="str">
        <f t="shared" si="107"/>
        <v>女</v>
      </c>
    </row>
    <row r="2513" spans="1:5" ht="30" customHeight="1">
      <c r="A2513" s="6">
        <v>2511</v>
      </c>
      <c r="B2513" s="7" t="str">
        <f>"29802021051009085282833"</f>
        <v>29802021051009085282833</v>
      </c>
      <c r="C2513" s="7" t="s">
        <v>19</v>
      </c>
      <c r="D2513" s="7" t="str">
        <f>"白雪"</f>
        <v>白雪</v>
      </c>
      <c r="E2513" s="7" t="str">
        <f t="shared" si="107"/>
        <v>女</v>
      </c>
    </row>
    <row r="2514" spans="1:5" ht="30" customHeight="1">
      <c r="A2514" s="6">
        <v>2512</v>
      </c>
      <c r="B2514" s="7" t="str">
        <f>"29802021051009115382876"</f>
        <v>29802021051009115382876</v>
      </c>
      <c r="C2514" s="7" t="s">
        <v>19</v>
      </c>
      <c r="D2514" s="7" t="str">
        <f>"潘莹莹"</f>
        <v>潘莹莹</v>
      </c>
      <c r="E2514" s="7" t="str">
        <f t="shared" si="107"/>
        <v>女</v>
      </c>
    </row>
    <row r="2515" spans="1:5" ht="30" customHeight="1">
      <c r="A2515" s="6">
        <v>2513</v>
      </c>
      <c r="B2515" s="7" t="str">
        <f>"29802021051009152782912"</f>
        <v>29802021051009152782912</v>
      </c>
      <c r="C2515" s="7" t="s">
        <v>19</v>
      </c>
      <c r="D2515" s="7" t="str">
        <f>"苏世琪"</f>
        <v>苏世琪</v>
      </c>
      <c r="E2515" s="7" t="str">
        <f t="shared" si="107"/>
        <v>女</v>
      </c>
    </row>
    <row r="2516" spans="1:5" ht="30" customHeight="1">
      <c r="A2516" s="6">
        <v>2514</v>
      </c>
      <c r="B2516" s="7" t="str">
        <f>"29802021051009452383245"</f>
        <v>29802021051009452383245</v>
      </c>
      <c r="C2516" s="7" t="s">
        <v>19</v>
      </c>
      <c r="D2516" s="7" t="str">
        <f>"李郭玲"</f>
        <v>李郭玲</v>
      </c>
      <c r="E2516" s="7" t="str">
        <f t="shared" si="107"/>
        <v>女</v>
      </c>
    </row>
    <row r="2517" spans="1:5" ht="30" customHeight="1">
      <c r="A2517" s="6">
        <v>2515</v>
      </c>
      <c r="B2517" s="7" t="str">
        <f>"29802021051010233183720"</f>
        <v>29802021051010233183720</v>
      </c>
      <c r="C2517" s="7" t="s">
        <v>19</v>
      </c>
      <c r="D2517" s="7" t="str">
        <f>"周艳虹"</f>
        <v>周艳虹</v>
      </c>
      <c r="E2517" s="7" t="str">
        <f t="shared" si="107"/>
        <v>女</v>
      </c>
    </row>
    <row r="2518" spans="1:5" ht="30" customHeight="1">
      <c r="A2518" s="6">
        <v>2516</v>
      </c>
      <c r="B2518" s="7" t="str">
        <f>"29802021051010502484032"</f>
        <v>29802021051010502484032</v>
      </c>
      <c r="C2518" s="7" t="s">
        <v>19</v>
      </c>
      <c r="D2518" s="7" t="str">
        <f>"王芳"</f>
        <v>王芳</v>
      </c>
      <c r="E2518" s="7" t="str">
        <f t="shared" si="107"/>
        <v>女</v>
      </c>
    </row>
    <row r="2519" spans="1:5" ht="30" customHeight="1">
      <c r="A2519" s="6">
        <v>2517</v>
      </c>
      <c r="B2519" s="7" t="str">
        <f>"29802021051010515884052"</f>
        <v>29802021051010515884052</v>
      </c>
      <c r="C2519" s="7" t="s">
        <v>19</v>
      </c>
      <c r="D2519" s="7" t="str">
        <f>"黄慧颖"</f>
        <v>黄慧颖</v>
      </c>
      <c r="E2519" s="7" t="str">
        <f t="shared" si="107"/>
        <v>女</v>
      </c>
    </row>
    <row r="2520" spans="1:5" ht="30" customHeight="1">
      <c r="A2520" s="6">
        <v>2518</v>
      </c>
      <c r="B2520" s="7" t="str">
        <f>"29802021051011184984297"</f>
        <v>29802021051011184984297</v>
      </c>
      <c r="C2520" s="7" t="s">
        <v>19</v>
      </c>
      <c r="D2520" s="7" t="str">
        <f>"周曼"</f>
        <v>周曼</v>
      </c>
      <c r="E2520" s="7" t="str">
        <f t="shared" si="107"/>
        <v>女</v>
      </c>
    </row>
    <row r="2521" spans="1:5" ht="30" customHeight="1">
      <c r="A2521" s="6">
        <v>2519</v>
      </c>
      <c r="B2521" s="7" t="str">
        <f>"29802021051012242184701"</f>
        <v>29802021051012242184701</v>
      </c>
      <c r="C2521" s="7" t="s">
        <v>19</v>
      </c>
      <c r="D2521" s="7" t="str">
        <f>"王培健"</f>
        <v>王培健</v>
      </c>
      <c r="E2521" s="7" t="str">
        <f>"男"</f>
        <v>男</v>
      </c>
    </row>
    <row r="2522" spans="1:5" ht="30" customHeight="1">
      <c r="A2522" s="6">
        <v>2520</v>
      </c>
      <c r="B2522" s="7" t="str">
        <f>"29802021051012541784893"</f>
        <v>29802021051012541784893</v>
      </c>
      <c r="C2522" s="7" t="s">
        <v>19</v>
      </c>
      <c r="D2522" s="7" t="str">
        <f>"李瑶"</f>
        <v>李瑶</v>
      </c>
      <c r="E2522" s="7" t="str">
        <f aca="true" t="shared" si="108" ref="E2522:E2527">"女"</f>
        <v>女</v>
      </c>
    </row>
    <row r="2523" spans="1:5" ht="30" customHeight="1">
      <c r="A2523" s="6">
        <v>2521</v>
      </c>
      <c r="B2523" s="7" t="str">
        <f>"29802021051013103884974"</f>
        <v>29802021051013103884974</v>
      </c>
      <c r="C2523" s="7" t="s">
        <v>19</v>
      </c>
      <c r="D2523" s="7" t="str">
        <f>"梁兰铭"</f>
        <v>梁兰铭</v>
      </c>
      <c r="E2523" s="7" t="str">
        <f t="shared" si="108"/>
        <v>女</v>
      </c>
    </row>
    <row r="2524" spans="1:5" ht="30" customHeight="1">
      <c r="A2524" s="6">
        <v>2522</v>
      </c>
      <c r="B2524" s="7" t="str">
        <f>"29802021051013450985130"</f>
        <v>29802021051013450985130</v>
      </c>
      <c r="C2524" s="7" t="s">
        <v>19</v>
      </c>
      <c r="D2524" s="7" t="str">
        <f>"陈艳"</f>
        <v>陈艳</v>
      </c>
      <c r="E2524" s="7" t="str">
        <f t="shared" si="108"/>
        <v>女</v>
      </c>
    </row>
    <row r="2525" spans="1:5" ht="30" customHeight="1">
      <c r="A2525" s="6">
        <v>2523</v>
      </c>
      <c r="B2525" s="7" t="str">
        <f>"29802021051014051785212"</f>
        <v>29802021051014051785212</v>
      </c>
      <c r="C2525" s="7" t="s">
        <v>19</v>
      </c>
      <c r="D2525" s="7" t="str">
        <f>"陈丽"</f>
        <v>陈丽</v>
      </c>
      <c r="E2525" s="7" t="str">
        <f t="shared" si="108"/>
        <v>女</v>
      </c>
    </row>
    <row r="2526" spans="1:5" ht="30" customHeight="1">
      <c r="A2526" s="6">
        <v>2524</v>
      </c>
      <c r="B2526" s="7" t="str">
        <f>"29802021051014230885279"</f>
        <v>29802021051014230885279</v>
      </c>
      <c r="C2526" s="7" t="s">
        <v>19</v>
      </c>
      <c r="D2526" s="7" t="str">
        <f>"陈榆"</f>
        <v>陈榆</v>
      </c>
      <c r="E2526" s="7" t="str">
        <f t="shared" si="108"/>
        <v>女</v>
      </c>
    </row>
    <row r="2527" spans="1:5" ht="30" customHeight="1">
      <c r="A2527" s="6">
        <v>2525</v>
      </c>
      <c r="B2527" s="7" t="str">
        <f>"29802021051014273485298"</f>
        <v>29802021051014273485298</v>
      </c>
      <c r="C2527" s="7" t="s">
        <v>19</v>
      </c>
      <c r="D2527" s="7" t="str">
        <f>"吴晓眯"</f>
        <v>吴晓眯</v>
      </c>
      <c r="E2527" s="7" t="str">
        <f t="shared" si="108"/>
        <v>女</v>
      </c>
    </row>
    <row r="2528" spans="1:5" ht="30" customHeight="1">
      <c r="A2528" s="6">
        <v>2526</v>
      </c>
      <c r="B2528" s="7" t="str">
        <f>"29802021051014473885413"</f>
        <v>29802021051014473885413</v>
      </c>
      <c r="C2528" s="7" t="s">
        <v>19</v>
      </c>
      <c r="D2528" s="7" t="str">
        <f>"方平壮"</f>
        <v>方平壮</v>
      </c>
      <c r="E2528" s="7" t="str">
        <f>"男"</f>
        <v>男</v>
      </c>
    </row>
    <row r="2529" spans="1:5" ht="30" customHeight="1">
      <c r="A2529" s="6">
        <v>2527</v>
      </c>
      <c r="B2529" s="7" t="str">
        <f>"29802021051014531885442"</f>
        <v>29802021051014531885442</v>
      </c>
      <c r="C2529" s="7" t="s">
        <v>19</v>
      </c>
      <c r="D2529" s="7" t="str">
        <f>"万国琼"</f>
        <v>万国琼</v>
      </c>
      <c r="E2529" s="7" t="str">
        <f>"男"</f>
        <v>男</v>
      </c>
    </row>
    <row r="2530" spans="1:5" ht="30" customHeight="1">
      <c r="A2530" s="6">
        <v>2528</v>
      </c>
      <c r="B2530" s="7" t="str">
        <f>"29802021051015492785854"</f>
        <v>29802021051015492785854</v>
      </c>
      <c r="C2530" s="7" t="s">
        <v>19</v>
      </c>
      <c r="D2530" s="7" t="str">
        <f>"邱明勿"</f>
        <v>邱明勿</v>
      </c>
      <c r="E2530" s="7" t="str">
        <f>"男"</f>
        <v>男</v>
      </c>
    </row>
    <row r="2531" spans="1:5" ht="30" customHeight="1">
      <c r="A2531" s="6">
        <v>2529</v>
      </c>
      <c r="B2531" s="7" t="str">
        <f>"29802021051015580685914"</f>
        <v>29802021051015580685914</v>
      </c>
      <c r="C2531" s="7" t="s">
        <v>19</v>
      </c>
      <c r="D2531" s="7" t="str">
        <f>"洪淑凤"</f>
        <v>洪淑凤</v>
      </c>
      <c r="E2531" s="7" t="str">
        <f aca="true" t="shared" si="109" ref="E2531:E2537">"女"</f>
        <v>女</v>
      </c>
    </row>
    <row r="2532" spans="1:5" ht="30" customHeight="1">
      <c r="A2532" s="6">
        <v>2530</v>
      </c>
      <c r="B2532" s="7" t="str">
        <f>"29802021051016042585956"</f>
        <v>29802021051016042585956</v>
      </c>
      <c r="C2532" s="7" t="s">
        <v>19</v>
      </c>
      <c r="D2532" s="7" t="str">
        <f>"符乃娟"</f>
        <v>符乃娟</v>
      </c>
      <c r="E2532" s="7" t="str">
        <f t="shared" si="109"/>
        <v>女</v>
      </c>
    </row>
    <row r="2533" spans="1:5" ht="30" customHeight="1">
      <c r="A2533" s="6">
        <v>2531</v>
      </c>
      <c r="B2533" s="7" t="str">
        <f>"29802021051016080185979"</f>
        <v>29802021051016080185979</v>
      </c>
      <c r="C2533" s="7" t="s">
        <v>19</v>
      </c>
      <c r="D2533" s="7" t="str">
        <f>"吴昀燕"</f>
        <v>吴昀燕</v>
      </c>
      <c r="E2533" s="7" t="str">
        <f t="shared" si="109"/>
        <v>女</v>
      </c>
    </row>
    <row r="2534" spans="1:5" ht="30" customHeight="1">
      <c r="A2534" s="6">
        <v>2532</v>
      </c>
      <c r="B2534" s="7" t="str">
        <f>"29802021051016450786261"</f>
        <v>29802021051016450786261</v>
      </c>
      <c r="C2534" s="7" t="s">
        <v>19</v>
      </c>
      <c r="D2534" s="7" t="str">
        <f>"杨月"</f>
        <v>杨月</v>
      </c>
      <c r="E2534" s="7" t="str">
        <f t="shared" si="109"/>
        <v>女</v>
      </c>
    </row>
    <row r="2535" spans="1:5" ht="30" customHeight="1">
      <c r="A2535" s="6">
        <v>2533</v>
      </c>
      <c r="B2535" s="7" t="str">
        <f>"29802021051017011686363"</f>
        <v>29802021051017011686363</v>
      </c>
      <c r="C2535" s="7" t="s">
        <v>19</v>
      </c>
      <c r="D2535" s="7" t="str">
        <f>"胡孟丽"</f>
        <v>胡孟丽</v>
      </c>
      <c r="E2535" s="7" t="str">
        <f t="shared" si="109"/>
        <v>女</v>
      </c>
    </row>
    <row r="2536" spans="1:5" ht="30" customHeight="1">
      <c r="A2536" s="6">
        <v>2534</v>
      </c>
      <c r="B2536" s="7" t="str">
        <f>"29802021051017590286655"</f>
        <v>29802021051017590286655</v>
      </c>
      <c r="C2536" s="7" t="s">
        <v>19</v>
      </c>
      <c r="D2536" s="7" t="str">
        <f>"贺紫欣"</f>
        <v>贺紫欣</v>
      </c>
      <c r="E2536" s="7" t="str">
        <f t="shared" si="109"/>
        <v>女</v>
      </c>
    </row>
    <row r="2537" spans="1:5" ht="30" customHeight="1">
      <c r="A2537" s="6">
        <v>2535</v>
      </c>
      <c r="B2537" s="7" t="str">
        <f>"29802021051018193686743"</f>
        <v>29802021051018193686743</v>
      </c>
      <c r="C2537" s="7" t="s">
        <v>19</v>
      </c>
      <c r="D2537" s="7" t="str">
        <f>"黄葛旋"</f>
        <v>黄葛旋</v>
      </c>
      <c r="E2537" s="7" t="str">
        <f t="shared" si="109"/>
        <v>女</v>
      </c>
    </row>
    <row r="2538" spans="1:5" ht="30" customHeight="1">
      <c r="A2538" s="6">
        <v>2536</v>
      </c>
      <c r="B2538" s="7" t="str">
        <f>"29802021051018202786749"</f>
        <v>29802021051018202786749</v>
      </c>
      <c r="C2538" s="7" t="s">
        <v>19</v>
      </c>
      <c r="D2538" s="7" t="str">
        <f>"甘祖伟"</f>
        <v>甘祖伟</v>
      </c>
      <c r="E2538" s="7" t="str">
        <f>"男"</f>
        <v>男</v>
      </c>
    </row>
    <row r="2539" spans="1:5" ht="30" customHeight="1">
      <c r="A2539" s="6">
        <v>2537</v>
      </c>
      <c r="B2539" s="7" t="str">
        <f>"29802021051018321686804"</f>
        <v>29802021051018321686804</v>
      </c>
      <c r="C2539" s="7" t="s">
        <v>19</v>
      </c>
      <c r="D2539" s="7" t="str">
        <f>"刘谷坤"</f>
        <v>刘谷坤</v>
      </c>
      <c r="E2539" s="7" t="str">
        <f aca="true" t="shared" si="110" ref="E2539:E2547">"女"</f>
        <v>女</v>
      </c>
    </row>
    <row r="2540" spans="1:5" ht="30" customHeight="1">
      <c r="A2540" s="6">
        <v>2538</v>
      </c>
      <c r="B2540" s="7" t="str">
        <f>"29802021051018542386905"</f>
        <v>29802021051018542386905</v>
      </c>
      <c r="C2540" s="7" t="s">
        <v>19</v>
      </c>
      <c r="D2540" s="7" t="str">
        <f>"黄喜祥"</f>
        <v>黄喜祥</v>
      </c>
      <c r="E2540" s="7" t="str">
        <f t="shared" si="110"/>
        <v>女</v>
      </c>
    </row>
    <row r="2541" spans="1:5" ht="30" customHeight="1">
      <c r="A2541" s="6">
        <v>2539</v>
      </c>
      <c r="B2541" s="7" t="str">
        <f>"29802021051019002186927"</f>
        <v>29802021051019002186927</v>
      </c>
      <c r="C2541" s="7" t="s">
        <v>19</v>
      </c>
      <c r="D2541" s="7" t="str">
        <f>"戴华楠"</f>
        <v>戴华楠</v>
      </c>
      <c r="E2541" s="7" t="str">
        <f t="shared" si="110"/>
        <v>女</v>
      </c>
    </row>
    <row r="2542" spans="1:5" ht="30" customHeight="1">
      <c r="A2542" s="6">
        <v>2540</v>
      </c>
      <c r="B2542" s="7" t="str">
        <f>"29802021051019194787008"</f>
        <v>29802021051019194787008</v>
      </c>
      <c r="C2542" s="7" t="s">
        <v>19</v>
      </c>
      <c r="D2542" s="7" t="str">
        <f>"曾媛"</f>
        <v>曾媛</v>
      </c>
      <c r="E2542" s="7" t="str">
        <f t="shared" si="110"/>
        <v>女</v>
      </c>
    </row>
    <row r="2543" spans="1:5" ht="30" customHeight="1">
      <c r="A2543" s="6">
        <v>2541</v>
      </c>
      <c r="B2543" s="7" t="str">
        <f>"29802021051019351487061"</f>
        <v>29802021051019351487061</v>
      </c>
      <c r="C2543" s="7" t="s">
        <v>19</v>
      </c>
      <c r="D2543" s="7" t="str">
        <f>"符克泥"</f>
        <v>符克泥</v>
      </c>
      <c r="E2543" s="7" t="str">
        <f t="shared" si="110"/>
        <v>女</v>
      </c>
    </row>
    <row r="2544" spans="1:5" ht="30" customHeight="1">
      <c r="A2544" s="6">
        <v>2542</v>
      </c>
      <c r="B2544" s="7" t="str">
        <f>"29802021051019524987145"</f>
        <v>29802021051019524987145</v>
      </c>
      <c r="C2544" s="7" t="s">
        <v>19</v>
      </c>
      <c r="D2544" s="7" t="str">
        <f>"刘千千"</f>
        <v>刘千千</v>
      </c>
      <c r="E2544" s="7" t="str">
        <f t="shared" si="110"/>
        <v>女</v>
      </c>
    </row>
    <row r="2545" spans="1:5" ht="30" customHeight="1">
      <c r="A2545" s="6">
        <v>2543</v>
      </c>
      <c r="B2545" s="7" t="str">
        <f>"29802021051019540987151"</f>
        <v>29802021051019540987151</v>
      </c>
      <c r="C2545" s="7" t="s">
        <v>19</v>
      </c>
      <c r="D2545" s="7" t="str">
        <f>"陈慧"</f>
        <v>陈慧</v>
      </c>
      <c r="E2545" s="7" t="str">
        <f t="shared" si="110"/>
        <v>女</v>
      </c>
    </row>
    <row r="2546" spans="1:5" ht="30" customHeight="1">
      <c r="A2546" s="6">
        <v>2544</v>
      </c>
      <c r="B2546" s="7" t="str">
        <f>"29802021051019543087153"</f>
        <v>29802021051019543087153</v>
      </c>
      <c r="C2546" s="7" t="s">
        <v>19</v>
      </c>
      <c r="D2546" s="7" t="str">
        <f>"陈腊梅"</f>
        <v>陈腊梅</v>
      </c>
      <c r="E2546" s="7" t="str">
        <f t="shared" si="110"/>
        <v>女</v>
      </c>
    </row>
    <row r="2547" spans="1:5" ht="30" customHeight="1">
      <c r="A2547" s="6">
        <v>2545</v>
      </c>
      <c r="B2547" s="7" t="str">
        <f>"29802021051020081187224"</f>
        <v>29802021051020081187224</v>
      </c>
      <c r="C2547" s="7" t="s">
        <v>19</v>
      </c>
      <c r="D2547" s="7" t="str">
        <f>"李燕娣"</f>
        <v>李燕娣</v>
      </c>
      <c r="E2547" s="7" t="str">
        <f t="shared" si="110"/>
        <v>女</v>
      </c>
    </row>
    <row r="2548" spans="1:5" ht="30" customHeight="1">
      <c r="A2548" s="6">
        <v>2546</v>
      </c>
      <c r="B2548" s="7" t="str">
        <f>"29802021051020180787266"</f>
        <v>29802021051020180787266</v>
      </c>
      <c r="C2548" s="7" t="s">
        <v>19</v>
      </c>
      <c r="D2548" s="7" t="str">
        <f>"古泽清"</f>
        <v>古泽清</v>
      </c>
      <c r="E2548" s="7" t="str">
        <f>"男"</f>
        <v>男</v>
      </c>
    </row>
    <row r="2549" spans="1:5" ht="30" customHeight="1">
      <c r="A2549" s="6">
        <v>2547</v>
      </c>
      <c r="B2549" s="7" t="str">
        <f>"29802021051021570787709"</f>
        <v>29802021051021570787709</v>
      </c>
      <c r="C2549" s="7" t="s">
        <v>19</v>
      </c>
      <c r="D2549" s="7" t="str">
        <f>"周婧慧"</f>
        <v>周婧慧</v>
      </c>
      <c r="E2549" s="7" t="str">
        <f>"女"</f>
        <v>女</v>
      </c>
    </row>
    <row r="2550" spans="1:5" ht="30" customHeight="1">
      <c r="A2550" s="6">
        <v>2548</v>
      </c>
      <c r="B2550" s="7" t="str">
        <f>"29802021051021584487715"</f>
        <v>29802021051021584487715</v>
      </c>
      <c r="C2550" s="7" t="s">
        <v>19</v>
      </c>
      <c r="D2550" s="7" t="str">
        <f>"许明强"</f>
        <v>许明强</v>
      </c>
      <c r="E2550" s="7" t="str">
        <f>"男"</f>
        <v>男</v>
      </c>
    </row>
    <row r="2551" spans="1:5" ht="30" customHeight="1">
      <c r="A2551" s="6">
        <v>2549</v>
      </c>
      <c r="B2551" s="7" t="str">
        <f>"29802021051022443987909"</f>
        <v>29802021051022443987909</v>
      </c>
      <c r="C2551" s="7" t="s">
        <v>19</v>
      </c>
      <c r="D2551" s="7" t="str">
        <f>"张淑娴"</f>
        <v>张淑娴</v>
      </c>
      <c r="E2551" s="7" t="str">
        <f aca="true" t="shared" si="111" ref="E2551:E2565">"女"</f>
        <v>女</v>
      </c>
    </row>
    <row r="2552" spans="1:5" ht="30" customHeight="1">
      <c r="A2552" s="6">
        <v>2550</v>
      </c>
      <c r="B2552" s="7" t="str">
        <f>"29802021051023493788094"</f>
        <v>29802021051023493788094</v>
      </c>
      <c r="C2552" s="7" t="s">
        <v>19</v>
      </c>
      <c r="D2552" s="7" t="str">
        <f>"陈玉娟"</f>
        <v>陈玉娟</v>
      </c>
      <c r="E2552" s="7" t="str">
        <f t="shared" si="111"/>
        <v>女</v>
      </c>
    </row>
    <row r="2553" spans="1:5" ht="30" customHeight="1">
      <c r="A2553" s="6">
        <v>2551</v>
      </c>
      <c r="B2553" s="7" t="str">
        <f>"29802021051100005688108"</f>
        <v>29802021051100005688108</v>
      </c>
      <c r="C2553" s="7" t="s">
        <v>19</v>
      </c>
      <c r="D2553" s="7" t="str">
        <f>"庾小向"</f>
        <v>庾小向</v>
      </c>
      <c r="E2553" s="7" t="str">
        <f t="shared" si="111"/>
        <v>女</v>
      </c>
    </row>
    <row r="2554" spans="1:5" ht="30" customHeight="1">
      <c r="A2554" s="6">
        <v>2552</v>
      </c>
      <c r="B2554" s="7" t="str">
        <f>"29802021051107473588220"</f>
        <v>29802021051107473588220</v>
      </c>
      <c r="C2554" s="7" t="s">
        <v>19</v>
      </c>
      <c r="D2554" s="7" t="str">
        <f>"殷小腧"</f>
        <v>殷小腧</v>
      </c>
      <c r="E2554" s="7" t="str">
        <f t="shared" si="111"/>
        <v>女</v>
      </c>
    </row>
    <row r="2555" spans="1:5" ht="30" customHeight="1">
      <c r="A2555" s="6">
        <v>2553</v>
      </c>
      <c r="B2555" s="7" t="str">
        <f>"29802021051108455588345"</f>
        <v>29802021051108455588345</v>
      </c>
      <c r="C2555" s="7" t="s">
        <v>19</v>
      </c>
      <c r="D2555" s="7" t="str">
        <f>"陈核"</f>
        <v>陈核</v>
      </c>
      <c r="E2555" s="7" t="str">
        <f t="shared" si="111"/>
        <v>女</v>
      </c>
    </row>
    <row r="2556" spans="1:5" ht="30" customHeight="1">
      <c r="A2556" s="6">
        <v>2554</v>
      </c>
      <c r="B2556" s="7" t="str">
        <f>"29802021051108550988378"</f>
        <v>29802021051108550988378</v>
      </c>
      <c r="C2556" s="7" t="s">
        <v>19</v>
      </c>
      <c r="D2556" s="7" t="str">
        <f>"王丹"</f>
        <v>王丹</v>
      </c>
      <c r="E2556" s="7" t="str">
        <f t="shared" si="111"/>
        <v>女</v>
      </c>
    </row>
    <row r="2557" spans="1:5" ht="30" customHeight="1">
      <c r="A2557" s="6">
        <v>2555</v>
      </c>
      <c r="B2557" s="7" t="str">
        <f>"29802021051109041288427"</f>
        <v>29802021051109041288427</v>
      </c>
      <c r="C2557" s="7" t="s">
        <v>19</v>
      </c>
      <c r="D2557" s="7" t="str">
        <f>"林芯"</f>
        <v>林芯</v>
      </c>
      <c r="E2557" s="7" t="str">
        <f t="shared" si="111"/>
        <v>女</v>
      </c>
    </row>
    <row r="2558" spans="1:5" ht="30" customHeight="1">
      <c r="A2558" s="6">
        <v>2556</v>
      </c>
      <c r="B2558" s="7" t="str">
        <f>"29802021051109185488498"</f>
        <v>29802021051109185488498</v>
      </c>
      <c r="C2558" s="7" t="s">
        <v>19</v>
      </c>
      <c r="D2558" s="7" t="str">
        <f>"吴学娃"</f>
        <v>吴学娃</v>
      </c>
      <c r="E2558" s="7" t="str">
        <f t="shared" si="111"/>
        <v>女</v>
      </c>
    </row>
    <row r="2559" spans="1:5" ht="30" customHeight="1">
      <c r="A2559" s="6">
        <v>2557</v>
      </c>
      <c r="B2559" s="7" t="str">
        <f>"29802021051109552088671"</f>
        <v>29802021051109552088671</v>
      </c>
      <c r="C2559" s="7" t="s">
        <v>19</v>
      </c>
      <c r="D2559" s="7" t="str">
        <f>"孙法飞"</f>
        <v>孙法飞</v>
      </c>
      <c r="E2559" s="7" t="str">
        <f t="shared" si="111"/>
        <v>女</v>
      </c>
    </row>
    <row r="2560" spans="1:5" ht="30" customHeight="1">
      <c r="A2560" s="6">
        <v>2558</v>
      </c>
      <c r="B2560" s="7" t="str">
        <f>"29802021051110263888830"</f>
        <v>29802021051110263888830</v>
      </c>
      <c r="C2560" s="7" t="s">
        <v>19</v>
      </c>
      <c r="D2560" s="7" t="str">
        <f>"吴淑钰"</f>
        <v>吴淑钰</v>
      </c>
      <c r="E2560" s="7" t="str">
        <f t="shared" si="111"/>
        <v>女</v>
      </c>
    </row>
    <row r="2561" spans="1:5" ht="30" customHeight="1">
      <c r="A2561" s="6">
        <v>2559</v>
      </c>
      <c r="B2561" s="7" t="str">
        <f>"29802021051111513989207"</f>
        <v>29802021051111513989207</v>
      </c>
      <c r="C2561" s="7" t="s">
        <v>19</v>
      </c>
      <c r="D2561" s="7" t="str">
        <f>"陈孟娟"</f>
        <v>陈孟娟</v>
      </c>
      <c r="E2561" s="7" t="str">
        <f t="shared" si="111"/>
        <v>女</v>
      </c>
    </row>
    <row r="2562" spans="1:5" ht="30" customHeight="1">
      <c r="A2562" s="6">
        <v>2560</v>
      </c>
      <c r="B2562" s="7" t="str">
        <f>"29802021051112080889255"</f>
        <v>29802021051112080889255</v>
      </c>
      <c r="C2562" s="7" t="s">
        <v>19</v>
      </c>
      <c r="D2562" s="7" t="str">
        <f>"卓小俞"</f>
        <v>卓小俞</v>
      </c>
      <c r="E2562" s="7" t="str">
        <f t="shared" si="111"/>
        <v>女</v>
      </c>
    </row>
    <row r="2563" spans="1:5" ht="30" customHeight="1">
      <c r="A2563" s="6">
        <v>2561</v>
      </c>
      <c r="B2563" s="7" t="str">
        <f>"29802021051112162989279"</f>
        <v>29802021051112162989279</v>
      </c>
      <c r="C2563" s="7" t="s">
        <v>19</v>
      </c>
      <c r="D2563" s="7" t="str">
        <f>"余丽芳"</f>
        <v>余丽芳</v>
      </c>
      <c r="E2563" s="7" t="str">
        <f t="shared" si="111"/>
        <v>女</v>
      </c>
    </row>
    <row r="2564" spans="1:5" ht="30" customHeight="1">
      <c r="A2564" s="6">
        <v>2562</v>
      </c>
      <c r="B2564" s="7" t="str">
        <f>"29802021051113153489441"</f>
        <v>29802021051113153489441</v>
      </c>
      <c r="C2564" s="7" t="s">
        <v>19</v>
      </c>
      <c r="D2564" s="7" t="str">
        <f>"陆晓英"</f>
        <v>陆晓英</v>
      </c>
      <c r="E2564" s="7" t="str">
        <f t="shared" si="111"/>
        <v>女</v>
      </c>
    </row>
    <row r="2565" spans="1:5" ht="30" customHeight="1">
      <c r="A2565" s="6">
        <v>2563</v>
      </c>
      <c r="B2565" s="7" t="str">
        <f>"29802021051114581889685"</f>
        <v>29802021051114581889685</v>
      </c>
      <c r="C2565" s="7" t="s">
        <v>19</v>
      </c>
      <c r="D2565" s="7" t="str">
        <f>"王夏瑶"</f>
        <v>王夏瑶</v>
      </c>
      <c r="E2565" s="7" t="str">
        <f t="shared" si="111"/>
        <v>女</v>
      </c>
    </row>
    <row r="2566" spans="1:5" ht="30" customHeight="1">
      <c r="A2566" s="6">
        <v>2564</v>
      </c>
      <c r="B2566" s="7" t="str">
        <f>"29802021051114595389694"</f>
        <v>29802021051114595389694</v>
      </c>
      <c r="C2566" s="7" t="s">
        <v>19</v>
      </c>
      <c r="D2566" s="7" t="str">
        <f>"梁启航"</f>
        <v>梁启航</v>
      </c>
      <c r="E2566" s="7" t="str">
        <f>"男"</f>
        <v>男</v>
      </c>
    </row>
    <row r="2567" spans="1:5" ht="30" customHeight="1">
      <c r="A2567" s="6">
        <v>2565</v>
      </c>
      <c r="B2567" s="7" t="str">
        <f>"29802021051115113989739"</f>
        <v>29802021051115113989739</v>
      </c>
      <c r="C2567" s="7" t="s">
        <v>19</v>
      </c>
      <c r="D2567" s="7" t="str">
        <f>"谭良灵"</f>
        <v>谭良灵</v>
      </c>
      <c r="E2567" s="7" t="str">
        <f aca="true" t="shared" si="112" ref="E2567:E2574">"女"</f>
        <v>女</v>
      </c>
    </row>
    <row r="2568" spans="1:5" ht="30" customHeight="1">
      <c r="A2568" s="6">
        <v>2566</v>
      </c>
      <c r="B2568" s="7" t="str">
        <f>"29802021051115300189832"</f>
        <v>29802021051115300189832</v>
      </c>
      <c r="C2568" s="7" t="s">
        <v>19</v>
      </c>
      <c r="D2568" s="7" t="str">
        <f>"何丽丁"</f>
        <v>何丽丁</v>
      </c>
      <c r="E2568" s="7" t="str">
        <f t="shared" si="112"/>
        <v>女</v>
      </c>
    </row>
    <row r="2569" spans="1:5" ht="30" customHeight="1">
      <c r="A2569" s="6">
        <v>2567</v>
      </c>
      <c r="B2569" s="7" t="str">
        <f>"29802021051115442789909"</f>
        <v>29802021051115442789909</v>
      </c>
      <c r="C2569" s="7" t="s">
        <v>19</v>
      </c>
      <c r="D2569" s="7" t="str">
        <f>"赵坤文"</f>
        <v>赵坤文</v>
      </c>
      <c r="E2569" s="7" t="str">
        <f t="shared" si="112"/>
        <v>女</v>
      </c>
    </row>
    <row r="2570" spans="1:5" ht="30" customHeight="1">
      <c r="A2570" s="6">
        <v>2568</v>
      </c>
      <c r="B2570" s="7" t="str">
        <f>"29802021051115584089971"</f>
        <v>29802021051115584089971</v>
      </c>
      <c r="C2570" s="7" t="s">
        <v>19</v>
      </c>
      <c r="D2570" s="7" t="str">
        <f>"麦江"</f>
        <v>麦江</v>
      </c>
      <c r="E2570" s="7" t="str">
        <f t="shared" si="112"/>
        <v>女</v>
      </c>
    </row>
    <row r="2571" spans="1:5" ht="30" customHeight="1">
      <c r="A2571" s="6">
        <v>2569</v>
      </c>
      <c r="B2571" s="7" t="str">
        <f>"29802021051116023889990"</f>
        <v>29802021051116023889990</v>
      </c>
      <c r="C2571" s="7" t="s">
        <v>19</v>
      </c>
      <c r="D2571" s="7" t="str">
        <f>"苏时叶"</f>
        <v>苏时叶</v>
      </c>
      <c r="E2571" s="7" t="str">
        <f t="shared" si="112"/>
        <v>女</v>
      </c>
    </row>
    <row r="2572" spans="1:5" ht="30" customHeight="1">
      <c r="A2572" s="6">
        <v>2570</v>
      </c>
      <c r="B2572" s="7" t="str">
        <f>"29802021051117235890281"</f>
        <v>29802021051117235890281</v>
      </c>
      <c r="C2572" s="7" t="s">
        <v>19</v>
      </c>
      <c r="D2572" s="7" t="str">
        <f>"黄雪润"</f>
        <v>黄雪润</v>
      </c>
      <c r="E2572" s="7" t="str">
        <f t="shared" si="112"/>
        <v>女</v>
      </c>
    </row>
    <row r="2573" spans="1:5" ht="30" customHeight="1">
      <c r="A2573" s="6">
        <v>2571</v>
      </c>
      <c r="B2573" s="7" t="str">
        <f>"29802021051119533290697"</f>
        <v>29802021051119533290697</v>
      </c>
      <c r="C2573" s="7" t="s">
        <v>19</v>
      </c>
      <c r="D2573" s="7" t="str">
        <f>"陈海婷"</f>
        <v>陈海婷</v>
      </c>
      <c r="E2573" s="7" t="str">
        <f t="shared" si="112"/>
        <v>女</v>
      </c>
    </row>
    <row r="2574" spans="1:5" ht="30" customHeight="1">
      <c r="A2574" s="6">
        <v>2572</v>
      </c>
      <c r="B2574" s="7" t="str">
        <f>"29802021051120240990788"</f>
        <v>29802021051120240990788</v>
      </c>
      <c r="C2574" s="7" t="s">
        <v>19</v>
      </c>
      <c r="D2574" s="7" t="str">
        <f>"黄正"</f>
        <v>黄正</v>
      </c>
      <c r="E2574" s="7" t="str">
        <f t="shared" si="112"/>
        <v>女</v>
      </c>
    </row>
    <row r="2575" spans="1:5" ht="30" customHeight="1">
      <c r="A2575" s="6">
        <v>2573</v>
      </c>
      <c r="B2575" s="7" t="str">
        <f>"29802021051121033290910"</f>
        <v>29802021051121033290910</v>
      </c>
      <c r="C2575" s="7" t="s">
        <v>19</v>
      </c>
      <c r="D2575" s="7" t="str">
        <f>"胡声浩"</f>
        <v>胡声浩</v>
      </c>
      <c r="E2575" s="7" t="str">
        <f>"男"</f>
        <v>男</v>
      </c>
    </row>
    <row r="2576" spans="1:5" ht="30" customHeight="1">
      <c r="A2576" s="6">
        <v>2574</v>
      </c>
      <c r="B2576" s="7" t="str">
        <f>"29802021051121413891033"</f>
        <v>29802021051121413891033</v>
      </c>
      <c r="C2576" s="7" t="s">
        <v>19</v>
      </c>
      <c r="D2576" s="7" t="str">
        <f>"黄虹丽"</f>
        <v>黄虹丽</v>
      </c>
      <c r="E2576" s="7" t="str">
        <f>"女"</f>
        <v>女</v>
      </c>
    </row>
    <row r="2577" spans="1:5" ht="30" customHeight="1">
      <c r="A2577" s="6">
        <v>2575</v>
      </c>
      <c r="B2577" s="7" t="str">
        <f>"29802021051122143791125"</f>
        <v>29802021051122143791125</v>
      </c>
      <c r="C2577" s="7" t="s">
        <v>19</v>
      </c>
      <c r="D2577" s="7" t="str">
        <f>"黄永伟"</f>
        <v>黄永伟</v>
      </c>
      <c r="E2577" s="7" t="str">
        <f>"男"</f>
        <v>男</v>
      </c>
    </row>
    <row r="2578" spans="1:5" ht="30" customHeight="1">
      <c r="A2578" s="6">
        <v>2576</v>
      </c>
      <c r="B2578" s="7" t="str">
        <f>"29802021051122280491170"</f>
        <v>29802021051122280491170</v>
      </c>
      <c r="C2578" s="7" t="s">
        <v>19</v>
      </c>
      <c r="D2578" s="7" t="str">
        <f>"王仙桃"</f>
        <v>王仙桃</v>
      </c>
      <c r="E2578" s="7" t="str">
        <f aca="true" t="shared" si="113" ref="E2578:E2590">"女"</f>
        <v>女</v>
      </c>
    </row>
    <row r="2579" spans="1:5" ht="30" customHeight="1">
      <c r="A2579" s="6">
        <v>2577</v>
      </c>
      <c r="B2579" s="7" t="str">
        <f>"29802021051201042991386"</f>
        <v>29802021051201042991386</v>
      </c>
      <c r="C2579" s="7" t="s">
        <v>19</v>
      </c>
      <c r="D2579" s="7" t="str">
        <f>"陈孟玉"</f>
        <v>陈孟玉</v>
      </c>
      <c r="E2579" s="7" t="str">
        <f t="shared" si="113"/>
        <v>女</v>
      </c>
    </row>
    <row r="2580" spans="1:5" ht="30" customHeight="1">
      <c r="A2580" s="6">
        <v>2578</v>
      </c>
      <c r="B2580" s="7" t="str">
        <f>"29802021051208231591455"</f>
        <v>29802021051208231591455</v>
      </c>
      <c r="C2580" s="7" t="s">
        <v>19</v>
      </c>
      <c r="D2580" s="7" t="str">
        <f>"何春霞"</f>
        <v>何春霞</v>
      </c>
      <c r="E2580" s="7" t="str">
        <f t="shared" si="113"/>
        <v>女</v>
      </c>
    </row>
    <row r="2581" spans="1:5" ht="30" customHeight="1">
      <c r="A2581" s="6">
        <v>2579</v>
      </c>
      <c r="B2581" s="7" t="str">
        <f>"29802021051209492091754"</f>
        <v>29802021051209492091754</v>
      </c>
      <c r="C2581" s="7" t="s">
        <v>19</v>
      </c>
      <c r="D2581" s="7" t="str">
        <f>"陈石爱"</f>
        <v>陈石爱</v>
      </c>
      <c r="E2581" s="7" t="str">
        <f t="shared" si="113"/>
        <v>女</v>
      </c>
    </row>
    <row r="2582" spans="1:5" ht="30" customHeight="1">
      <c r="A2582" s="6">
        <v>2580</v>
      </c>
      <c r="B2582" s="7" t="str">
        <f>"29802021051210075491848"</f>
        <v>29802021051210075491848</v>
      </c>
      <c r="C2582" s="7" t="s">
        <v>19</v>
      </c>
      <c r="D2582" s="7" t="str">
        <f>"王佳佳"</f>
        <v>王佳佳</v>
      </c>
      <c r="E2582" s="7" t="str">
        <f t="shared" si="113"/>
        <v>女</v>
      </c>
    </row>
    <row r="2583" spans="1:5" ht="30" customHeight="1">
      <c r="A2583" s="6">
        <v>2581</v>
      </c>
      <c r="B2583" s="7" t="str">
        <f>"29802021051210310691958"</f>
        <v>29802021051210310691958</v>
      </c>
      <c r="C2583" s="7" t="s">
        <v>19</v>
      </c>
      <c r="D2583" s="7" t="str">
        <f>"邓小雯"</f>
        <v>邓小雯</v>
      </c>
      <c r="E2583" s="7" t="str">
        <f t="shared" si="113"/>
        <v>女</v>
      </c>
    </row>
    <row r="2584" spans="1:5" ht="30" customHeight="1">
      <c r="A2584" s="6">
        <v>2582</v>
      </c>
      <c r="B2584" s="7" t="str">
        <f>"29802021051214543392780"</f>
        <v>29802021051214543392780</v>
      </c>
      <c r="C2584" s="7" t="s">
        <v>19</v>
      </c>
      <c r="D2584" s="7" t="str">
        <f>"陈三妹"</f>
        <v>陈三妹</v>
      </c>
      <c r="E2584" s="7" t="str">
        <f t="shared" si="113"/>
        <v>女</v>
      </c>
    </row>
    <row r="2585" spans="1:5" ht="30" customHeight="1">
      <c r="A2585" s="6">
        <v>2583</v>
      </c>
      <c r="B2585" s="7" t="str">
        <f>"29802021051215153592865"</f>
        <v>29802021051215153592865</v>
      </c>
      <c r="C2585" s="7" t="s">
        <v>19</v>
      </c>
      <c r="D2585" s="7" t="str">
        <f>"杨秀文"</f>
        <v>杨秀文</v>
      </c>
      <c r="E2585" s="7" t="str">
        <f t="shared" si="113"/>
        <v>女</v>
      </c>
    </row>
    <row r="2586" spans="1:5" ht="30" customHeight="1">
      <c r="A2586" s="6">
        <v>2584</v>
      </c>
      <c r="B2586" s="7" t="str">
        <f>"29802021051215504693013"</f>
        <v>29802021051215504693013</v>
      </c>
      <c r="C2586" s="7" t="s">
        <v>19</v>
      </c>
      <c r="D2586" s="7" t="str">
        <f>"麦绍妹"</f>
        <v>麦绍妹</v>
      </c>
      <c r="E2586" s="7" t="str">
        <f t="shared" si="113"/>
        <v>女</v>
      </c>
    </row>
    <row r="2587" spans="1:5" ht="30" customHeight="1">
      <c r="A2587" s="6">
        <v>2585</v>
      </c>
      <c r="B2587" s="7" t="str">
        <f>"29802021051220050793706"</f>
        <v>29802021051220050793706</v>
      </c>
      <c r="C2587" s="7" t="s">
        <v>19</v>
      </c>
      <c r="D2587" s="7" t="str">
        <f>"吉青苗"</f>
        <v>吉青苗</v>
      </c>
      <c r="E2587" s="7" t="str">
        <f t="shared" si="113"/>
        <v>女</v>
      </c>
    </row>
    <row r="2588" spans="1:5" ht="30" customHeight="1">
      <c r="A2588" s="6">
        <v>2586</v>
      </c>
      <c r="B2588" s="7" t="str">
        <f>"29802021051220164693730"</f>
        <v>29802021051220164693730</v>
      </c>
      <c r="C2588" s="7" t="s">
        <v>19</v>
      </c>
      <c r="D2588" s="7" t="str">
        <f>"薛小月"</f>
        <v>薛小月</v>
      </c>
      <c r="E2588" s="7" t="str">
        <f t="shared" si="113"/>
        <v>女</v>
      </c>
    </row>
    <row r="2589" spans="1:5" ht="30" customHeight="1">
      <c r="A2589" s="6">
        <v>2587</v>
      </c>
      <c r="B2589" s="7" t="str">
        <f>"29802021051220423593794"</f>
        <v>29802021051220423593794</v>
      </c>
      <c r="C2589" s="7" t="s">
        <v>19</v>
      </c>
      <c r="D2589" s="7" t="str">
        <f>"符东梅"</f>
        <v>符东梅</v>
      </c>
      <c r="E2589" s="7" t="str">
        <f t="shared" si="113"/>
        <v>女</v>
      </c>
    </row>
    <row r="2590" spans="1:5" ht="30" customHeight="1">
      <c r="A2590" s="6">
        <v>2588</v>
      </c>
      <c r="B2590" s="7" t="str">
        <f>"29802021051222023593998"</f>
        <v>29802021051222023593998</v>
      </c>
      <c r="C2590" s="7" t="s">
        <v>19</v>
      </c>
      <c r="D2590" s="7" t="str">
        <f>"赖雌珍"</f>
        <v>赖雌珍</v>
      </c>
      <c r="E2590" s="7" t="str">
        <f t="shared" si="113"/>
        <v>女</v>
      </c>
    </row>
    <row r="2591" spans="1:5" ht="30" customHeight="1">
      <c r="A2591" s="6">
        <v>2589</v>
      </c>
      <c r="B2591" s="7" t="str">
        <f>"29802021051222202294049"</f>
        <v>29802021051222202294049</v>
      </c>
      <c r="C2591" s="7" t="s">
        <v>19</v>
      </c>
      <c r="D2591" s="7" t="str">
        <f>"黄振"</f>
        <v>黄振</v>
      </c>
      <c r="E2591" s="7" t="str">
        <f>"男"</f>
        <v>男</v>
      </c>
    </row>
    <row r="2592" spans="1:5" ht="30" customHeight="1">
      <c r="A2592" s="6">
        <v>2590</v>
      </c>
      <c r="B2592" s="7" t="str">
        <f>"29802021051222335494070"</f>
        <v>29802021051222335494070</v>
      </c>
      <c r="C2592" s="7" t="s">
        <v>19</v>
      </c>
      <c r="D2592" s="7" t="str">
        <f>"叶洪皓"</f>
        <v>叶洪皓</v>
      </c>
      <c r="E2592" s="7" t="str">
        <f>"男"</f>
        <v>男</v>
      </c>
    </row>
    <row r="2593" spans="1:5" ht="30" customHeight="1">
      <c r="A2593" s="6">
        <v>2591</v>
      </c>
      <c r="B2593" s="7" t="str">
        <f>"29802021051222403194078"</f>
        <v>29802021051222403194078</v>
      </c>
      <c r="C2593" s="7" t="s">
        <v>19</v>
      </c>
      <c r="D2593" s="7" t="str">
        <f>"何蔚"</f>
        <v>何蔚</v>
      </c>
      <c r="E2593" s="7" t="str">
        <f>"女"</f>
        <v>女</v>
      </c>
    </row>
    <row r="2594" spans="1:5" ht="30" customHeight="1">
      <c r="A2594" s="6">
        <v>2592</v>
      </c>
      <c r="B2594" s="7" t="str">
        <f>"29802021051223140194159"</f>
        <v>29802021051223140194159</v>
      </c>
      <c r="C2594" s="7" t="s">
        <v>19</v>
      </c>
      <c r="D2594" s="7" t="str">
        <f>"蔡芳雯"</f>
        <v>蔡芳雯</v>
      </c>
      <c r="E2594" s="7" t="str">
        <f>"女"</f>
        <v>女</v>
      </c>
    </row>
    <row r="2595" spans="1:5" ht="30" customHeight="1">
      <c r="A2595" s="6">
        <v>2593</v>
      </c>
      <c r="B2595" s="7" t="str">
        <f>"29802021051223180694167"</f>
        <v>29802021051223180694167</v>
      </c>
      <c r="C2595" s="7" t="s">
        <v>19</v>
      </c>
      <c r="D2595" s="7" t="str">
        <f>"王源"</f>
        <v>王源</v>
      </c>
      <c r="E2595" s="7" t="str">
        <f>"男"</f>
        <v>男</v>
      </c>
    </row>
    <row r="2596" spans="1:5" ht="30" customHeight="1">
      <c r="A2596" s="6">
        <v>2594</v>
      </c>
      <c r="B2596" s="7" t="str">
        <f>"29802021051300410494235"</f>
        <v>29802021051300410494235</v>
      </c>
      <c r="C2596" s="7" t="s">
        <v>19</v>
      </c>
      <c r="D2596" s="7" t="str">
        <f>"黄仕忠"</f>
        <v>黄仕忠</v>
      </c>
      <c r="E2596" s="7" t="str">
        <f>"男"</f>
        <v>男</v>
      </c>
    </row>
    <row r="2597" spans="1:5" ht="30" customHeight="1">
      <c r="A2597" s="6">
        <v>2595</v>
      </c>
      <c r="B2597" s="7" t="str">
        <f>"29802021051307051294260"</f>
        <v>29802021051307051294260</v>
      </c>
      <c r="C2597" s="7" t="s">
        <v>19</v>
      </c>
      <c r="D2597" s="7" t="str">
        <f>"翁连敏"</f>
        <v>翁连敏</v>
      </c>
      <c r="E2597" s="7" t="str">
        <f>"男"</f>
        <v>男</v>
      </c>
    </row>
    <row r="2598" spans="1:5" ht="30" customHeight="1">
      <c r="A2598" s="6">
        <v>2596</v>
      </c>
      <c r="B2598" s="7" t="str">
        <f>"29802021051310183194617"</f>
        <v>29802021051310183194617</v>
      </c>
      <c r="C2598" s="7" t="s">
        <v>19</v>
      </c>
      <c r="D2598" s="7" t="str">
        <f>"黄雪丽"</f>
        <v>黄雪丽</v>
      </c>
      <c r="E2598" s="7" t="str">
        <f>"女"</f>
        <v>女</v>
      </c>
    </row>
    <row r="2599" spans="1:5" ht="30" customHeight="1">
      <c r="A2599" s="6">
        <v>2597</v>
      </c>
      <c r="B2599" s="7" t="str">
        <f>"29802021051310460294711"</f>
        <v>29802021051310460294711</v>
      </c>
      <c r="C2599" s="7" t="s">
        <v>19</v>
      </c>
      <c r="D2599" s="7" t="str">
        <f>"杨雪"</f>
        <v>杨雪</v>
      </c>
      <c r="E2599" s="7" t="str">
        <f>"女"</f>
        <v>女</v>
      </c>
    </row>
    <row r="2600" spans="1:5" ht="30" customHeight="1">
      <c r="A2600" s="6">
        <v>2598</v>
      </c>
      <c r="B2600" s="7" t="str">
        <f>"29802021051314505195225"</f>
        <v>29802021051314505195225</v>
      </c>
      <c r="C2600" s="7" t="s">
        <v>19</v>
      </c>
      <c r="D2600" s="7" t="str">
        <f>"王荣娜"</f>
        <v>王荣娜</v>
      </c>
      <c r="E2600" s="7" t="str">
        <f>"女"</f>
        <v>女</v>
      </c>
    </row>
    <row r="2601" spans="1:5" ht="30" customHeight="1">
      <c r="A2601" s="6">
        <v>2599</v>
      </c>
      <c r="B2601" s="7" t="str">
        <f>"29802021051315302795317"</f>
        <v>29802021051315302795317</v>
      </c>
      <c r="C2601" s="7" t="s">
        <v>19</v>
      </c>
      <c r="D2601" s="7" t="str">
        <f>"冯丽丽"</f>
        <v>冯丽丽</v>
      </c>
      <c r="E2601" s="7" t="str">
        <f>"女"</f>
        <v>女</v>
      </c>
    </row>
    <row r="2602" spans="1:5" ht="30" customHeight="1">
      <c r="A2602" s="6">
        <v>2600</v>
      </c>
      <c r="B2602" s="7" t="str">
        <f>"29802021051315340395326"</f>
        <v>29802021051315340395326</v>
      </c>
      <c r="C2602" s="7" t="s">
        <v>19</v>
      </c>
      <c r="D2602" s="7" t="str">
        <f>"文珺琦"</f>
        <v>文珺琦</v>
      </c>
      <c r="E2602" s="7" t="str">
        <f>"女"</f>
        <v>女</v>
      </c>
    </row>
    <row r="2603" spans="1:5" ht="30" customHeight="1">
      <c r="A2603" s="6">
        <v>2601</v>
      </c>
      <c r="B2603" s="7" t="str">
        <f>"29802021051317041895556"</f>
        <v>29802021051317041895556</v>
      </c>
      <c r="C2603" s="7" t="s">
        <v>19</v>
      </c>
      <c r="D2603" s="7" t="str">
        <f>"胡硕才"</f>
        <v>胡硕才</v>
      </c>
      <c r="E2603" s="7" t="str">
        <f>"男"</f>
        <v>男</v>
      </c>
    </row>
    <row r="2604" spans="1:5" ht="30" customHeight="1">
      <c r="A2604" s="6">
        <v>2602</v>
      </c>
      <c r="B2604" s="7" t="str">
        <f>"29802021051319115195828"</f>
        <v>29802021051319115195828</v>
      </c>
      <c r="C2604" s="7" t="s">
        <v>19</v>
      </c>
      <c r="D2604" s="7" t="str">
        <f>"林明兰"</f>
        <v>林明兰</v>
      </c>
      <c r="E2604" s="7" t="str">
        <f>"女"</f>
        <v>女</v>
      </c>
    </row>
    <row r="2605" spans="1:5" ht="30" customHeight="1">
      <c r="A2605" s="6">
        <v>2603</v>
      </c>
      <c r="B2605" s="7" t="str">
        <f>"29802021051321110096043"</f>
        <v>29802021051321110096043</v>
      </c>
      <c r="C2605" s="7" t="s">
        <v>19</v>
      </c>
      <c r="D2605" s="7" t="str">
        <f>"陈盛"</f>
        <v>陈盛</v>
      </c>
      <c r="E2605" s="7" t="str">
        <f>"男"</f>
        <v>男</v>
      </c>
    </row>
    <row r="2606" spans="1:5" ht="30" customHeight="1">
      <c r="A2606" s="6">
        <v>2604</v>
      </c>
      <c r="B2606" s="7" t="str">
        <f>"29802021051321241196070"</f>
        <v>29802021051321241196070</v>
      </c>
      <c r="C2606" s="7" t="s">
        <v>19</v>
      </c>
      <c r="D2606" s="7" t="str">
        <f>"熊玉芳"</f>
        <v>熊玉芳</v>
      </c>
      <c r="E2606" s="7" t="str">
        <f>"女"</f>
        <v>女</v>
      </c>
    </row>
    <row r="2607" spans="1:5" ht="30" customHeight="1">
      <c r="A2607" s="6">
        <v>2605</v>
      </c>
      <c r="B2607" s="7" t="str">
        <f>"29802021051322532596277"</f>
        <v>29802021051322532596277</v>
      </c>
      <c r="C2607" s="7" t="s">
        <v>19</v>
      </c>
      <c r="D2607" s="7" t="str">
        <f>"陈菊"</f>
        <v>陈菊</v>
      </c>
      <c r="E2607" s="7" t="str">
        <f>"女"</f>
        <v>女</v>
      </c>
    </row>
    <row r="2608" spans="1:5" ht="30" customHeight="1">
      <c r="A2608" s="6">
        <v>2606</v>
      </c>
      <c r="B2608" s="7" t="str">
        <f>"29802021051323140096318"</f>
        <v>29802021051323140096318</v>
      </c>
      <c r="C2608" s="7" t="s">
        <v>19</v>
      </c>
      <c r="D2608" s="7" t="str">
        <f>"吴春玲"</f>
        <v>吴春玲</v>
      </c>
      <c r="E2608" s="7" t="str">
        <f>"女"</f>
        <v>女</v>
      </c>
    </row>
    <row r="2609" spans="1:5" ht="30" customHeight="1">
      <c r="A2609" s="6">
        <v>2607</v>
      </c>
      <c r="B2609" s="7" t="str">
        <f>"29802021051323440496352"</f>
        <v>29802021051323440496352</v>
      </c>
      <c r="C2609" s="7" t="s">
        <v>19</v>
      </c>
      <c r="D2609" s="7" t="str">
        <f>"尚立洲"</f>
        <v>尚立洲</v>
      </c>
      <c r="E2609" s="7" t="str">
        <f>"男"</f>
        <v>男</v>
      </c>
    </row>
    <row r="2610" spans="1:5" ht="30" customHeight="1">
      <c r="A2610" s="6">
        <v>2608</v>
      </c>
      <c r="B2610" s="7" t="str">
        <f>"29802021051323505696362"</f>
        <v>29802021051323505696362</v>
      </c>
      <c r="C2610" s="7" t="s">
        <v>19</v>
      </c>
      <c r="D2610" s="7" t="str">
        <f>"吴慧敏"</f>
        <v>吴慧敏</v>
      </c>
      <c r="E2610" s="7" t="str">
        <f>"女"</f>
        <v>女</v>
      </c>
    </row>
    <row r="2611" spans="1:5" ht="30" customHeight="1">
      <c r="A2611" s="6">
        <v>2609</v>
      </c>
      <c r="B2611" s="7" t="str">
        <f>"29802021051400362096391"</f>
        <v>29802021051400362096391</v>
      </c>
      <c r="C2611" s="7" t="s">
        <v>19</v>
      </c>
      <c r="D2611" s="7" t="str">
        <f>"符学宇"</f>
        <v>符学宇</v>
      </c>
      <c r="E2611" s="7" t="str">
        <f>"女"</f>
        <v>女</v>
      </c>
    </row>
    <row r="2612" spans="1:5" ht="30" customHeight="1">
      <c r="A2612" s="6">
        <v>2610</v>
      </c>
      <c r="B2612" s="7" t="str">
        <f>"29802021051402092896408"</f>
        <v>29802021051402092896408</v>
      </c>
      <c r="C2612" s="7" t="s">
        <v>19</v>
      </c>
      <c r="D2612" s="7" t="str">
        <f>"陈颖颖"</f>
        <v>陈颖颖</v>
      </c>
      <c r="E2612" s="7" t="str">
        <f>"女"</f>
        <v>女</v>
      </c>
    </row>
    <row r="2613" spans="1:5" ht="30" customHeight="1">
      <c r="A2613" s="6">
        <v>2611</v>
      </c>
      <c r="B2613" s="7" t="str">
        <f>"29802021051409391196604"</f>
        <v>29802021051409391196604</v>
      </c>
      <c r="C2613" s="7" t="s">
        <v>19</v>
      </c>
      <c r="D2613" s="7" t="str">
        <f>"吴松金"</f>
        <v>吴松金</v>
      </c>
      <c r="E2613" s="7" t="str">
        <f>"女"</f>
        <v>女</v>
      </c>
    </row>
    <row r="2614" spans="1:5" ht="30" customHeight="1">
      <c r="A2614" s="6">
        <v>2612</v>
      </c>
      <c r="B2614" s="7" t="str">
        <f>"29802021051410035396669"</f>
        <v>29802021051410035396669</v>
      </c>
      <c r="C2614" s="7" t="s">
        <v>19</v>
      </c>
      <c r="D2614" s="7" t="str">
        <f>"黄淑珠"</f>
        <v>黄淑珠</v>
      </c>
      <c r="E2614" s="7" t="str">
        <f>"女"</f>
        <v>女</v>
      </c>
    </row>
    <row r="2615" spans="1:5" ht="30" customHeight="1">
      <c r="A2615" s="6">
        <v>2613</v>
      </c>
      <c r="B2615" s="7" t="str">
        <f>"29802021051413103397063"</f>
        <v>29802021051413103397063</v>
      </c>
      <c r="C2615" s="7" t="s">
        <v>19</v>
      </c>
      <c r="D2615" s="7" t="str">
        <f>"王灯亮"</f>
        <v>王灯亮</v>
      </c>
      <c r="E2615" s="7" t="str">
        <f>"男"</f>
        <v>男</v>
      </c>
    </row>
    <row r="2616" spans="1:5" ht="30" customHeight="1">
      <c r="A2616" s="6">
        <v>2614</v>
      </c>
      <c r="B2616" s="7" t="str">
        <f>"29802021051415001597254"</f>
        <v>29802021051415001597254</v>
      </c>
      <c r="C2616" s="7" t="s">
        <v>19</v>
      </c>
      <c r="D2616" s="7" t="str">
        <f>"徐月圆"</f>
        <v>徐月圆</v>
      </c>
      <c r="E2616" s="7" t="str">
        <f>"女"</f>
        <v>女</v>
      </c>
    </row>
    <row r="2617" spans="1:5" ht="30" customHeight="1">
      <c r="A2617" s="6">
        <v>2615</v>
      </c>
      <c r="B2617" s="7" t="str">
        <f>"29802021051415012997257"</f>
        <v>29802021051415012997257</v>
      </c>
      <c r="C2617" s="7" t="s">
        <v>19</v>
      </c>
      <c r="D2617" s="7" t="str">
        <f>"黄妹"</f>
        <v>黄妹</v>
      </c>
      <c r="E2617" s="7" t="str">
        <f>"女"</f>
        <v>女</v>
      </c>
    </row>
    <row r="2618" spans="1:5" ht="30" customHeight="1">
      <c r="A2618" s="6">
        <v>2616</v>
      </c>
      <c r="B2618" s="7" t="str">
        <f>"29802021051417250997599"</f>
        <v>29802021051417250997599</v>
      </c>
      <c r="C2618" s="7" t="s">
        <v>19</v>
      </c>
      <c r="D2618" s="7" t="str">
        <f>"林家芬"</f>
        <v>林家芬</v>
      </c>
      <c r="E2618" s="7" t="str">
        <f>"女"</f>
        <v>女</v>
      </c>
    </row>
    <row r="2619" spans="1:5" ht="30" customHeight="1">
      <c r="A2619" s="6">
        <v>2617</v>
      </c>
      <c r="B2619" s="7" t="str">
        <f>"29802021051420402297903"</f>
        <v>29802021051420402297903</v>
      </c>
      <c r="C2619" s="7" t="s">
        <v>19</v>
      </c>
      <c r="D2619" s="7" t="str">
        <f>"黎天合"</f>
        <v>黎天合</v>
      </c>
      <c r="E2619" s="7" t="str">
        <f>"男"</f>
        <v>男</v>
      </c>
    </row>
    <row r="2620" spans="1:5" ht="30" customHeight="1">
      <c r="A2620" s="6">
        <v>2618</v>
      </c>
      <c r="B2620" s="7" t="str">
        <f>"29802021051422082698055"</f>
        <v>29802021051422082698055</v>
      </c>
      <c r="C2620" s="7" t="s">
        <v>19</v>
      </c>
      <c r="D2620" s="7" t="str">
        <f>"侯洁"</f>
        <v>侯洁</v>
      </c>
      <c r="E2620" s="7" t="str">
        <f>"女"</f>
        <v>女</v>
      </c>
    </row>
    <row r="2621" spans="1:5" ht="30" customHeight="1">
      <c r="A2621" s="6">
        <v>2619</v>
      </c>
      <c r="B2621" s="7" t="str">
        <f>"29802021051422180898078"</f>
        <v>29802021051422180898078</v>
      </c>
      <c r="C2621" s="7" t="s">
        <v>19</v>
      </c>
      <c r="D2621" s="7" t="str">
        <f>"刘悦"</f>
        <v>刘悦</v>
      </c>
      <c r="E2621" s="7" t="str">
        <f>"女"</f>
        <v>女</v>
      </c>
    </row>
    <row r="2622" spans="1:5" ht="30" customHeight="1">
      <c r="A2622" s="6">
        <v>2620</v>
      </c>
      <c r="B2622" s="7" t="str">
        <f>"29802021051423293098188"</f>
        <v>29802021051423293098188</v>
      </c>
      <c r="C2622" s="7" t="s">
        <v>19</v>
      </c>
      <c r="D2622" s="7" t="str">
        <f>"谢秀露"</f>
        <v>谢秀露</v>
      </c>
      <c r="E2622" s="7" t="str">
        <f>"女"</f>
        <v>女</v>
      </c>
    </row>
    <row r="2623" spans="1:5" ht="30" customHeight="1">
      <c r="A2623" s="6">
        <v>2621</v>
      </c>
      <c r="B2623" s="7" t="str">
        <f>"29802021051500004798226"</f>
        <v>29802021051500004798226</v>
      </c>
      <c r="C2623" s="7" t="s">
        <v>19</v>
      </c>
      <c r="D2623" s="7" t="str">
        <f>"刘海花"</f>
        <v>刘海花</v>
      </c>
      <c r="E2623" s="7" t="str">
        <f>"女"</f>
        <v>女</v>
      </c>
    </row>
    <row r="2624" spans="1:5" ht="30" customHeight="1">
      <c r="A2624" s="6">
        <v>2622</v>
      </c>
      <c r="B2624" s="7" t="str">
        <f>"29802021051500294798258"</f>
        <v>29802021051500294798258</v>
      </c>
      <c r="C2624" s="7" t="s">
        <v>19</v>
      </c>
      <c r="D2624" s="7" t="str">
        <f>"柏子婷"</f>
        <v>柏子婷</v>
      </c>
      <c r="E2624" s="7" t="str">
        <f>"女"</f>
        <v>女</v>
      </c>
    </row>
    <row r="2625" spans="1:5" ht="30" customHeight="1">
      <c r="A2625" s="6">
        <v>2623</v>
      </c>
      <c r="B2625" s="7" t="str">
        <f>"29802021051500510998265"</f>
        <v>29802021051500510998265</v>
      </c>
      <c r="C2625" s="7" t="s">
        <v>19</v>
      </c>
      <c r="D2625" s="7" t="str">
        <f>"李耀勋"</f>
        <v>李耀勋</v>
      </c>
      <c r="E2625" s="7" t="str">
        <f>"男"</f>
        <v>男</v>
      </c>
    </row>
    <row r="2626" spans="1:5" ht="30" customHeight="1">
      <c r="A2626" s="6">
        <v>2624</v>
      </c>
      <c r="B2626" s="7" t="str">
        <f>"29802021051502182498284"</f>
        <v>29802021051502182498284</v>
      </c>
      <c r="C2626" s="7" t="s">
        <v>19</v>
      </c>
      <c r="D2626" s="7" t="str">
        <f>"麦艳芳"</f>
        <v>麦艳芳</v>
      </c>
      <c r="E2626" s="7" t="str">
        <f>"女"</f>
        <v>女</v>
      </c>
    </row>
    <row r="2627" spans="1:5" ht="30" customHeight="1">
      <c r="A2627" s="6">
        <v>2625</v>
      </c>
      <c r="B2627" s="7" t="str">
        <f>"29802021051508212398327"</f>
        <v>29802021051508212398327</v>
      </c>
      <c r="C2627" s="7" t="s">
        <v>19</v>
      </c>
      <c r="D2627" s="7" t="str">
        <f>"杜艳强"</f>
        <v>杜艳强</v>
      </c>
      <c r="E2627" s="7" t="str">
        <f>"女"</f>
        <v>女</v>
      </c>
    </row>
    <row r="2628" spans="1:5" ht="30" customHeight="1">
      <c r="A2628" s="6">
        <v>2626</v>
      </c>
      <c r="B2628" s="7" t="str">
        <f>"29802021051514171298852"</f>
        <v>29802021051514171298852</v>
      </c>
      <c r="C2628" s="7" t="s">
        <v>19</v>
      </c>
      <c r="D2628" s="7" t="str">
        <f>"潘孝柳"</f>
        <v>潘孝柳</v>
      </c>
      <c r="E2628" s="7" t="str">
        <f>"女"</f>
        <v>女</v>
      </c>
    </row>
    <row r="2629" spans="1:5" ht="30" customHeight="1">
      <c r="A2629" s="6">
        <v>2627</v>
      </c>
      <c r="B2629" s="7" t="str">
        <f>"29802021051514242898865"</f>
        <v>29802021051514242898865</v>
      </c>
      <c r="C2629" s="7" t="s">
        <v>19</v>
      </c>
      <c r="D2629" s="7" t="str">
        <f>"周会惠"</f>
        <v>周会惠</v>
      </c>
      <c r="E2629" s="7" t="str">
        <f>"女"</f>
        <v>女</v>
      </c>
    </row>
    <row r="2630" spans="1:5" ht="30" customHeight="1">
      <c r="A2630" s="6">
        <v>2628</v>
      </c>
      <c r="B2630" s="7" t="str">
        <f>"29802021051514273198869"</f>
        <v>29802021051514273198869</v>
      </c>
      <c r="C2630" s="7" t="s">
        <v>19</v>
      </c>
      <c r="D2630" s="7" t="str">
        <f>"洪伟"</f>
        <v>洪伟</v>
      </c>
      <c r="E2630" s="7" t="str">
        <f>"男"</f>
        <v>男</v>
      </c>
    </row>
    <row r="2631" spans="1:5" ht="30" customHeight="1">
      <c r="A2631" s="6">
        <v>2629</v>
      </c>
      <c r="B2631" s="7" t="str">
        <f>"29802021051514410198887"</f>
        <v>29802021051514410198887</v>
      </c>
      <c r="C2631" s="7" t="s">
        <v>19</v>
      </c>
      <c r="D2631" s="7" t="str">
        <f>"林吕梨"</f>
        <v>林吕梨</v>
      </c>
      <c r="E2631" s="7" t="str">
        <f>"女"</f>
        <v>女</v>
      </c>
    </row>
    <row r="2632" spans="1:5" ht="30" customHeight="1">
      <c r="A2632" s="6">
        <v>2630</v>
      </c>
      <c r="B2632" s="7" t="str">
        <f>"29802021051515152798950"</f>
        <v>29802021051515152798950</v>
      </c>
      <c r="C2632" s="7" t="s">
        <v>19</v>
      </c>
      <c r="D2632" s="7" t="str">
        <f>"蔡汝芳"</f>
        <v>蔡汝芳</v>
      </c>
      <c r="E2632" s="7" t="str">
        <f>"女"</f>
        <v>女</v>
      </c>
    </row>
    <row r="2633" spans="1:5" ht="30" customHeight="1">
      <c r="A2633" s="6">
        <v>2631</v>
      </c>
      <c r="B2633" s="7" t="str">
        <f>"29802021050908020380472"</f>
        <v>29802021050908020380472</v>
      </c>
      <c r="C2633" s="7" t="s">
        <v>20</v>
      </c>
      <c r="D2633" s="7" t="str">
        <f>"陈王辉"</f>
        <v>陈王辉</v>
      </c>
      <c r="E2633" s="7" t="str">
        <f>"男"</f>
        <v>男</v>
      </c>
    </row>
    <row r="2634" spans="1:5" ht="30" customHeight="1">
      <c r="A2634" s="6">
        <v>2632</v>
      </c>
      <c r="B2634" s="7" t="str">
        <f>"29802021050908155680497"</f>
        <v>29802021050908155680497</v>
      </c>
      <c r="C2634" s="7" t="s">
        <v>20</v>
      </c>
      <c r="D2634" s="7" t="str">
        <f>"李秋月"</f>
        <v>李秋月</v>
      </c>
      <c r="E2634" s="7" t="str">
        <f>"女"</f>
        <v>女</v>
      </c>
    </row>
    <row r="2635" spans="1:5" ht="30" customHeight="1">
      <c r="A2635" s="6">
        <v>2633</v>
      </c>
      <c r="B2635" s="7" t="str">
        <f>"29802021050910275280736"</f>
        <v>29802021050910275280736</v>
      </c>
      <c r="C2635" s="7" t="s">
        <v>20</v>
      </c>
      <c r="D2635" s="7" t="str">
        <f>"贾昭轩"</f>
        <v>贾昭轩</v>
      </c>
      <c r="E2635" s="7" t="str">
        <f aca="true" t="shared" si="114" ref="E2635:E2643">"男"</f>
        <v>男</v>
      </c>
    </row>
    <row r="2636" spans="1:5" ht="30" customHeight="1">
      <c r="A2636" s="6">
        <v>2634</v>
      </c>
      <c r="B2636" s="7" t="str">
        <f>"29802021050910451980770"</f>
        <v>29802021050910451980770</v>
      </c>
      <c r="C2636" s="7" t="s">
        <v>20</v>
      </c>
      <c r="D2636" s="7" t="str">
        <f>"林铭"</f>
        <v>林铭</v>
      </c>
      <c r="E2636" s="7" t="str">
        <f t="shared" si="114"/>
        <v>男</v>
      </c>
    </row>
    <row r="2637" spans="1:5" ht="30" customHeight="1">
      <c r="A2637" s="6">
        <v>2635</v>
      </c>
      <c r="B2637" s="7" t="str">
        <f>"29802021050911304880853"</f>
        <v>29802021050911304880853</v>
      </c>
      <c r="C2637" s="7" t="s">
        <v>20</v>
      </c>
      <c r="D2637" s="7" t="str">
        <f>"吕志强"</f>
        <v>吕志强</v>
      </c>
      <c r="E2637" s="7" t="str">
        <f t="shared" si="114"/>
        <v>男</v>
      </c>
    </row>
    <row r="2638" spans="1:5" ht="30" customHeight="1">
      <c r="A2638" s="6">
        <v>2636</v>
      </c>
      <c r="B2638" s="7" t="str">
        <f>"29802021050912042780915"</f>
        <v>29802021050912042780915</v>
      </c>
      <c r="C2638" s="7" t="s">
        <v>20</v>
      </c>
      <c r="D2638" s="7" t="str">
        <f>"钟渊"</f>
        <v>钟渊</v>
      </c>
      <c r="E2638" s="7" t="str">
        <f t="shared" si="114"/>
        <v>男</v>
      </c>
    </row>
    <row r="2639" spans="1:5" ht="30" customHeight="1">
      <c r="A2639" s="6">
        <v>2637</v>
      </c>
      <c r="B2639" s="7" t="str">
        <f>"29802021050912125280927"</f>
        <v>29802021050912125280927</v>
      </c>
      <c r="C2639" s="7" t="s">
        <v>20</v>
      </c>
      <c r="D2639" s="7" t="str">
        <f>"陈冠灯"</f>
        <v>陈冠灯</v>
      </c>
      <c r="E2639" s="7" t="str">
        <f t="shared" si="114"/>
        <v>男</v>
      </c>
    </row>
    <row r="2640" spans="1:5" ht="30" customHeight="1">
      <c r="A2640" s="6">
        <v>2638</v>
      </c>
      <c r="B2640" s="7" t="str">
        <f>"29802021050912273980948"</f>
        <v>29802021050912273980948</v>
      </c>
      <c r="C2640" s="7" t="s">
        <v>20</v>
      </c>
      <c r="D2640" s="7" t="str">
        <f>"郑河山"</f>
        <v>郑河山</v>
      </c>
      <c r="E2640" s="7" t="str">
        <f t="shared" si="114"/>
        <v>男</v>
      </c>
    </row>
    <row r="2641" spans="1:5" ht="30" customHeight="1">
      <c r="A2641" s="6">
        <v>2639</v>
      </c>
      <c r="B2641" s="7" t="str">
        <f>"29802021050912524780990"</f>
        <v>29802021050912524780990</v>
      </c>
      <c r="C2641" s="7" t="s">
        <v>20</v>
      </c>
      <c r="D2641" s="7" t="str">
        <f>"黄朝德"</f>
        <v>黄朝德</v>
      </c>
      <c r="E2641" s="7" t="str">
        <f t="shared" si="114"/>
        <v>男</v>
      </c>
    </row>
    <row r="2642" spans="1:5" ht="30" customHeight="1">
      <c r="A2642" s="6">
        <v>2640</v>
      </c>
      <c r="B2642" s="7" t="str">
        <f>"29802021050912565181000"</f>
        <v>29802021050912565181000</v>
      </c>
      <c r="C2642" s="7" t="s">
        <v>20</v>
      </c>
      <c r="D2642" s="7" t="str">
        <f>"王齐程"</f>
        <v>王齐程</v>
      </c>
      <c r="E2642" s="7" t="str">
        <f t="shared" si="114"/>
        <v>男</v>
      </c>
    </row>
    <row r="2643" spans="1:5" ht="30" customHeight="1">
      <c r="A2643" s="6">
        <v>2641</v>
      </c>
      <c r="B2643" s="7" t="str">
        <f>"29802021050915372281230"</f>
        <v>29802021050915372281230</v>
      </c>
      <c r="C2643" s="7" t="s">
        <v>20</v>
      </c>
      <c r="D2643" s="7" t="str">
        <f>"张文腾"</f>
        <v>张文腾</v>
      </c>
      <c r="E2643" s="7" t="str">
        <f t="shared" si="114"/>
        <v>男</v>
      </c>
    </row>
    <row r="2644" spans="1:5" ht="30" customHeight="1">
      <c r="A2644" s="6">
        <v>2642</v>
      </c>
      <c r="B2644" s="7" t="str">
        <f>"29802021050918015381544"</f>
        <v>29802021050918015381544</v>
      </c>
      <c r="C2644" s="7" t="s">
        <v>20</v>
      </c>
      <c r="D2644" s="7" t="str">
        <f>"文世芳"</f>
        <v>文世芳</v>
      </c>
      <c r="E2644" s="7" t="str">
        <f>"女"</f>
        <v>女</v>
      </c>
    </row>
    <row r="2645" spans="1:5" ht="30" customHeight="1">
      <c r="A2645" s="6">
        <v>2643</v>
      </c>
      <c r="B2645" s="7" t="str">
        <f>"29802021050918131681564"</f>
        <v>29802021050918131681564</v>
      </c>
      <c r="C2645" s="7" t="s">
        <v>20</v>
      </c>
      <c r="D2645" s="7" t="str">
        <f>"周绪雄"</f>
        <v>周绪雄</v>
      </c>
      <c r="E2645" s="7" t="str">
        <f>"男"</f>
        <v>男</v>
      </c>
    </row>
    <row r="2646" spans="1:5" ht="30" customHeight="1">
      <c r="A2646" s="6">
        <v>2644</v>
      </c>
      <c r="B2646" s="7" t="str">
        <f>"29802021050918151781568"</f>
        <v>29802021050918151781568</v>
      </c>
      <c r="C2646" s="7" t="s">
        <v>20</v>
      </c>
      <c r="D2646" s="7" t="str">
        <f>"胡丽超"</f>
        <v>胡丽超</v>
      </c>
      <c r="E2646" s="7" t="str">
        <f>"女"</f>
        <v>女</v>
      </c>
    </row>
    <row r="2647" spans="1:5" ht="30" customHeight="1">
      <c r="A2647" s="6">
        <v>2645</v>
      </c>
      <c r="B2647" s="7" t="str">
        <f>"29802021050918434381623"</f>
        <v>29802021050918434381623</v>
      </c>
      <c r="C2647" s="7" t="s">
        <v>20</v>
      </c>
      <c r="D2647" s="7" t="str">
        <f>"韩青星"</f>
        <v>韩青星</v>
      </c>
      <c r="E2647" s="7" t="str">
        <f>"男"</f>
        <v>男</v>
      </c>
    </row>
    <row r="2648" spans="1:5" ht="30" customHeight="1">
      <c r="A2648" s="6">
        <v>2646</v>
      </c>
      <c r="B2648" s="7" t="str">
        <f>"29802021050919072281669"</f>
        <v>29802021050919072281669</v>
      </c>
      <c r="C2648" s="7" t="s">
        <v>20</v>
      </c>
      <c r="D2648" s="7" t="str">
        <f>"张键"</f>
        <v>张键</v>
      </c>
      <c r="E2648" s="7" t="str">
        <f>"男"</f>
        <v>男</v>
      </c>
    </row>
    <row r="2649" spans="1:5" ht="30" customHeight="1">
      <c r="A2649" s="6">
        <v>2647</v>
      </c>
      <c r="B2649" s="7" t="str">
        <f>"29802021050919200081689"</f>
        <v>29802021050919200081689</v>
      </c>
      <c r="C2649" s="7" t="s">
        <v>20</v>
      </c>
      <c r="D2649" s="7" t="str">
        <f>"苗林想"</f>
        <v>苗林想</v>
      </c>
      <c r="E2649" s="7" t="str">
        <f>"女"</f>
        <v>女</v>
      </c>
    </row>
    <row r="2650" spans="1:5" ht="30" customHeight="1">
      <c r="A2650" s="6">
        <v>2648</v>
      </c>
      <c r="B2650" s="7" t="str">
        <f>"29802021050920072081775"</f>
        <v>29802021050920072081775</v>
      </c>
      <c r="C2650" s="7" t="s">
        <v>20</v>
      </c>
      <c r="D2650" s="7" t="str">
        <f>"马仙恰"</f>
        <v>马仙恰</v>
      </c>
      <c r="E2650" s="7" t="str">
        <f aca="true" t="shared" si="115" ref="E2650:E2659">"男"</f>
        <v>男</v>
      </c>
    </row>
    <row r="2651" spans="1:5" ht="30" customHeight="1">
      <c r="A2651" s="6">
        <v>2649</v>
      </c>
      <c r="B2651" s="7" t="str">
        <f>"29802021050920153581786"</f>
        <v>29802021050920153581786</v>
      </c>
      <c r="C2651" s="7" t="s">
        <v>20</v>
      </c>
      <c r="D2651" s="7" t="str">
        <f>"赵成榜"</f>
        <v>赵成榜</v>
      </c>
      <c r="E2651" s="7" t="str">
        <f t="shared" si="115"/>
        <v>男</v>
      </c>
    </row>
    <row r="2652" spans="1:5" ht="30" customHeight="1">
      <c r="A2652" s="6">
        <v>2650</v>
      </c>
      <c r="B2652" s="7" t="str">
        <f>"29802021050920202881797"</f>
        <v>29802021050920202881797</v>
      </c>
      <c r="C2652" s="7" t="s">
        <v>20</v>
      </c>
      <c r="D2652" s="7" t="str">
        <f>"曹继武"</f>
        <v>曹继武</v>
      </c>
      <c r="E2652" s="7" t="str">
        <f t="shared" si="115"/>
        <v>男</v>
      </c>
    </row>
    <row r="2653" spans="1:5" ht="30" customHeight="1">
      <c r="A2653" s="6">
        <v>2651</v>
      </c>
      <c r="B2653" s="7" t="str">
        <f>"29802021050921072981906"</f>
        <v>29802021050921072981906</v>
      </c>
      <c r="C2653" s="7" t="s">
        <v>20</v>
      </c>
      <c r="D2653" s="7" t="str">
        <f>"洪世全"</f>
        <v>洪世全</v>
      </c>
      <c r="E2653" s="7" t="str">
        <f t="shared" si="115"/>
        <v>男</v>
      </c>
    </row>
    <row r="2654" spans="1:5" ht="30" customHeight="1">
      <c r="A2654" s="6">
        <v>2652</v>
      </c>
      <c r="B2654" s="7" t="str">
        <f>"29802021050921090881910"</f>
        <v>29802021050921090881910</v>
      </c>
      <c r="C2654" s="7" t="s">
        <v>20</v>
      </c>
      <c r="D2654" s="7" t="str">
        <f>"符朝楠"</f>
        <v>符朝楠</v>
      </c>
      <c r="E2654" s="7" t="str">
        <f t="shared" si="115"/>
        <v>男</v>
      </c>
    </row>
    <row r="2655" spans="1:5" ht="30" customHeight="1">
      <c r="A2655" s="6">
        <v>2653</v>
      </c>
      <c r="B2655" s="7" t="str">
        <f>"29802021050922472382169"</f>
        <v>29802021050922472382169</v>
      </c>
      <c r="C2655" s="7" t="s">
        <v>20</v>
      </c>
      <c r="D2655" s="7" t="str">
        <f>"梁金鸿"</f>
        <v>梁金鸿</v>
      </c>
      <c r="E2655" s="7" t="str">
        <f t="shared" si="115"/>
        <v>男</v>
      </c>
    </row>
    <row r="2656" spans="1:5" ht="30" customHeight="1">
      <c r="A2656" s="6">
        <v>2654</v>
      </c>
      <c r="B2656" s="7" t="str">
        <f>"29802021051002380682330"</f>
        <v>29802021051002380682330</v>
      </c>
      <c r="C2656" s="7" t="s">
        <v>20</v>
      </c>
      <c r="D2656" s="7" t="str">
        <f>"符学基"</f>
        <v>符学基</v>
      </c>
      <c r="E2656" s="7" t="str">
        <f t="shared" si="115"/>
        <v>男</v>
      </c>
    </row>
    <row r="2657" spans="1:5" ht="30" customHeight="1">
      <c r="A2657" s="6">
        <v>2655</v>
      </c>
      <c r="B2657" s="7" t="str">
        <f>"29802021051008111382422"</f>
        <v>29802021051008111382422</v>
      </c>
      <c r="C2657" s="7" t="s">
        <v>20</v>
      </c>
      <c r="D2657" s="7" t="str">
        <f>"孙强"</f>
        <v>孙强</v>
      </c>
      <c r="E2657" s="7" t="str">
        <f t="shared" si="115"/>
        <v>男</v>
      </c>
    </row>
    <row r="2658" spans="1:5" ht="30" customHeight="1">
      <c r="A2658" s="6">
        <v>2656</v>
      </c>
      <c r="B2658" s="7" t="str">
        <f>"29802021051008192582455"</f>
        <v>29802021051008192582455</v>
      </c>
      <c r="C2658" s="7" t="s">
        <v>20</v>
      </c>
      <c r="D2658" s="7" t="str">
        <f>"黄永钢"</f>
        <v>黄永钢</v>
      </c>
      <c r="E2658" s="7" t="str">
        <f t="shared" si="115"/>
        <v>男</v>
      </c>
    </row>
    <row r="2659" spans="1:5" ht="30" customHeight="1">
      <c r="A2659" s="6">
        <v>2657</v>
      </c>
      <c r="B2659" s="7" t="str">
        <f>"29802021051008510882647"</f>
        <v>29802021051008510882647</v>
      </c>
      <c r="C2659" s="7" t="s">
        <v>20</v>
      </c>
      <c r="D2659" s="7" t="str">
        <f>"王小明"</f>
        <v>王小明</v>
      </c>
      <c r="E2659" s="7" t="str">
        <f t="shared" si="115"/>
        <v>男</v>
      </c>
    </row>
    <row r="2660" spans="1:5" ht="30" customHeight="1">
      <c r="A2660" s="6">
        <v>2658</v>
      </c>
      <c r="B2660" s="7" t="str">
        <f>"29802021051009031482766"</f>
        <v>29802021051009031482766</v>
      </c>
      <c r="C2660" s="7" t="s">
        <v>20</v>
      </c>
      <c r="D2660" s="7" t="str">
        <f>"王青怡"</f>
        <v>王青怡</v>
      </c>
      <c r="E2660" s="7" t="str">
        <f>"女"</f>
        <v>女</v>
      </c>
    </row>
    <row r="2661" spans="1:5" ht="30" customHeight="1">
      <c r="A2661" s="6">
        <v>2659</v>
      </c>
      <c r="B2661" s="7" t="str">
        <f>"29802021051009033082771"</f>
        <v>29802021051009033082771</v>
      </c>
      <c r="C2661" s="7" t="s">
        <v>20</v>
      </c>
      <c r="D2661" s="7" t="str">
        <f>"王录泮"</f>
        <v>王录泮</v>
      </c>
      <c r="E2661" s="7" t="str">
        <f>"男"</f>
        <v>男</v>
      </c>
    </row>
    <row r="2662" spans="1:5" ht="30" customHeight="1">
      <c r="A2662" s="6">
        <v>2660</v>
      </c>
      <c r="B2662" s="7" t="str">
        <f>"29802021051009061982807"</f>
        <v>29802021051009061982807</v>
      </c>
      <c r="C2662" s="7" t="s">
        <v>20</v>
      </c>
      <c r="D2662" s="7" t="str">
        <f>"杨成义"</f>
        <v>杨成义</v>
      </c>
      <c r="E2662" s="7" t="str">
        <f>"男"</f>
        <v>男</v>
      </c>
    </row>
    <row r="2663" spans="1:5" ht="30" customHeight="1">
      <c r="A2663" s="6">
        <v>2661</v>
      </c>
      <c r="B2663" s="7" t="str">
        <f>"29802021051009104682862"</f>
        <v>29802021051009104682862</v>
      </c>
      <c r="C2663" s="7" t="s">
        <v>20</v>
      </c>
      <c r="D2663" s="7" t="str">
        <f>"张万玖"</f>
        <v>张万玖</v>
      </c>
      <c r="E2663" s="7" t="str">
        <f>"男"</f>
        <v>男</v>
      </c>
    </row>
    <row r="2664" spans="1:5" ht="30" customHeight="1">
      <c r="A2664" s="6">
        <v>2662</v>
      </c>
      <c r="B2664" s="7" t="str">
        <f>"29802021051009134082898"</f>
        <v>29802021051009134082898</v>
      </c>
      <c r="C2664" s="7" t="s">
        <v>20</v>
      </c>
      <c r="D2664" s="7" t="str">
        <f>"田聪利"</f>
        <v>田聪利</v>
      </c>
      <c r="E2664" s="7" t="str">
        <f>"男"</f>
        <v>男</v>
      </c>
    </row>
    <row r="2665" spans="1:5" ht="30" customHeight="1">
      <c r="A2665" s="6">
        <v>2663</v>
      </c>
      <c r="B2665" s="7" t="str">
        <f>"29802021051009221983009"</f>
        <v>29802021051009221983009</v>
      </c>
      <c r="C2665" s="7" t="s">
        <v>20</v>
      </c>
      <c r="D2665" s="7" t="str">
        <f>"黄晨宏"</f>
        <v>黄晨宏</v>
      </c>
      <c r="E2665" s="7" t="str">
        <f>"男"</f>
        <v>男</v>
      </c>
    </row>
    <row r="2666" spans="1:5" ht="30" customHeight="1">
      <c r="A2666" s="6">
        <v>2664</v>
      </c>
      <c r="B2666" s="7" t="str">
        <f>"29802021051009275483069"</f>
        <v>29802021051009275483069</v>
      </c>
      <c r="C2666" s="7" t="s">
        <v>20</v>
      </c>
      <c r="D2666" s="7" t="str">
        <f>"梁少玲"</f>
        <v>梁少玲</v>
      </c>
      <c r="E2666" s="7" t="str">
        <f>"女"</f>
        <v>女</v>
      </c>
    </row>
    <row r="2667" spans="1:5" ht="30" customHeight="1">
      <c r="A2667" s="6">
        <v>2665</v>
      </c>
      <c r="B2667" s="7" t="str">
        <f>"29802021051009280283072"</f>
        <v>29802021051009280283072</v>
      </c>
      <c r="C2667" s="7" t="s">
        <v>20</v>
      </c>
      <c r="D2667" s="7" t="str">
        <f>"钟昌雄"</f>
        <v>钟昌雄</v>
      </c>
      <c r="E2667" s="7" t="str">
        <f>"男"</f>
        <v>男</v>
      </c>
    </row>
    <row r="2668" spans="1:5" ht="30" customHeight="1">
      <c r="A2668" s="6">
        <v>2666</v>
      </c>
      <c r="B2668" s="7" t="str">
        <f>"29802021051010005483406"</f>
        <v>29802021051010005483406</v>
      </c>
      <c r="C2668" s="7" t="s">
        <v>20</v>
      </c>
      <c r="D2668" s="7" t="str">
        <f>"黄妃"</f>
        <v>黄妃</v>
      </c>
      <c r="E2668" s="7" t="str">
        <f>"女"</f>
        <v>女</v>
      </c>
    </row>
    <row r="2669" spans="1:5" ht="30" customHeight="1">
      <c r="A2669" s="6">
        <v>2667</v>
      </c>
      <c r="B2669" s="7" t="str">
        <f>"29802021051010104083528"</f>
        <v>29802021051010104083528</v>
      </c>
      <c r="C2669" s="7" t="s">
        <v>20</v>
      </c>
      <c r="D2669" s="7" t="str">
        <f>"陈显松"</f>
        <v>陈显松</v>
      </c>
      <c r="E2669" s="7" t="str">
        <f>"男"</f>
        <v>男</v>
      </c>
    </row>
    <row r="2670" spans="1:5" ht="30" customHeight="1">
      <c r="A2670" s="6">
        <v>2668</v>
      </c>
      <c r="B2670" s="7" t="str">
        <f>"29802021051010155783607"</f>
        <v>29802021051010155783607</v>
      </c>
      <c r="C2670" s="7" t="s">
        <v>20</v>
      </c>
      <c r="D2670" s="7" t="str">
        <f>"吉秋"</f>
        <v>吉秋</v>
      </c>
      <c r="E2670" s="7" t="str">
        <f>"女"</f>
        <v>女</v>
      </c>
    </row>
    <row r="2671" spans="1:5" ht="30" customHeight="1">
      <c r="A2671" s="6">
        <v>2669</v>
      </c>
      <c r="B2671" s="7" t="str">
        <f>"29802021051010410683926"</f>
        <v>29802021051010410683926</v>
      </c>
      <c r="C2671" s="7" t="s">
        <v>20</v>
      </c>
      <c r="D2671" s="7" t="str">
        <f>"谢自才"</f>
        <v>谢自才</v>
      </c>
      <c r="E2671" s="7" t="str">
        <f>"男"</f>
        <v>男</v>
      </c>
    </row>
    <row r="2672" spans="1:5" ht="30" customHeight="1">
      <c r="A2672" s="6">
        <v>2670</v>
      </c>
      <c r="B2672" s="7" t="str">
        <f>"29802021051010461383986"</f>
        <v>29802021051010461383986</v>
      </c>
      <c r="C2672" s="7" t="s">
        <v>20</v>
      </c>
      <c r="D2672" s="7" t="str">
        <f>"陈学晓"</f>
        <v>陈学晓</v>
      </c>
      <c r="E2672" s="7" t="str">
        <f>"男"</f>
        <v>男</v>
      </c>
    </row>
    <row r="2673" spans="1:5" ht="30" customHeight="1">
      <c r="A2673" s="6">
        <v>2671</v>
      </c>
      <c r="B2673" s="7" t="str">
        <f>"29802021051010565984089"</f>
        <v>29802021051010565984089</v>
      </c>
      <c r="C2673" s="7" t="s">
        <v>20</v>
      </c>
      <c r="D2673" s="7" t="str">
        <f>"胡童"</f>
        <v>胡童</v>
      </c>
      <c r="E2673" s="7" t="str">
        <f>"男"</f>
        <v>男</v>
      </c>
    </row>
    <row r="2674" spans="1:5" ht="30" customHeight="1">
      <c r="A2674" s="6">
        <v>2672</v>
      </c>
      <c r="B2674" s="7" t="str">
        <f>"29802021051011082884200"</f>
        <v>29802021051011082884200</v>
      </c>
      <c r="C2674" s="7" t="s">
        <v>20</v>
      </c>
      <c r="D2674" s="7" t="str">
        <f>"郑扬莉"</f>
        <v>郑扬莉</v>
      </c>
      <c r="E2674" s="7" t="str">
        <f>"女"</f>
        <v>女</v>
      </c>
    </row>
    <row r="2675" spans="1:5" ht="30" customHeight="1">
      <c r="A2675" s="6">
        <v>2673</v>
      </c>
      <c r="B2675" s="7" t="str">
        <f>"29802021051011130884247"</f>
        <v>29802021051011130884247</v>
      </c>
      <c r="C2675" s="7" t="s">
        <v>20</v>
      </c>
      <c r="D2675" s="7" t="str">
        <f>"胡宏"</f>
        <v>胡宏</v>
      </c>
      <c r="E2675" s="7" t="str">
        <f>"男"</f>
        <v>男</v>
      </c>
    </row>
    <row r="2676" spans="1:5" ht="30" customHeight="1">
      <c r="A2676" s="6">
        <v>2674</v>
      </c>
      <c r="B2676" s="7" t="str">
        <f>"29802021051011240684343"</f>
        <v>29802021051011240684343</v>
      </c>
      <c r="C2676" s="7" t="s">
        <v>20</v>
      </c>
      <c r="D2676" s="7" t="str">
        <f>"张姿颖"</f>
        <v>张姿颖</v>
      </c>
      <c r="E2676" s="7" t="str">
        <f>"女"</f>
        <v>女</v>
      </c>
    </row>
    <row r="2677" spans="1:5" ht="30" customHeight="1">
      <c r="A2677" s="6">
        <v>2675</v>
      </c>
      <c r="B2677" s="7" t="str">
        <f>"29802021051011352184430"</f>
        <v>29802021051011352184430</v>
      </c>
      <c r="C2677" s="7" t="s">
        <v>20</v>
      </c>
      <c r="D2677" s="7" t="str">
        <f>"王榆鑫"</f>
        <v>王榆鑫</v>
      </c>
      <c r="E2677" s="7" t="str">
        <f>"男"</f>
        <v>男</v>
      </c>
    </row>
    <row r="2678" spans="1:5" ht="30" customHeight="1">
      <c r="A2678" s="6">
        <v>2676</v>
      </c>
      <c r="B2678" s="7" t="str">
        <f>"29802021051011370784443"</f>
        <v>29802021051011370784443</v>
      </c>
      <c r="C2678" s="7" t="s">
        <v>20</v>
      </c>
      <c r="D2678" s="7" t="str">
        <f>"胡佳荟"</f>
        <v>胡佳荟</v>
      </c>
      <c r="E2678" s="7" t="str">
        <f>"女"</f>
        <v>女</v>
      </c>
    </row>
    <row r="2679" spans="1:5" ht="30" customHeight="1">
      <c r="A2679" s="6">
        <v>2677</v>
      </c>
      <c r="B2679" s="7" t="str">
        <f>"29802021051011500084521"</f>
        <v>29802021051011500084521</v>
      </c>
      <c r="C2679" s="7" t="s">
        <v>20</v>
      </c>
      <c r="D2679" s="7" t="str">
        <f>"杨夏萍"</f>
        <v>杨夏萍</v>
      </c>
      <c r="E2679" s="7" t="str">
        <f>"女"</f>
        <v>女</v>
      </c>
    </row>
    <row r="2680" spans="1:5" ht="30" customHeight="1">
      <c r="A2680" s="6">
        <v>2678</v>
      </c>
      <c r="B2680" s="7" t="str">
        <f>"29802021051012251684706"</f>
        <v>29802021051012251684706</v>
      </c>
      <c r="C2680" s="7" t="s">
        <v>20</v>
      </c>
      <c r="D2680" s="7" t="str">
        <f>"万培源"</f>
        <v>万培源</v>
      </c>
      <c r="E2680" s="7" t="str">
        <f>"女"</f>
        <v>女</v>
      </c>
    </row>
    <row r="2681" spans="1:5" ht="30" customHeight="1">
      <c r="A2681" s="6">
        <v>2679</v>
      </c>
      <c r="B2681" s="7" t="str">
        <f>"29802021051012262284714"</f>
        <v>29802021051012262284714</v>
      </c>
      <c r="C2681" s="7" t="s">
        <v>20</v>
      </c>
      <c r="D2681" s="7" t="str">
        <f>"林英杰"</f>
        <v>林英杰</v>
      </c>
      <c r="E2681" s="7" t="str">
        <f>"男"</f>
        <v>男</v>
      </c>
    </row>
    <row r="2682" spans="1:5" ht="30" customHeight="1">
      <c r="A2682" s="6">
        <v>2680</v>
      </c>
      <c r="B2682" s="7" t="str">
        <f>"29802021051012410384811"</f>
        <v>29802021051012410384811</v>
      </c>
      <c r="C2682" s="7" t="s">
        <v>20</v>
      </c>
      <c r="D2682" s="7" t="str">
        <f>"蔡兴龙"</f>
        <v>蔡兴龙</v>
      </c>
      <c r="E2682" s="7" t="str">
        <f>"男"</f>
        <v>男</v>
      </c>
    </row>
    <row r="2683" spans="1:5" ht="30" customHeight="1">
      <c r="A2683" s="6">
        <v>2681</v>
      </c>
      <c r="B2683" s="7" t="str">
        <f>"29802021051012504884876"</f>
        <v>29802021051012504884876</v>
      </c>
      <c r="C2683" s="7" t="s">
        <v>20</v>
      </c>
      <c r="D2683" s="7" t="str">
        <f>"林书斌"</f>
        <v>林书斌</v>
      </c>
      <c r="E2683" s="7" t="str">
        <f>"男"</f>
        <v>男</v>
      </c>
    </row>
    <row r="2684" spans="1:5" ht="30" customHeight="1">
      <c r="A2684" s="6">
        <v>2682</v>
      </c>
      <c r="B2684" s="7" t="str">
        <f>"29802021051013365585097"</f>
        <v>29802021051013365585097</v>
      </c>
      <c r="C2684" s="7" t="s">
        <v>20</v>
      </c>
      <c r="D2684" s="7" t="str">
        <f>"符义和"</f>
        <v>符义和</v>
      </c>
      <c r="E2684" s="7" t="str">
        <f>"男"</f>
        <v>男</v>
      </c>
    </row>
    <row r="2685" spans="1:5" ht="30" customHeight="1">
      <c r="A2685" s="6">
        <v>2683</v>
      </c>
      <c r="B2685" s="7" t="str">
        <f>"29802021051014153085249"</f>
        <v>29802021051014153085249</v>
      </c>
      <c r="C2685" s="7" t="s">
        <v>20</v>
      </c>
      <c r="D2685" s="7" t="str">
        <f>"覃鸿发"</f>
        <v>覃鸿发</v>
      </c>
      <c r="E2685" s="7" t="str">
        <f>"男"</f>
        <v>男</v>
      </c>
    </row>
    <row r="2686" spans="1:5" ht="30" customHeight="1">
      <c r="A2686" s="6">
        <v>2684</v>
      </c>
      <c r="B2686" s="7" t="str">
        <f>"29802021051014331185327"</f>
        <v>29802021051014331185327</v>
      </c>
      <c r="C2686" s="7" t="s">
        <v>20</v>
      </c>
      <c r="D2686" s="7" t="str">
        <f>"陈春娇"</f>
        <v>陈春娇</v>
      </c>
      <c r="E2686" s="7" t="str">
        <f>"女"</f>
        <v>女</v>
      </c>
    </row>
    <row r="2687" spans="1:5" ht="30" customHeight="1">
      <c r="A2687" s="6">
        <v>2685</v>
      </c>
      <c r="B2687" s="7" t="str">
        <f>"29802021051014483585417"</f>
        <v>29802021051014483585417</v>
      </c>
      <c r="C2687" s="7" t="s">
        <v>20</v>
      </c>
      <c r="D2687" s="7" t="str">
        <f>"黄在龙"</f>
        <v>黄在龙</v>
      </c>
      <c r="E2687" s="7" t="str">
        <f>"男"</f>
        <v>男</v>
      </c>
    </row>
    <row r="2688" spans="1:5" ht="30" customHeight="1">
      <c r="A2688" s="6">
        <v>2686</v>
      </c>
      <c r="B2688" s="7" t="str">
        <f>"29802021051014503785427"</f>
        <v>29802021051014503785427</v>
      </c>
      <c r="C2688" s="7" t="s">
        <v>20</v>
      </c>
      <c r="D2688" s="7" t="str">
        <f>"石燕群"</f>
        <v>石燕群</v>
      </c>
      <c r="E2688" s="7" t="str">
        <f>"女"</f>
        <v>女</v>
      </c>
    </row>
    <row r="2689" spans="1:5" ht="30" customHeight="1">
      <c r="A2689" s="6">
        <v>2687</v>
      </c>
      <c r="B2689" s="7" t="str">
        <f>"29802021051014585485487"</f>
        <v>29802021051014585485487</v>
      </c>
      <c r="C2689" s="7" t="s">
        <v>20</v>
      </c>
      <c r="D2689" s="7" t="str">
        <f>"刘学宁"</f>
        <v>刘学宁</v>
      </c>
      <c r="E2689" s="7" t="str">
        <f>"男"</f>
        <v>男</v>
      </c>
    </row>
    <row r="2690" spans="1:5" ht="30" customHeight="1">
      <c r="A2690" s="6">
        <v>2688</v>
      </c>
      <c r="B2690" s="7" t="str">
        <f>"29802021051015064985545"</f>
        <v>29802021051015064985545</v>
      </c>
      <c r="C2690" s="7" t="s">
        <v>20</v>
      </c>
      <c r="D2690" s="7" t="str">
        <f>"符凯珍"</f>
        <v>符凯珍</v>
      </c>
      <c r="E2690" s="7" t="str">
        <f>"男"</f>
        <v>男</v>
      </c>
    </row>
    <row r="2691" spans="1:5" ht="30" customHeight="1">
      <c r="A2691" s="6">
        <v>2689</v>
      </c>
      <c r="B2691" s="7" t="str">
        <f>"29802021051015354485755"</f>
        <v>29802021051015354485755</v>
      </c>
      <c r="C2691" s="7" t="s">
        <v>20</v>
      </c>
      <c r="D2691" s="7" t="str">
        <f>"周童"</f>
        <v>周童</v>
      </c>
      <c r="E2691" s="7" t="str">
        <f>"女"</f>
        <v>女</v>
      </c>
    </row>
    <row r="2692" spans="1:5" ht="30" customHeight="1">
      <c r="A2692" s="6">
        <v>2690</v>
      </c>
      <c r="B2692" s="7" t="str">
        <f>"29802021051015512685871"</f>
        <v>29802021051015512685871</v>
      </c>
      <c r="C2692" s="7" t="s">
        <v>20</v>
      </c>
      <c r="D2692" s="7" t="str">
        <f>"董林杰"</f>
        <v>董林杰</v>
      </c>
      <c r="E2692" s="7" t="str">
        <f>"男"</f>
        <v>男</v>
      </c>
    </row>
    <row r="2693" spans="1:5" ht="30" customHeight="1">
      <c r="A2693" s="6">
        <v>2691</v>
      </c>
      <c r="B2693" s="7" t="str">
        <f>"29802021051016050885961"</f>
        <v>29802021051016050885961</v>
      </c>
      <c r="C2693" s="7" t="s">
        <v>20</v>
      </c>
      <c r="D2693" s="7" t="str">
        <f>"朱日胜"</f>
        <v>朱日胜</v>
      </c>
      <c r="E2693" s="7" t="str">
        <f>"男"</f>
        <v>男</v>
      </c>
    </row>
    <row r="2694" spans="1:5" ht="30" customHeight="1">
      <c r="A2694" s="6">
        <v>2692</v>
      </c>
      <c r="B2694" s="7" t="str">
        <f>"29802021051016312186151"</f>
        <v>29802021051016312186151</v>
      </c>
      <c r="C2694" s="7" t="s">
        <v>20</v>
      </c>
      <c r="D2694" s="7" t="str">
        <f>"黄亚家"</f>
        <v>黄亚家</v>
      </c>
      <c r="E2694" s="7" t="str">
        <f>"男"</f>
        <v>男</v>
      </c>
    </row>
    <row r="2695" spans="1:5" ht="30" customHeight="1">
      <c r="A2695" s="6">
        <v>2693</v>
      </c>
      <c r="B2695" s="7" t="str">
        <f>"29802021051017084586399"</f>
        <v>29802021051017084586399</v>
      </c>
      <c r="C2695" s="7" t="s">
        <v>20</v>
      </c>
      <c r="D2695" s="7" t="str">
        <f>"郑亚剑"</f>
        <v>郑亚剑</v>
      </c>
      <c r="E2695" s="7" t="str">
        <f>"男"</f>
        <v>男</v>
      </c>
    </row>
    <row r="2696" spans="1:5" ht="30" customHeight="1">
      <c r="A2696" s="6">
        <v>2694</v>
      </c>
      <c r="B2696" s="7" t="str">
        <f>"29802021051017214486476"</f>
        <v>29802021051017214486476</v>
      </c>
      <c r="C2696" s="7" t="s">
        <v>20</v>
      </c>
      <c r="D2696" s="7" t="str">
        <f>"陈耀"</f>
        <v>陈耀</v>
      </c>
      <c r="E2696" s="7" t="str">
        <f>"男"</f>
        <v>男</v>
      </c>
    </row>
    <row r="2697" spans="1:5" ht="30" customHeight="1">
      <c r="A2697" s="6">
        <v>2695</v>
      </c>
      <c r="B2697" s="7" t="str">
        <f>"29802021051017282586503"</f>
        <v>29802021051017282586503</v>
      </c>
      <c r="C2697" s="7" t="s">
        <v>20</v>
      </c>
      <c r="D2697" s="7" t="str">
        <f>"唐善乾"</f>
        <v>唐善乾</v>
      </c>
      <c r="E2697" s="7" t="str">
        <f>"女"</f>
        <v>女</v>
      </c>
    </row>
    <row r="2698" spans="1:5" ht="30" customHeight="1">
      <c r="A2698" s="6">
        <v>2696</v>
      </c>
      <c r="B2698" s="7" t="str">
        <f>"29802021051017454786591"</f>
        <v>29802021051017454786591</v>
      </c>
      <c r="C2698" s="7" t="s">
        <v>20</v>
      </c>
      <c r="D2698" s="7" t="str">
        <f>"黄仕豪"</f>
        <v>黄仕豪</v>
      </c>
      <c r="E2698" s="7" t="str">
        <f>"男"</f>
        <v>男</v>
      </c>
    </row>
    <row r="2699" spans="1:5" ht="30" customHeight="1">
      <c r="A2699" s="6">
        <v>2697</v>
      </c>
      <c r="B2699" s="7" t="str">
        <f>"29802021051018030586674"</f>
        <v>29802021051018030586674</v>
      </c>
      <c r="C2699" s="7" t="s">
        <v>20</v>
      </c>
      <c r="D2699" s="7" t="str">
        <f>"李源骈"</f>
        <v>李源骈</v>
      </c>
      <c r="E2699" s="7" t="str">
        <f>"男"</f>
        <v>男</v>
      </c>
    </row>
    <row r="2700" spans="1:5" ht="30" customHeight="1">
      <c r="A2700" s="6">
        <v>2698</v>
      </c>
      <c r="B2700" s="7" t="str">
        <f>"29802021051018281686785"</f>
        <v>29802021051018281686785</v>
      </c>
      <c r="C2700" s="7" t="s">
        <v>20</v>
      </c>
      <c r="D2700" s="7" t="str">
        <f>"符玲"</f>
        <v>符玲</v>
      </c>
      <c r="E2700" s="7" t="str">
        <f>"女"</f>
        <v>女</v>
      </c>
    </row>
    <row r="2701" spans="1:5" ht="30" customHeight="1">
      <c r="A2701" s="6">
        <v>2699</v>
      </c>
      <c r="B2701" s="7" t="str">
        <f>"29802021051018403286843"</f>
        <v>29802021051018403286843</v>
      </c>
      <c r="C2701" s="7" t="s">
        <v>20</v>
      </c>
      <c r="D2701" s="7" t="str">
        <f>"何纯宝"</f>
        <v>何纯宝</v>
      </c>
      <c r="E2701" s="7" t="str">
        <f>"男"</f>
        <v>男</v>
      </c>
    </row>
    <row r="2702" spans="1:5" ht="30" customHeight="1">
      <c r="A2702" s="6">
        <v>2700</v>
      </c>
      <c r="B2702" s="7" t="str">
        <f>"29802021051019113886972"</f>
        <v>29802021051019113886972</v>
      </c>
      <c r="C2702" s="7" t="s">
        <v>20</v>
      </c>
      <c r="D2702" s="7" t="str">
        <f>"王丽"</f>
        <v>王丽</v>
      </c>
      <c r="E2702" s="7" t="str">
        <f>"女"</f>
        <v>女</v>
      </c>
    </row>
    <row r="2703" spans="1:5" ht="30" customHeight="1">
      <c r="A2703" s="6">
        <v>2701</v>
      </c>
      <c r="B2703" s="7" t="str">
        <f>"29802021051019331487056"</f>
        <v>29802021051019331487056</v>
      </c>
      <c r="C2703" s="7" t="s">
        <v>20</v>
      </c>
      <c r="D2703" s="7" t="str">
        <f>"温伟武"</f>
        <v>温伟武</v>
      </c>
      <c r="E2703" s="7" t="str">
        <f>"男"</f>
        <v>男</v>
      </c>
    </row>
    <row r="2704" spans="1:5" ht="30" customHeight="1">
      <c r="A2704" s="6">
        <v>2702</v>
      </c>
      <c r="B2704" s="7" t="str">
        <f>"29802021051020463387374"</f>
        <v>29802021051020463387374</v>
      </c>
      <c r="C2704" s="7" t="s">
        <v>20</v>
      </c>
      <c r="D2704" s="7" t="str">
        <f>"陈真宝"</f>
        <v>陈真宝</v>
      </c>
      <c r="E2704" s="7" t="str">
        <f>"男"</f>
        <v>男</v>
      </c>
    </row>
    <row r="2705" spans="1:5" ht="30" customHeight="1">
      <c r="A2705" s="6">
        <v>2703</v>
      </c>
      <c r="B2705" s="7" t="str">
        <f>"29802021051020572787428"</f>
        <v>29802021051020572787428</v>
      </c>
      <c r="C2705" s="7" t="s">
        <v>20</v>
      </c>
      <c r="D2705" s="7" t="str">
        <f>"胡其伶"</f>
        <v>胡其伶</v>
      </c>
      <c r="E2705" s="7" t="str">
        <f>"男"</f>
        <v>男</v>
      </c>
    </row>
    <row r="2706" spans="1:5" ht="30" customHeight="1">
      <c r="A2706" s="6">
        <v>2704</v>
      </c>
      <c r="B2706" s="7" t="str">
        <f>"29802021051021455487654"</f>
        <v>29802021051021455487654</v>
      </c>
      <c r="C2706" s="7" t="s">
        <v>20</v>
      </c>
      <c r="D2706" s="7" t="str">
        <f>"梅望劲"</f>
        <v>梅望劲</v>
      </c>
      <c r="E2706" s="7" t="str">
        <f>"男"</f>
        <v>男</v>
      </c>
    </row>
    <row r="2707" spans="1:5" ht="30" customHeight="1">
      <c r="A2707" s="6">
        <v>2705</v>
      </c>
      <c r="B2707" s="7" t="str">
        <f>"29802021051021541387695"</f>
        <v>29802021051021541387695</v>
      </c>
      <c r="C2707" s="7" t="s">
        <v>20</v>
      </c>
      <c r="D2707" s="7" t="str">
        <f>"朱瑞婷"</f>
        <v>朱瑞婷</v>
      </c>
      <c r="E2707" s="7" t="str">
        <f>"女"</f>
        <v>女</v>
      </c>
    </row>
    <row r="2708" spans="1:5" ht="30" customHeight="1">
      <c r="A2708" s="6">
        <v>2706</v>
      </c>
      <c r="B2708" s="7" t="str">
        <f>"29802021051022140687785"</f>
        <v>29802021051022140687785</v>
      </c>
      <c r="C2708" s="7" t="s">
        <v>20</v>
      </c>
      <c r="D2708" s="7" t="str">
        <f>"赵文广"</f>
        <v>赵文广</v>
      </c>
      <c r="E2708" s="7" t="str">
        <f>"男"</f>
        <v>男</v>
      </c>
    </row>
    <row r="2709" spans="1:5" ht="30" customHeight="1">
      <c r="A2709" s="6">
        <v>2707</v>
      </c>
      <c r="B2709" s="7" t="str">
        <f>"29802021051022170187805"</f>
        <v>29802021051022170187805</v>
      </c>
      <c r="C2709" s="7" t="s">
        <v>20</v>
      </c>
      <c r="D2709" s="7" t="str">
        <f>"黄明彬"</f>
        <v>黄明彬</v>
      </c>
      <c r="E2709" s="7" t="str">
        <f>"男"</f>
        <v>男</v>
      </c>
    </row>
    <row r="2710" spans="1:5" ht="30" customHeight="1">
      <c r="A2710" s="6">
        <v>2708</v>
      </c>
      <c r="B2710" s="7" t="str">
        <f>"29802021051022335287875"</f>
        <v>29802021051022335287875</v>
      </c>
      <c r="C2710" s="7" t="s">
        <v>20</v>
      </c>
      <c r="D2710" s="7" t="str">
        <f>"李南健"</f>
        <v>李南健</v>
      </c>
      <c r="E2710" s="7" t="str">
        <f>"男"</f>
        <v>男</v>
      </c>
    </row>
    <row r="2711" spans="1:5" ht="30" customHeight="1">
      <c r="A2711" s="6">
        <v>2709</v>
      </c>
      <c r="B2711" s="7" t="str">
        <f>"29802021051023223088036"</f>
        <v>29802021051023223088036</v>
      </c>
      <c r="C2711" s="7" t="s">
        <v>20</v>
      </c>
      <c r="D2711" s="7" t="str">
        <f>"吴乾丙"</f>
        <v>吴乾丙</v>
      </c>
      <c r="E2711" s="7" t="str">
        <f>"男"</f>
        <v>男</v>
      </c>
    </row>
    <row r="2712" spans="1:5" ht="30" customHeight="1">
      <c r="A2712" s="6">
        <v>2710</v>
      </c>
      <c r="B2712" s="7" t="str">
        <f>"29802021051023351788067"</f>
        <v>29802021051023351788067</v>
      </c>
      <c r="C2712" s="7" t="s">
        <v>20</v>
      </c>
      <c r="D2712" s="7" t="str">
        <f>"王春苗"</f>
        <v>王春苗</v>
      </c>
      <c r="E2712" s="7" t="str">
        <f>"女"</f>
        <v>女</v>
      </c>
    </row>
    <row r="2713" spans="1:5" ht="30" customHeight="1">
      <c r="A2713" s="6">
        <v>2711</v>
      </c>
      <c r="B2713" s="7" t="str">
        <f>"29802021051023382588077"</f>
        <v>29802021051023382588077</v>
      </c>
      <c r="C2713" s="7" t="s">
        <v>20</v>
      </c>
      <c r="D2713" s="7" t="str">
        <f>"朱显清"</f>
        <v>朱显清</v>
      </c>
      <c r="E2713" s="7" t="str">
        <f aca="true" t="shared" si="116" ref="E2713:E2727">"男"</f>
        <v>男</v>
      </c>
    </row>
    <row r="2714" spans="1:5" ht="30" customHeight="1">
      <c r="A2714" s="6">
        <v>2712</v>
      </c>
      <c r="B2714" s="7" t="str">
        <f>"29802021051023494188095"</f>
        <v>29802021051023494188095</v>
      </c>
      <c r="C2714" s="7" t="s">
        <v>20</v>
      </c>
      <c r="D2714" s="7" t="str">
        <f>"石造"</f>
        <v>石造</v>
      </c>
      <c r="E2714" s="7" t="str">
        <f t="shared" si="116"/>
        <v>男</v>
      </c>
    </row>
    <row r="2715" spans="1:5" ht="30" customHeight="1">
      <c r="A2715" s="6">
        <v>2713</v>
      </c>
      <c r="B2715" s="7" t="str">
        <f>"29802021051107475388221"</f>
        <v>29802021051107475388221</v>
      </c>
      <c r="C2715" s="7" t="s">
        <v>20</v>
      </c>
      <c r="D2715" s="7" t="str">
        <f>"陆元深"</f>
        <v>陆元深</v>
      </c>
      <c r="E2715" s="7" t="str">
        <f t="shared" si="116"/>
        <v>男</v>
      </c>
    </row>
    <row r="2716" spans="1:5" ht="30" customHeight="1">
      <c r="A2716" s="6">
        <v>2714</v>
      </c>
      <c r="B2716" s="7" t="str">
        <f>"29802021051108085488240"</f>
        <v>29802021051108085488240</v>
      </c>
      <c r="C2716" s="7" t="s">
        <v>20</v>
      </c>
      <c r="D2716" s="7" t="str">
        <f>"桂卫雄"</f>
        <v>桂卫雄</v>
      </c>
      <c r="E2716" s="7" t="str">
        <f t="shared" si="116"/>
        <v>男</v>
      </c>
    </row>
    <row r="2717" spans="1:5" ht="30" customHeight="1">
      <c r="A2717" s="6">
        <v>2715</v>
      </c>
      <c r="B2717" s="7" t="str">
        <f>"29802021051108101688243"</f>
        <v>29802021051108101688243</v>
      </c>
      <c r="C2717" s="7" t="s">
        <v>20</v>
      </c>
      <c r="D2717" s="7" t="str">
        <f>"吴明钰"</f>
        <v>吴明钰</v>
      </c>
      <c r="E2717" s="7" t="str">
        <f t="shared" si="116"/>
        <v>男</v>
      </c>
    </row>
    <row r="2718" spans="1:5" ht="30" customHeight="1">
      <c r="A2718" s="6">
        <v>2716</v>
      </c>
      <c r="B2718" s="7" t="str">
        <f>"29802021051108135088250"</f>
        <v>29802021051108135088250</v>
      </c>
      <c r="C2718" s="7" t="s">
        <v>20</v>
      </c>
      <c r="D2718" s="7" t="str">
        <f>"陈诚"</f>
        <v>陈诚</v>
      </c>
      <c r="E2718" s="7" t="str">
        <f t="shared" si="116"/>
        <v>男</v>
      </c>
    </row>
    <row r="2719" spans="1:5" ht="30" customHeight="1">
      <c r="A2719" s="6">
        <v>2717</v>
      </c>
      <c r="B2719" s="7" t="str">
        <f>"29802021051108262988272"</f>
        <v>29802021051108262988272</v>
      </c>
      <c r="C2719" s="7" t="s">
        <v>20</v>
      </c>
      <c r="D2719" s="7" t="str">
        <f>"陈德亮"</f>
        <v>陈德亮</v>
      </c>
      <c r="E2719" s="7" t="str">
        <f t="shared" si="116"/>
        <v>男</v>
      </c>
    </row>
    <row r="2720" spans="1:5" ht="30" customHeight="1">
      <c r="A2720" s="6">
        <v>2718</v>
      </c>
      <c r="B2720" s="7" t="str">
        <f>"29802021051108473288350"</f>
        <v>29802021051108473288350</v>
      </c>
      <c r="C2720" s="7" t="s">
        <v>20</v>
      </c>
      <c r="D2720" s="7" t="str">
        <f>"符作衍"</f>
        <v>符作衍</v>
      </c>
      <c r="E2720" s="7" t="str">
        <f t="shared" si="116"/>
        <v>男</v>
      </c>
    </row>
    <row r="2721" spans="1:5" ht="30" customHeight="1">
      <c r="A2721" s="6">
        <v>2719</v>
      </c>
      <c r="B2721" s="7" t="str">
        <f>"29802021051108511988366"</f>
        <v>29802021051108511988366</v>
      </c>
      <c r="C2721" s="7" t="s">
        <v>20</v>
      </c>
      <c r="D2721" s="7" t="str">
        <f>"许江"</f>
        <v>许江</v>
      </c>
      <c r="E2721" s="7" t="str">
        <f t="shared" si="116"/>
        <v>男</v>
      </c>
    </row>
    <row r="2722" spans="1:5" ht="30" customHeight="1">
      <c r="A2722" s="6">
        <v>2720</v>
      </c>
      <c r="B2722" s="7" t="str">
        <f>"29802021051108564188389"</f>
        <v>29802021051108564188389</v>
      </c>
      <c r="C2722" s="7" t="s">
        <v>20</v>
      </c>
      <c r="D2722" s="7" t="str">
        <f>"莫丰玮"</f>
        <v>莫丰玮</v>
      </c>
      <c r="E2722" s="7" t="str">
        <f t="shared" si="116"/>
        <v>男</v>
      </c>
    </row>
    <row r="2723" spans="1:5" ht="30" customHeight="1">
      <c r="A2723" s="6">
        <v>2721</v>
      </c>
      <c r="B2723" s="7" t="str">
        <f>"29802021051109041488429"</f>
        <v>29802021051109041488429</v>
      </c>
      <c r="C2723" s="7" t="s">
        <v>20</v>
      </c>
      <c r="D2723" s="7" t="str">
        <f>"郑纪旺"</f>
        <v>郑纪旺</v>
      </c>
      <c r="E2723" s="7" t="str">
        <f t="shared" si="116"/>
        <v>男</v>
      </c>
    </row>
    <row r="2724" spans="1:5" ht="30" customHeight="1">
      <c r="A2724" s="6">
        <v>2722</v>
      </c>
      <c r="B2724" s="7" t="str">
        <f>"29802021051109160488488"</f>
        <v>29802021051109160488488</v>
      </c>
      <c r="C2724" s="7" t="s">
        <v>20</v>
      </c>
      <c r="D2724" s="7" t="str">
        <f>"胡昌奎"</f>
        <v>胡昌奎</v>
      </c>
      <c r="E2724" s="7" t="str">
        <f t="shared" si="116"/>
        <v>男</v>
      </c>
    </row>
    <row r="2725" spans="1:5" ht="30" customHeight="1">
      <c r="A2725" s="6">
        <v>2723</v>
      </c>
      <c r="B2725" s="7" t="str">
        <f>"29802021051109201888503"</f>
        <v>29802021051109201888503</v>
      </c>
      <c r="C2725" s="7" t="s">
        <v>20</v>
      </c>
      <c r="D2725" s="7" t="str">
        <f>"李运恒"</f>
        <v>李运恒</v>
      </c>
      <c r="E2725" s="7" t="str">
        <f t="shared" si="116"/>
        <v>男</v>
      </c>
    </row>
    <row r="2726" spans="1:5" ht="30" customHeight="1">
      <c r="A2726" s="6">
        <v>2724</v>
      </c>
      <c r="B2726" s="7" t="str">
        <f>"29802021051109314588550"</f>
        <v>29802021051109314588550</v>
      </c>
      <c r="C2726" s="7" t="s">
        <v>20</v>
      </c>
      <c r="D2726" s="7" t="str">
        <f>"王俊"</f>
        <v>王俊</v>
      </c>
      <c r="E2726" s="7" t="str">
        <f t="shared" si="116"/>
        <v>男</v>
      </c>
    </row>
    <row r="2727" spans="1:5" ht="30" customHeight="1">
      <c r="A2727" s="6">
        <v>2725</v>
      </c>
      <c r="B2727" s="7" t="str">
        <f>"29802021051109432688614"</f>
        <v>29802021051109432688614</v>
      </c>
      <c r="C2727" s="7" t="s">
        <v>20</v>
      </c>
      <c r="D2727" s="7" t="str">
        <f>"周刚"</f>
        <v>周刚</v>
      </c>
      <c r="E2727" s="7" t="str">
        <f t="shared" si="116"/>
        <v>男</v>
      </c>
    </row>
    <row r="2728" spans="1:5" ht="30" customHeight="1">
      <c r="A2728" s="6">
        <v>2726</v>
      </c>
      <c r="B2728" s="7" t="str">
        <f>"29802021051109504888647"</f>
        <v>29802021051109504888647</v>
      </c>
      <c r="C2728" s="7" t="s">
        <v>20</v>
      </c>
      <c r="D2728" s="7" t="str">
        <f>"吴彤"</f>
        <v>吴彤</v>
      </c>
      <c r="E2728" s="7" t="str">
        <f>"女"</f>
        <v>女</v>
      </c>
    </row>
    <row r="2729" spans="1:5" ht="30" customHeight="1">
      <c r="A2729" s="6">
        <v>2727</v>
      </c>
      <c r="B2729" s="7" t="str">
        <f>"29802021051110494388952"</f>
        <v>29802021051110494388952</v>
      </c>
      <c r="C2729" s="7" t="s">
        <v>20</v>
      </c>
      <c r="D2729" s="7" t="str">
        <f>"黄兹炳"</f>
        <v>黄兹炳</v>
      </c>
      <c r="E2729" s="7" t="str">
        <f aca="true" t="shared" si="117" ref="E2729:E2738">"男"</f>
        <v>男</v>
      </c>
    </row>
    <row r="2730" spans="1:5" ht="30" customHeight="1">
      <c r="A2730" s="6">
        <v>2728</v>
      </c>
      <c r="B2730" s="7" t="str">
        <f>"29802021051111254589123"</f>
        <v>29802021051111254589123</v>
      </c>
      <c r="C2730" s="7" t="s">
        <v>20</v>
      </c>
      <c r="D2730" s="7" t="str">
        <f>"黄仁龙"</f>
        <v>黄仁龙</v>
      </c>
      <c r="E2730" s="7" t="str">
        <f t="shared" si="117"/>
        <v>男</v>
      </c>
    </row>
    <row r="2731" spans="1:5" ht="30" customHeight="1">
      <c r="A2731" s="6">
        <v>2729</v>
      </c>
      <c r="B2731" s="7" t="str">
        <f>"29802021051111495689200"</f>
        <v>29802021051111495689200</v>
      </c>
      <c r="C2731" s="7" t="s">
        <v>20</v>
      </c>
      <c r="D2731" s="7" t="str">
        <f>"林放"</f>
        <v>林放</v>
      </c>
      <c r="E2731" s="7" t="str">
        <f t="shared" si="117"/>
        <v>男</v>
      </c>
    </row>
    <row r="2732" spans="1:5" ht="30" customHeight="1">
      <c r="A2732" s="6">
        <v>2730</v>
      </c>
      <c r="B2732" s="7" t="str">
        <f>"29802021051111543889218"</f>
        <v>29802021051111543889218</v>
      </c>
      <c r="C2732" s="7" t="s">
        <v>20</v>
      </c>
      <c r="D2732" s="7" t="str">
        <f>"符兴晓"</f>
        <v>符兴晓</v>
      </c>
      <c r="E2732" s="7" t="str">
        <f t="shared" si="117"/>
        <v>男</v>
      </c>
    </row>
    <row r="2733" spans="1:5" ht="30" customHeight="1">
      <c r="A2733" s="6">
        <v>2731</v>
      </c>
      <c r="B2733" s="7" t="str">
        <f>"29802021051111555489222"</f>
        <v>29802021051111555489222</v>
      </c>
      <c r="C2733" s="7" t="s">
        <v>20</v>
      </c>
      <c r="D2733" s="7" t="str">
        <f>"张小飞"</f>
        <v>张小飞</v>
      </c>
      <c r="E2733" s="7" t="str">
        <f t="shared" si="117"/>
        <v>男</v>
      </c>
    </row>
    <row r="2734" spans="1:5" ht="30" customHeight="1">
      <c r="A2734" s="6">
        <v>2732</v>
      </c>
      <c r="B2734" s="7" t="str">
        <f>"29802021051112161389277"</f>
        <v>29802021051112161389277</v>
      </c>
      <c r="C2734" s="7" t="s">
        <v>20</v>
      </c>
      <c r="D2734" s="7" t="str">
        <f>"冯裕弟"</f>
        <v>冯裕弟</v>
      </c>
      <c r="E2734" s="7" t="str">
        <f t="shared" si="117"/>
        <v>男</v>
      </c>
    </row>
    <row r="2735" spans="1:5" ht="30" customHeight="1">
      <c r="A2735" s="6">
        <v>2733</v>
      </c>
      <c r="B2735" s="7" t="str">
        <f>"29802021051114454189642"</f>
        <v>29802021051114454189642</v>
      </c>
      <c r="C2735" s="7" t="s">
        <v>20</v>
      </c>
      <c r="D2735" s="7" t="str">
        <f>"李啟明"</f>
        <v>李啟明</v>
      </c>
      <c r="E2735" s="7" t="str">
        <f t="shared" si="117"/>
        <v>男</v>
      </c>
    </row>
    <row r="2736" spans="1:5" ht="30" customHeight="1">
      <c r="A2736" s="6">
        <v>2734</v>
      </c>
      <c r="B2736" s="7" t="str">
        <f>"29802021051115363889869"</f>
        <v>29802021051115363889869</v>
      </c>
      <c r="C2736" s="7" t="s">
        <v>20</v>
      </c>
      <c r="D2736" s="7" t="str">
        <f>"符史川"</f>
        <v>符史川</v>
      </c>
      <c r="E2736" s="7" t="str">
        <f t="shared" si="117"/>
        <v>男</v>
      </c>
    </row>
    <row r="2737" spans="1:5" ht="30" customHeight="1">
      <c r="A2737" s="6">
        <v>2735</v>
      </c>
      <c r="B2737" s="7" t="str">
        <f>"29802021051115474489924"</f>
        <v>29802021051115474489924</v>
      </c>
      <c r="C2737" s="7" t="s">
        <v>20</v>
      </c>
      <c r="D2737" s="7" t="str">
        <f>"陈昌会"</f>
        <v>陈昌会</v>
      </c>
      <c r="E2737" s="7" t="str">
        <f t="shared" si="117"/>
        <v>男</v>
      </c>
    </row>
    <row r="2738" spans="1:5" ht="30" customHeight="1">
      <c r="A2738" s="6">
        <v>2736</v>
      </c>
      <c r="B2738" s="7" t="str">
        <f>"29802021051116105890023"</f>
        <v>29802021051116105890023</v>
      </c>
      <c r="C2738" s="7" t="s">
        <v>20</v>
      </c>
      <c r="D2738" s="7" t="str">
        <f>"符长运"</f>
        <v>符长运</v>
      </c>
      <c r="E2738" s="7" t="str">
        <f t="shared" si="117"/>
        <v>男</v>
      </c>
    </row>
    <row r="2739" spans="1:5" ht="30" customHeight="1">
      <c r="A2739" s="6">
        <v>2737</v>
      </c>
      <c r="B2739" s="7" t="str">
        <f>"29802021051116502990156"</f>
        <v>29802021051116502990156</v>
      </c>
      <c r="C2739" s="7" t="s">
        <v>20</v>
      </c>
      <c r="D2739" s="7" t="str">
        <f>"张秋香"</f>
        <v>张秋香</v>
      </c>
      <c r="E2739" s="7" t="str">
        <f>"女"</f>
        <v>女</v>
      </c>
    </row>
    <row r="2740" spans="1:5" ht="30" customHeight="1">
      <c r="A2740" s="6">
        <v>2738</v>
      </c>
      <c r="B2740" s="7" t="str">
        <f>"29802021051116503790157"</f>
        <v>29802021051116503790157</v>
      </c>
      <c r="C2740" s="7" t="s">
        <v>20</v>
      </c>
      <c r="D2740" s="7" t="str">
        <f>"王望龙"</f>
        <v>王望龙</v>
      </c>
      <c r="E2740" s="7" t="str">
        <f>"男"</f>
        <v>男</v>
      </c>
    </row>
    <row r="2741" spans="1:5" ht="30" customHeight="1">
      <c r="A2741" s="6">
        <v>2739</v>
      </c>
      <c r="B2741" s="7" t="str">
        <f>"29802021051117160390249"</f>
        <v>29802021051117160390249</v>
      </c>
      <c r="C2741" s="7" t="s">
        <v>20</v>
      </c>
      <c r="D2741" s="7" t="str">
        <f>"林奇晨"</f>
        <v>林奇晨</v>
      </c>
      <c r="E2741" s="7" t="str">
        <f>"男"</f>
        <v>男</v>
      </c>
    </row>
    <row r="2742" spans="1:5" ht="30" customHeight="1">
      <c r="A2742" s="6">
        <v>2740</v>
      </c>
      <c r="B2742" s="7" t="str">
        <f>"29802021051117501490353"</f>
        <v>29802021051117501490353</v>
      </c>
      <c r="C2742" s="7" t="s">
        <v>20</v>
      </c>
      <c r="D2742" s="7" t="str">
        <f>"李国玲"</f>
        <v>李国玲</v>
      </c>
      <c r="E2742" s="7" t="str">
        <f>"女"</f>
        <v>女</v>
      </c>
    </row>
    <row r="2743" spans="1:5" ht="30" customHeight="1">
      <c r="A2743" s="6">
        <v>2741</v>
      </c>
      <c r="B2743" s="7" t="str">
        <f>"29802021051118260590461"</f>
        <v>29802021051118260590461</v>
      </c>
      <c r="C2743" s="7" t="s">
        <v>20</v>
      </c>
      <c r="D2743" s="7" t="str">
        <f>"马强"</f>
        <v>马强</v>
      </c>
      <c r="E2743" s="7" t="str">
        <f>"男"</f>
        <v>男</v>
      </c>
    </row>
    <row r="2744" spans="1:5" ht="30" customHeight="1">
      <c r="A2744" s="6">
        <v>2742</v>
      </c>
      <c r="B2744" s="7" t="str">
        <f>"29802021051118432090506"</f>
        <v>29802021051118432090506</v>
      </c>
      <c r="C2744" s="7" t="s">
        <v>20</v>
      </c>
      <c r="D2744" s="7" t="str">
        <f>"欧开轩"</f>
        <v>欧开轩</v>
      </c>
      <c r="E2744" s="7" t="str">
        <f>"男"</f>
        <v>男</v>
      </c>
    </row>
    <row r="2745" spans="1:5" ht="30" customHeight="1">
      <c r="A2745" s="6">
        <v>2743</v>
      </c>
      <c r="B2745" s="7" t="str">
        <f>"29802021051118454390514"</f>
        <v>29802021051118454390514</v>
      </c>
      <c r="C2745" s="7" t="s">
        <v>20</v>
      </c>
      <c r="D2745" s="7" t="str">
        <f>"殷承茂"</f>
        <v>殷承茂</v>
      </c>
      <c r="E2745" s="7" t="str">
        <f>"男"</f>
        <v>男</v>
      </c>
    </row>
    <row r="2746" spans="1:5" ht="30" customHeight="1">
      <c r="A2746" s="6">
        <v>2744</v>
      </c>
      <c r="B2746" s="7" t="str">
        <f>"29802021051119072690567"</f>
        <v>29802021051119072690567</v>
      </c>
      <c r="C2746" s="7" t="s">
        <v>20</v>
      </c>
      <c r="D2746" s="7" t="str">
        <f>"郑宁宇"</f>
        <v>郑宁宇</v>
      </c>
      <c r="E2746" s="7" t="str">
        <f>"男"</f>
        <v>男</v>
      </c>
    </row>
    <row r="2747" spans="1:5" ht="30" customHeight="1">
      <c r="A2747" s="6">
        <v>2745</v>
      </c>
      <c r="B2747" s="7" t="str">
        <f>"29802021051120332690820"</f>
        <v>29802021051120332690820</v>
      </c>
      <c r="C2747" s="7" t="s">
        <v>20</v>
      </c>
      <c r="D2747" s="7" t="str">
        <f>"郑时一"</f>
        <v>郑时一</v>
      </c>
      <c r="E2747" s="7" t="str">
        <f>"男"</f>
        <v>男</v>
      </c>
    </row>
    <row r="2748" spans="1:5" ht="30" customHeight="1">
      <c r="A2748" s="6">
        <v>2746</v>
      </c>
      <c r="B2748" s="7" t="str">
        <f>"29802021051121243890976"</f>
        <v>29802021051121243890976</v>
      </c>
      <c r="C2748" s="7" t="s">
        <v>20</v>
      </c>
      <c r="D2748" s="7" t="str">
        <f>"赵玉梅"</f>
        <v>赵玉梅</v>
      </c>
      <c r="E2748" s="7" t="str">
        <f>"女"</f>
        <v>女</v>
      </c>
    </row>
    <row r="2749" spans="1:5" ht="30" customHeight="1">
      <c r="A2749" s="6">
        <v>2747</v>
      </c>
      <c r="B2749" s="7" t="str">
        <f>"29802021051121461391049"</f>
        <v>29802021051121461391049</v>
      </c>
      <c r="C2749" s="7" t="s">
        <v>20</v>
      </c>
      <c r="D2749" s="7" t="str">
        <f>"王正弟"</f>
        <v>王正弟</v>
      </c>
      <c r="E2749" s="7" t="str">
        <f>"男"</f>
        <v>男</v>
      </c>
    </row>
    <row r="2750" spans="1:5" ht="30" customHeight="1">
      <c r="A2750" s="6">
        <v>2748</v>
      </c>
      <c r="B2750" s="7" t="str">
        <f>"29802021051121580691079"</f>
        <v>29802021051121580691079</v>
      </c>
      <c r="C2750" s="7" t="s">
        <v>20</v>
      </c>
      <c r="D2750" s="7" t="str">
        <f>"张艺凡"</f>
        <v>张艺凡</v>
      </c>
      <c r="E2750" s="7" t="str">
        <f>"男"</f>
        <v>男</v>
      </c>
    </row>
    <row r="2751" spans="1:5" ht="30" customHeight="1">
      <c r="A2751" s="6">
        <v>2749</v>
      </c>
      <c r="B2751" s="7" t="str">
        <f>"29802021051200202191361"</f>
        <v>29802021051200202191361</v>
      </c>
      <c r="C2751" s="7" t="s">
        <v>20</v>
      </c>
      <c r="D2751" s="7" t="str">
        <f>"黄亚宾"</f>
        <v>黄亚宾</v>
      </c>
      <c r="E2751" s="7" t="str">
        <f>"男"</f>
        <v>男</v>
      </c>
    </row>
    <row r="2752" spans="1:5" ht="30" customHeight="1">
      <c r="A2752" s="6">
        <v>2750</v>
      </c>
      <c r="B2752" s="7" t="str">
        <f>"29802021051207160391424"</f>
        <v>29802021051207160391424</v>
      </c>
      <c r="C2752" s="7" t="s">
        <v>20</v>
      </c>
      <c r="D2752" s="7" t="str">
        <f>"黎苏泽"</f>
        <v>黎苏泽</v>
      </c>
      <c r="E2752" s="7" t="str">
        <f>"男"</f>
        <v>男</v>
      </c>
    </row>
    <row r="2753" spans="1:5" ht="30" customHeight="1">
      <c r="A2753" s="6">
        <v>2751</v>
      </c>
      <c r="B2753" s="7" t="str">
        <f>"29802021051208552591524"</f>
        <v>29802021051208552591524</v>
      </c>
      <c r="C2753" s="7" t="s">
        <v>20</v>
      </c>
      <c r="D2753" s="7" t="str">
        <f>"胥成龙"</f>
        <v>胥成龙</v>
      </c>
      <c r="E2753" s="7" t="str">
        <f>"男"</f>
        <v>男</v>
      </c>
    </row>
    <row r="2754" spans="1:5" ht="30" customHeight="1">
      <c r="A2754" s="6">
        <v>2752</v>
      </c>
      <c r="B2754" s="7" t="str">
        <f>"29802021051210050791826"</f>
        <v>29802021051210050791826</v>
      </c>
      <c r="C2754" s="7" t="s">
        <v>20</v>
      </c>
      <c r="D2754" s="7" t="str">
        <f>"郑玉平"</f>
        <v>郑玉平</v>
      </c>
      <c r="E2754" s="7" t="str">
        <f>"女"</f>
        <v>女</v>
      </c>
    </row>
    <row r="2755" spans="1:5" ht="30" customHeight="1">
      <c r="A2755" s="6">
        <v>2753</v>
      </c>
      <c r="B2755" s="7" t="str">
        <f>"29802021051210054591832"</f>
        <v>29802021051210054591832</v>
      </c>
      <c r="C2755" s="7" t="s">
        <v>20</v>
      </c>
      <c r="D2755" s="7" t="str">
        <f>"周元英"</f>
        <v>周元英</v>
      </c>
      <c r="E2755" s="7" t="str">
        <f>"女"</f>
        <v>女</v>
      </c>
    </row>
    <row r="2756" spans="1:5" ht="30" customHeight="1">
      <c r="A2756" s="6">
        <v>2754</v>
      </c>
      <c r="B2756" s="7" t="str">
        <f>"29802021051210565692112"</f>
        <v>29802021051210565692112</v>
      </c>
      <c r="C2756" s="7" t="s">
        <v>20</v>
      </c>
      <c r="D2756" s="7" t="str">
        <f>"黄海兴"</f>
        <v>黄海兴</v>
      </c>
      <c r="E2756" s="7" t="str">
        <f aca="true" t="shared" si="118" ref="E2756:E2764">"男"</f>
        <v>男</v>
      </c>
    </row>
    <row r="2757" spans="1:5" ht="30" customHeight="1">
      <c r="A2757" s="6">
        <v>2755</v>
      </c>
      <c r="B2757" s="7" t="str">
        <f>"29802021051212544992509"</f>
        <v>29802021051212544992509</v>
      </c>
      <c r="C2757" s="7" t="s">
        <v>20</v>
      </c>
      <c r="D2757" s="7" t="str">
        <f>"林寿呈"</f>
        <v>林寿呈</v>
      </c>
      <c r="E2757" s="7" t="str">
        <f t="shared" si="118"/>
        <v>男</v>
      </c>
    </row>
    <row r="2758" spans="1:5" ht="30" customHeight="1">
      <c r="A2758" s="6">
        <v>2756</v>
      </c>
      <c r="B2758" s="7" t="str">
        <f>"29802021051213110692567"</f>
        <v>29802021051213110692567</v>
      </c>
      <c r="C2758" s="7" t="s">
        <v>20</v>
      </c>
      <c r="D2758" s="7" t="str">
        <f>"符大林"</f>
        <v>符大林</v>
      </c>
      <c r="E2758" s="7" t="str">
        <f t="shared" si="118"/>
        <v>男</v>
      </c>
    </row>
    <row r="2759" spans="1:5" ht="30" customHeight="1">
      <c r="A2759" s="6">
        <v>2757</v>
      </c>
      <c r="B2759" s="7" t="str">
        <f>"29802021051214315892720"</f>
        <v>29802021051214315892720</v>
      </c>
      <c r="C2759" s="7" t="s">
        <v>20</v>
      </c>
      <c r="D2759" s="7" t="str">
        <f>"董学园"</f>
        <v>董学园</v>
      </c>
      <c r="E2759" s="7" t="str">
        <f t="shared" si="118"/>
        <v>男</v>
      </c>
    </row>
    <row r="2760" spans="1:5" ht="30" customHeight="1">
      <c r="A2760" s="6">
        <v>2758</v>
      </c>
      <c r="B2760" s="7" t="str">
        <f>"29802021051215032192814"</f>
        <v>29802021051215032192814</v>
      </c>
      <c r="C2760" s="7" t="s">
        <v>20</v>
      </c>
      <c r="D2760" s="7" t="str">
        <f>"王运来"</f>
        <v>王运来</v>
      </c>
      <c r="E2760" s="7" t="str">
        <f t="shared" si="118"/>
        <v>男</v>
      </c>
    </row>
    <row r="2761" spans="1:5" ht="30" customHeight="1">
      <c r="A2761" s="6">
        <v>2759</v>
      </c>
      <c r="B2761" s="7" t="str">
        <f>"29802021051215110092843"</f>
        <v>29802021051215110092843</v>
      </c>
      <c r="C2761" s="7" t="s">
        <v>20</v>
      </c>
      <c r="D2761" s="7" t="str">
        <f>"王文哥"</f>
        <v>王文哥</v>
      </c>
      <c r="E2761" s="7" t="str">
        <f t="shared" si="118"/>
        <v>男</v>
      </c>
    </row>
    <row r="2762" spans="1:5" ht="30" customHeight="1">
      <c r="A2762" s="6">
        <v>2760</v>
      </c>
      <c r="B2762" s="7" t="str">
        <f>"29802021051215194092887"</f>
        <v>29802021051215194092887</v>
      </c>
      <c r="C2762" s="7" t="s">
        <v>20</v>
      </c>
      <c r="D2762" s="7" t="str">
        <f>"符繁厅"</f>
        <v>符繁厅</v>
      </c>
      <c r="E2762" s="7" t="str">
        <f t="shared" si="118"/>
        <v>男</v>
      </c>
    </row>
    <row r="2763" spans="1:5" ht="30" customHeight="1">
      <c r="A2763" s="6">
        <v>2761</v>
      </c>
      <c r="B2763" s="7" t="str">
        <f>"29802021051215261392917"</f>
        <v>29802021051215261392917</v>
      </c>
      <c r="C2763" s="7" t="s">
        <v>20</v>
      </c>
      <c r="D2763" s="7" t="str">
        <f>"蔡仁桐"</f>
        <v>蔡仁桐</v>
      </c>
      <c r="E2763" s="7" t="str">
        <f t="shared" si="118"/>
        <v>男</v>
      </c>
    </row>
    <row r="2764" spans="1:5" ht="30" customHeight="1">
      <c r="A2764" s="6">
        <v>2762</v>
      </c>
      <c r="B2764" s="7" t="str">
        <f>"29802021051216370193197"</f>
        <v>29802021051216370193197</v>
      </c>
      <c r="C2764" s="7" t="s">
        <v>20</v>
      </c>
      <c r="D2764" s="7" t="str">
        <f>"林明宇"</f>
        <v>林明宇</v>
      </c>
      <c r="E2764" s="7" t="str">
        <f t="shared" si="118"/>
        <v>男</v>
      </c>
    </row>
    <row r="2765" spans="1:5" ht="30" customHeight="1">
      <c r="A2765" s="6">
        <v>2763</v>
      </c>
      <c r="B2765" s="7" t="str">
        <f>"29802021051216391093213"</f>
        <v>29802021051216391093213</v>
      </c>
      <c r="C2765" s="7" t="s">
        <v>20</v>
      </c>
      <c r="D2765" s="7" t="str">
        <f>"符莉萍"</f>
        <v>符莉萍</v>
      </c>
      <c r="E2765" s="7" t="str">
        <f>"女"</f>
        <v>女</v>
      </c>
    </row>
    <row r="2766" spans="1:5" ht="30" customHeight="1">
      <c r="A2766" s="6">
        <v>2764</v>
      </c>
      <c r="B2766" s="7" t="str">
        <f>"29802021051216460093244"</f>
        <v>29802021051216460093244</v>
      </c>
      <c r="C2766" s="7" t="s">
        <v>20</v>
      </c>
      <c r="D2766" s="7" t="str">
        <f>"符桂开"</f>
        <v>符桂开</v>
      </c>
      <c r="E2766" s="7" t="str">
        <f>"男"</f>
        <v>男</v>
      </c>
    </row>
    <row r="2767" spans="1:5" ht="30" customHeight="1">
      <c r="A2767" s="6">
        <v>2765</v>
      </c>
      <c r="B2767" s="7" t="str">
        <f>"29802021051216493893261"</f>
        <v>29802021051216493893261</v>
      </c>
      <c r="C2767" s="7" t="s">
        <v>20</v>
      </c>
      <c r="D2767" s="7" t="str">
        <f>"王凯"</f>
        <v>王凯</v>
      </c>
      <c r="E2767" s="7" t="str">
        <f>"男"</f>
        <v>男</v>
      </c>
    </row>
    <row r="2768" spans="1:5" ht="30" customHeight="1">
      <c r="A2768" s="6">
        <v>2766</v>
      </c>
      <c r="B2768" s="7" t="str">
        <f>"29802021051216513593271"</f>
        <v>29802021051216513593271</v>
      </c>
      <c r="C2768" s="7" t="s">
        <v>20</v>
      </c>
      <c r="D2768" s="7" t="str">
        <f>"张学萍"</f>
        <v>张学萍</v>
      </c>
      <c r="E2768" s="7" t="str">
        <f>"女"</f>
        <v>女</v>
      </c>
    </row>
    <row r="2769" spans="1:5" ht="30" customHeight="1">
      <c r="A2769" s="6">
        <v>2767</v>
      </c>
      <c r="B2769" s="7" t="str">
        <f>"29802021051218444793568"</f>
        <v>29802021051218444793568</v>
      </c>
      <c r="C2769" s="7" t="s">
        <v>20</v>
      </c>
      <c r="D2769" s="7" t="str">
        <f>"王森"</f>
        <v>王森</v>
      </c>
      <c r="E2769" s="7" t="str">
        <f>"男"</f>
        <v>男</v>
      </c>
    </row>
    <row r="2770" spans="1:5" ht="30" customHeight="1">
      <c r="A2770" s="6">
        <v>2768</v>
      </c>
      <c r="B2770" s="7" t="str">
        <f>"29802021051219420693656"</f>
        <v>29802021051219420693656</v>
      </c>
      <c r="C2770" s="7" t="s">
        <v>20</v>
      </c>
      <c r="D2770" s="7" t="str">
        <f>"陈廷文"</f>
        <v>陈廷文</v>
      </c>
      <c r="E2770" s="7" t="str">
        <f>"男"</f>
        <v>男</v>
      </c>
    </row>
    <row r="2771" spans="1:5" ht="30" customHeight="1">
      <c r="A2771" s="6">
        <v>2769</v>
      </c>
      <c r="B2771" s="7" t="str">
        <f>"29802021051219425993660"</f>
        <v>29802021051219425993660</v>
      </c>
      <c r="C2771" s="7" t="s">
        <v>20</v>
      </c>
      <c r="D2771" s="7" t="str">
        <f>"高泽琼"</f>
        <v>高泽琼</v>
      </c>
      <c r="E2771" s="7" t="str">
        <f>"男"</f>
        <v>男</v>
      </c>
    </row>
    <row r="2772" spans="1:5" ht="30" customHeight="1">
      <c r="A2772" s="6">
        <v>2770</v>
      </c>
      <c r="B2772" s="7" t="str">
        <f>"29802021051219553393685"</f>
        <v>29802021051219553393685</v>
      </c>
      <c r="C2772" s="7" t="s">
        <v>20</v>
      </c>
      <c r="D2772" s="7" t="str">
        <f>"羊为俊"</f>
        <v>羊为俊</v>
      </c>
      <c r="E2772" s="7" t="str">
        <f>"男"</f>
        <v>男</v>
      </c>
    </row>
    <row r="2773" spans="1:5" ht="30" customHeight="1">
      <c r="A2773" s="6">
        <v>2771</v>
      </c>
      <c r="B2773" s="7" t="str">
        <f>"29802021051220053893709"</f>
        <v>29802021051220053893709</v>
      </c>
      <c r="C2773" s="7" t="s">
        <v>20</v>
      </c>
      <c r="D2773" s="7" t="str">
        <f>"曾子文"</f>
        <v>曾子文</v>
      </c>
      <c r="E2773" s="7" t="str">
        <f>"男"</f>
        <v>男</v>
      </c>
    </row>
    <row r="2774" spans="1:5" ht="30" customHeight="1">
      <c r="A2774" s="6">
        <v>2772</v>
      </c>
      <c r="B2774" s="7" t="str">
        <f>"29802021051220070393712"</f>
        <v>29802021051220070393712</v>
      </c>
      <c r="C2774" s="7" t="s">
        <v>20</v>
      </c>
      <c r="D2774" s="7" t="str">
        <f>"钟赞晓"</f>
        <v>钟赞晓</v>
      </c>
      <c r="E2774" s="7" t="str">
        <f>"女"</f>
        <v>女</v>
      </c>
    </row>
    <row r="2775" spans="1:5" ht="30" customHeight="1">
      <c r="A2775" s="6">
        <v>2773</v>
      </c>
      <c r="B2775" s="7" t="str">
        <f>"29802021051222374794073"</f>
        <v>29802021051222374794073</v>
      </c>
      <c r="C2775" s="7" t="s">
        <v>20</v>
      </c>
      <c r="D2775" s="7" t="str">
        <f>"罗子康"</f>
        <v>罗子康</v>
      </c>
      <c r="E2775" s="7" t="str">
        <f>"男"</f>
        <v>男</v>
      </c>
    </row>
    <row r="2776" spans="1:5" ht="30" customHeight="1">
      <c r="A2776" s="6">
        <v>2774</v>
      </c>
      <c r="B2776" s="7" t="str">
        <f>"29802021051222413094085"</f>
        <v>29802021051222413094085</v>
      </c>
      <c r="C2776" s="7" t="s">
        <v>20</v>
      </c>
      <c r="D2776" s="7" t="str">
        <f>"唐寿彩"</f>
        <v>唐寿彩</v>
      </c>
      <c r="E2776" s="7" t="str">
        <f>"女"</f>
        <v>女</v>
      </c>
    </row>
    <row r="2777" spans="1:5" ht="30" customHeight="1">
      <c r="A2777" s="6">
        <v>2775</v>
      </c>
      <c r="B2777" s="7" t="str">
        <f>"29802021051223071694146"</f>
        <v>29802021051223071694146</v>
      </c>
      <c r="C2777" s="7" t="s">
        <v>20</v>
      </c>
      <c r="D2777" s="7" t="str">
        <f>"符汉光"</f>
        <v>符汉光</v>
      </c>
      <c r="E2777" s="7" t="str">
        <f>"男"</f>
        <v>男</v>
      </c>
    </row>
    <row r="2778" spans="1:5" ht="30" customHeight="1">
      <c r="A2778" s="6">
        <v>2776</v>
      </c>
      <c r="B2778" s="7" t="str">
        <f>"29802021051223362394194"</f>
        <v>29802021051223362394194</v>
      </c>
      <c r="C2778" s="7" t="s">
        <v>20</v>
      </c>
      <c r="D2778" s="7" t="str">
        <f>"于阳"</f>
        <v>于阳</v>
      </c>
      <c r="E2778" s="7" t="str">
        <f>"女"</f>
        <v>女</v>
      </c>
    </row>
    <row r="2779" spans="1:5" ht="30" customHeight="1">
      <c r="A2779" s="6">
        <v>2777</v>
      </c>
      <c r="B2779" s="7" t="str">
        <f>"29802021051301012894243"</f>
        <v>29802021051301012894243</v>
      </c>
      <c r="C2779" s="7" t="s">
        <v>20</v>
      </c>
      <c r="D2779" s="7" t="str">
        <f>"余燕锋"</f>
        <v>余燕锋</v>
      </c>
      <c r="E2779" s="7" t="str">
        <f>"女"</f>
        <v>女</v>
      </c>
    </row>
    <row r="2780" spans="1:5" ht="30" customHeight="1">
      <c r="A2780" s="6">
        <v>2778</v>
      </c>
      <c r="B2780" s="7" t="str">
        <f>"29802021051308120294287"</f>
        <v>29802021051308120294287</v>
      </c>
      <c r="C2780" s="7" t="s">
        <v>20</v>
      </c>
      <c r="D2780" s="7" t="str">
        <f>"黄冠龙"</f>
        <v>黄冠龙</v>
      </c>
      <c r="E2780" s="7" t="str">
        <f>"男"</f>
        <v>男</v>
      </c>
    </row>
    <row r="2781" spans="1:5" ht="30" customHeight="1">
      <c r="A2781" s="6">
        <v>2779</v>
      </c>
      <c r="B2781" s="7" t="str">
        <f>"29802021051309050294407"</f>
        <v>29802021051309050294407</v>
      </c>
      <c r="C2781" s="7" t="s">
        <v>20</v>
      </c>
      <c r="D2781" s="7" t="str">
        <f>"苏怿"</f>
        <v>苏怿</v>
      </c>
      <c r="E2781" s="7" t="str">
        <f>"男"</f>
        <v>男</v>
      </c>
    </row>
    <row r="2782" spans="1:5" ht="30" customHeight="1">
      <c r="A2782" s="6">
        <v>2780</v>
      </c>
      <c r="B2782" s="7" t="str">
        <f>"29802021051309362894498"</f>
        <v>29802021051309362894498</v>
      </c>
      <c r="C2782" s="7" t="s">
        <v>20</v>
      </c>
      <c r="D2782" s="7" t="str">
        <f>"李丽微"</f>
        <v>李丽微</v>
      </c>
      <c r="E2782" s="7" t="str">
        <f>"女"</f>
        <v>女</v>
      </c>
    </row>
    <row r="2783" spans="1:5" ht="30" customHeight="1">
      <c r="A2783" s="6">
        <v>2781</v>
      </c>
      <c r="B2783" s="7" t="str">
        <f>"29802021051310132294602"</f>
        <v>29802021051310132294602</v>
      </c>
      <c r="C2783" s="7" t="s">
        <v>20</v>
      </c>
      <c r="D2783" s="7" t="str">
        <f>"吴可斌"</f>
        <v>吴可斌</v>
      </c>
      <c r="E2783" s="7" t="str">
        <f>"男"</f>
        <v>男</v>
      </c>
    </row>
    <row r="2784" spans="1:5" ht="30" customHeight="1">
      <c r="A2784" s="6">
        <v>2782</v>
      </c>
      <c r="B2784" s="7" t="str">
        <f>"29802021051311442394904"</f>
        <v>29802021051311442394904</v>
      </c>
      <c r="C2784" s="7" t="s">
        <v>20</v>
      </c>
      <c r="D2784" s="7" t="str">
        <f>"马园园"</f>
        <v>马园园</v>
      </c>
      <c r="E2784" s="7" t="str">
        <f>"男"</f>
        <v>男</v>
      </c>
    </row>
    <row r="2785" spans="1:5" ht="30" customHeight="1">
      <c r="A2785" s="6">
        <v>2783</v>
      </c>
      <c r="B2785" s="7" t="str">
        <f>"29802021051312334094996"</f>
        <v>29802021051312334094996</v>
      </c>
      <c r="C2785" s="7" t="s">
        <v>20</v>
      </c>
      <c r="D2785" s="7" t="str">
        <f>"唐大香"</f>
        <v>唐大香</v>
      </c>
      <c r="E2785" s="7" t="str">
        <f>"女"</f>
        <v>女</v>
      </c>
    </row>
    <row r="2786" spans="1:5" ht="30" customHeight="1">
      <c r="A2786" s="6">
        <v>2784</v>
      </c>
      <c r="B2786" s="7" t="str">
        <f>"29802021051314263795179"</f>
        <v>29802021051314263795179</v>
      </c>
      <c r="C2786" s="7" t="s">
        <v>20</v>
      </c>
      <c r="D2786" s="7" t="str">
        <f>"高赞博"</f>
        <v>高赞博</v>
      </c>
      <c r="E2786" s="7" t="str">
        <f>"男"</f>
        <v>男</v>
      </c>
    </row>
    <row r="2787" spans="1:5" ht="30" customHeight="1">
      <c r="A2787" s="6">
        <v>2785</v>
      </c>
      <c r="B2787" s="7" t="str">
        <f>"29802021051314541995230"</f>
        <v>29802021051314541995230</v>
      </c>
      <c r="C2787" s="7" t="s">
        <v>20</v>
      </c>
      <c r="D2787" s="7" t="str">
        <f>"刘璐"</f>
        <v>刘璐</v>
      </c>
      <c r="E2787" s="7" t="str">
        <f>"女"</f>
        <v>女</v>
      </c>
    </row>
    <row r="2788" spans="1:5" ht="30" customHeight="1">
      <c r="A2788" s="6">
        <v>2786</v>
      </c>
      <c r="B2788" s="7" t="str">
        <f>"29802021051315013295249"</f>
        <v>29802021051315013295249</v>
      </c>
      <c r="C2788" s="7" t="s">
        <v>20</v>
      </c>
      <c r="D2788" s="7" t="str">
        <f>"符仁升"</f>
        <v>符仁升</v>
      </c>
      <c r="E2788" s="7" t="str">
        <f>"男"</f>
        <v>男</v>
      </c>
    </row>
    <row r="2789" spans="1:5" ht="30" customHeight="1">
      <c r="A2789" s="6">
        <v>2787</v>
      </c>
      <c r="B2789" s="7" t="str">
        <f>"29802021051315321295321"</f>
        <v>29802021051315321295321</v>
      </c>
      <c r="C2789" s="7" t="s">
        <v>20</v>
      </c>
      <c r="D2789" s="7" t="str">
        <f>"李雾雾"</f>
        <v>李雾雾</v>
      </c>
      <c r="E2789" s="7" t="str">
        <f>"男"</f>
        <v>男</v>
      </c>
    </row>
    <row r="2790" spans="1:5" ht="30" customHeight="1">
      <c r="A2790" s="6">
        <v>2788</v>
      </c>
      <c r="B2790" s="7" t="str">
        <f>"29802021051315451295357"</f>
        <v>29802021051315451295357</v>
      </c>
      <c r="C2790" s="7" t="s">
        <v>20</v>
      </c>
      <c r="D2790" s="7" t="str">
        <f>"符大树"</f>
        <v>符大树</v>
      </c>
      <c r="E2790" s="7" t="str">
        <f>"男"</f>
        <v>男</v>
      </c>
    </row>
    <row r="2791" spans="1:5" ht="30" customHeight="1">
      <c r="A2791" s="6">
        <v>2789</v>
      </c>
      <c r="B2791" s="7" t="str">
        <f>"29802021051315575895392"</f>
        <v>29802021051315575895392</v>
      </c>
      <c r="C2791" s="7" t="s">
        <v>20</v>
      </c>
      <c r="D2791" s="7" t="str">
        <f>"蔡莉"</f>
        <v>蔡莉</v>
      </c>
      <c r="E2791" s="7" t="str">
        <f>"女"</f>
        <v>女</v>
      </c>
    </row>
    <row r="2792" spans="1:5" ht="30" customHeight="1">
      <c r="A2792" s="6">
        <v>2790</v>
      </c>
      <c r="B2792" s="7" t="str">
        <f>"29802021051316143395440"</f>
        <v>29802021051316143395440</v>
      </c>
      <c r="C2792" s="7" t="s">
        <v>20</v>
      </c>
      <c r="D2792" s="7" t="str">
        <f>"秦代威"</f>
        <v>秦代威</v>
      </c>
      <c r="E2792" s="7" t="str">
        <f>"男"</f>
        <v>男</v>
      </c>
    </row>
    <row r="2793" spans="1:5" ht="30" customHeight="1">
      <c r="A2793" s="6">
        <v>2791</v>
      </c>
      <c r="B2793" s="7" t="str">
        <f>"29802021051316554095535"</f>
        <v>29802021051316554095535</v>
      </c>
      <c r="C2793" s="7" t="s">
        <v>20</v>
      </c>
      <c r="D2793" s="7" t="str">
        <f>"陈琚福"</f>
        <v>陈琚福</v>
      </c>
      <c r="E2793" s="7" t="str">
        <f>"男"</f>
        <v>男</v>
      </c>
    </row>
    <row r="2794" spans="1:5" ht="30" customHeight="1">
      <c r="A2794" s="6">
        <v>2792</v>
      </c>
      <c r="B2794" s="7" t="str">
        <f>"29802021051319141695832"</f>
        <v>29802021051319141695832</v>
      </c>
      <c r="C2794" s="7" t="s">
        <v>20</v>
      </c>
      <c r="D2794" s="7" t="str">
        <f>"吴跃偏"</f>
        <v>吴跃偏</v>
      </c>
      <c r="E2794" s="7" t="str">
        <f>"女"</f>
        <v>女</v>
      </c>
    </row>
    <row r="2795" spans="1:5" ht="30" customHeight="1">
      <c r="A2795" s="6">
        <v>2793</v>
      </c>
      <c r="B2795" s="7" t="str">
        <f>"29802021051320542796017"</f>
        <v>29802021051320542796017</v>
      </c>
      <c r="C2795" s="7" t="s">
        <v>20</v>
      </c>
      <c r="D2795" s="7" t="str">
        <f>"梁磊泉"</f>
        <v>梁磊泉</v>
      </c>
      <c r="E2795" s="7" t="str">
        <f>"男"</f>
        <v>男</v>
      </c>
    </row>
    <row r="2796" spans="1:5" ht="30" customHeight="1">
      <c r="A2796" s="6">
        <v>2794</v>
      </c>
      <c r="B2796" s="7" t="str">
        <f>"29802021051321000096026"</f>
        <v>29802021051321000096026</v>
      </c>
      <c r="C2796" s="7" t="s">
        <v>20</v>
      </c>
      <c r="D2796" s="7" t="str">
        <f>"马良骥"</f>
        <v>马良骥</v>
      </c>
      <c r="E2796" s="7" t="str">
        <f>"男"</f>
        <v>男</v>
      </c>
    </row>
    <row r="2797" spans="1:5" ht="30" customHeight="1">
      <c r="A2797" s="6">
        <v>2795</v>
      </c>
      <c r="B2797" s="7" t="str">
        <f>"29802021051321440996125"</f>
        <v>29802021051321440996125</v>
      </c>
      <c r="C2797" s="7" t="s">
        <v>20</v>
      </c>
      <c r="D2797" s="7" t="str">
        <f>"张竞元"</f>
        <v>张竞元</v>
      </c>
      <c r="E2797" s="7" t="str">
        <f>"女"</f>
        <v>女</v>
      </c>
    </row>
    <row r="2798" spans="1:5" ht="30" customHeight="1">
      <c r="A2798" s="6">
        <v>2796</v>
      </c>
      <c r="B2798" s="7" t="str">
        <f>"29802021051322283196230"</f>
        <v>29802021051322283196230</v>
      </c>
      <c r="C2798" s="7" t="s">
        <v>20</v>
      </c>
      <c r="D2798" s="7" t="str">
        <f>"马小敏"</f>
        <v>马小敏</v>
      </c>
      <c r="E2798" s="7" t="str">
        <f>"男"</f>
        <v>男</v>
      </c>
    </row>
    <row r="2799" spans="1:5" ht="30" customHeight="1">
      <c r="A2799" s="6">
        <v>2797</v>
      </c>
      <c r="B2799" s="7" t="str">
        <f>"29802021051322311896237"</f>
        <v>29802021051322311896237</v>
      </c>
      <c r="C2799" s="7" t="s">
        <v>20</v>
      </c>
      <c r="D2799" s="7" t="str">
        <f>"黄雪贞"</f>
        <v>黄雪贞</v>
      </c>
      <c r="E2799" s="7" t="str">
        <f>"女"</f>
        <v>女</v>
      </c>
    </row>
    <row r="2800" spans="1:5" ht="30" customHeight="1">
      <c r="A2800" s="6">
        <v>2798</v>
      </c>
      <c r="B2800" s="7" t="str">
        <f>"29802021051323135896317"</f>
        <v>29802021051323135896317</v>
      </c>
      <c r="C2800" s="7" t="s">
        <v>20</v>
      </c>
      <c r="D2800" s="7" t="str">
        <f>"符棉钫"</f>
        <v>符棉钫</v>
      </c>
      <c r="E2800" s="7" t="str">
        <f>"男"</f>
        <v>男</v>
      </c>
    </row>
    <row r="2801" spans="1:5" ht="30" customHeight="1">
      <c r="A2801" s="6">
        <v>2799</v>
      </c>
      <c r="B2801" s="7" t="str">
        <f>"29802021051407285196427"</f>
        <v>29802021051407285196427</v>
      </c>
      <c r="C2801" s="7" t="s">
        <v>20</v>
      </c>
      <c r="D2801" s="7" t="str">
        <f>"柏馨"</f>
        <v>柏馨</v>
      </c>
      <c r="E2801" s="7" t="str">
        <f>"女"</f>
        <v>女</v>
      </c>
    </row>
    <row r="2802" spans="1:5" ht="30" customHeight="1">
      <c r="A2802" s="6">
        <v>2800</v>
      </c>
      <c r="B2802" s="7" t="str">
        <f>"29802021051408044596442"</f>
        <v>29802021051408044596442</v>
      </c>
      <c r="C2802" s="7" t="s">
        <v>20</v>
      </c>
      <c r="D2802" s="7" t="str">
        <f>"符悦丰"</f>
        <v>符悦丰</v>
      </c>
      <c r="E2802" s="7" t="str">
        <f>"男"</f>
        <v>男</v>
      </c>
    </row>
    <row r="2803" spans="1:5" ht="30" customHeight="1">
      <c r="A2803" s="6">
        <v>2801</v>
      </c>
      <c r="B2803" s="7" t="str">
        <f>"29802021051408053896444"</f>
        <v>29802021051408053896444</v>
      </c>
      <c r="C2803" s="7" t="s">
        <v>20</v>
      </c>
      <c r="D2803" s="7" t="str">
        <f>"吴春艳"</f>
        <v>吴春艳</v>
      </c>
      <c r="E2803" s="7" t="str">
        <f>"女"</f>
        <v>女</v>
      </c>
    </row>
    <row r="2804" spans="1:5" ht="30" customHeight="1">
      <c r="A2804" s="6">
        <v>2802</v>
      </c>
      <c r="B2804" s="7" t="str">
        <f>"29802021051408592096522"</f>
        <v>29802021051408592096522</v>
      </c>
      <c r="C2804" s="7" t="s">
        <v>20</v>
      </c>
      <c r="D2804" s="7" t="str">
        <f>"林师雷"</f>
        <v>林师雷</v>
      </c>
      <c r="E2804" s="7" t="str">
        <f>"男"</f>
        <v>男</v>
      </c>
    </row>
    <row r="2805" spans="1:5" ht="30" customHeight="1">
      <c r="A2805" s="6">
        <v>2803</v>
      </c>
      <c r="B2805" s="7" t="str">
        <f>"29802021051409281396579"</f>
        <v>29802021051409281396579</v>
      </c>
      <c r="C2805" s="7" t="s">
        <v>20</v>
      </c>
      <c r="D2805" s="7" t="str">
        <f>"周贺栽"</f>
        <v>周贺栽</v>
      </c>
      <c r="E2805" s="7" t="str">
        <f>"女"</f>
        <v>女</v>
      </c>
    </row>
    <row r="2806" spans="1:5" ht="30" customHeight="1">
      <c r="A2806" s="6">
        <v>2804</v>
      </c>
      <c r="B2806" s="7" t="str">
        <f>"29802021051412132896948"</f>
        <v>29802021051412132896948</v>
      </c>
      <c r="C2806" s="7" t="s">
        <v>20</v>
      </c>
      <c r="D2806" s="7" t="str">
        <f>"李武深"</f>
        <v>李武深</v>
      </c>
      <c r="E2806" s="7" t="str">
        <f>"男"</f>
        <v>男</v>
      </c>
    </row>
    <row r="2807" spans="1:5" ht="30" customHeight="1">
      <c r="A2807" s="6">
        <v>2805</v>
      </c>
      <c r="B2807" s="7" t="str">
        <f>"29802021051413160897084"</f>
        <v>29802021051413160897084</v>
      </c>
      <c r="C2807" s="7" t="s">
        <v>20</v>
      </c>
      <c r="D2807" s="7" t="str">
        <f>"吴金荣"</f>
        <v>吴金荣</v>
      </c>
      <c r="E2807" s="7" t="str">
        <f>"女"</f>
        <v>女</v>
      </c>
    </row>
    <row r="2808" spans="1:5" ht="30" customHeight="1">
      <c r="A2808" s="6">
        <v>2806</v>
      </c>
      <c r="B2808" s="7" t="str">
        <f>"29802021051413275597105"</f>
        <v>29802021051413275597105</v>
      </c>
      <c r="C2808" s="7" t="s">
        <v>20</v>
      </c>
      <c r="D2808" s="7" t="str">
        <f>"黄恒兴"</f>
        <v>黄恒兴</v>
      </c>
      <c r="E2808" s="7" t="str">
        <f aca="true" t="shared" si="119" ref="E2808:E2813">"男"</f>
        <v>男</v>
      </c>
    </row>
    <row r="2809" spans="1:5" ht="30" customHeight="1">
      <c r="A2809" s="6">
        <v>2807</v>
      </c>
      <c r="B2809" s="7" t="str">
        <f>"29802021051414000397161"</f>
        <v>29802021051414000397161</v>
      </c>
      <c r="C2809" s="7" t="s">
        <v>20</v>
      </c>
      <c r="D2809" s="7" t="str">
        <f>"卓多飞"</f>
        <v>卓多飞</v>
      </c>
      <c r="E2809" s="7" t="str">
        <f t="shared" si="119"/>
        <v>男</v>
      </c>
    </row>
    <row r="2810" spans="1:5" ht="30" customHeight="1">
      <c r="A2810" s="6">
        <v>2808</v>
      </c>
      <c r="B2810" s="7" t="str">
        <f>"29802021051414561297250"</f>
        <v>29802021051414561297250</v>
      </c>
      <c r="C2810" s="7" t="s">
        <v>20</v>
      </c>
      <c r="D2810" s="7" t="str">
        <f>"董乾"</f>
        <v>董乾</v>
      </c>
      <c r="E2810" s="7" t="str">
        <f t="shared" si="119"/>
        <v>男</v>
      </c>
    </row>
    <row r="2811" spans="1:5" ht="30" customHeight="1">
      <c r="A2811" s="6">
        <v>2809</v>
      </c>
      <c r="B2811" s="7" t="str">
        <f>"29802021051416554297538"</f>
        <v>29802021051416554297538</v>
      </c>
      <c r="C2811" s="7" t="s">
        <v>20</v>
      </c>
      <c r="D2811" s="7" t="str">
        <f>"符佳星"</f>
        <v>符佳星</v>
      </c>
      <c r="E2811" s="7" t="str">
        <f t="shared" si="119"/>
        <v>男</v>
      </c>
    </row>
    <row r="2812" spans="1:5" ht="30" customHeight="1">
      <c r="A2812" s="6">
        <v>2810</v>
      </c>
      <c r="B2812" s="7" t="str">
        <f>"29802021051417190197593"</f>
        <v>29802021051417190197593</v>
      </c>
      <c r="C2812" s="7" t="s">
        <v>20</v>
      </c>
      <c r="D2812" s="7" t="str">
        <f>"苏文友"</f>
        <v>苏文友</v>
      </c>
      <c r="E2812" s="7" t="str">
        <f t="shared" si="119"/>
        <v>男</v>
      </c>
    </row>
    <row r="2813" spans="1:5" ht="30" customHeight="1">
      <c r="A2813" s="6">
        <v>2811</v>
      </c>
      <c r="B2813" s="7" t="str">
        <f>"29802021051417531397640"</f>
        <v>29802021051417531397640</v>
      </c>
      <c r="C2813" s="7" t="s">
        <v>20</v>
      </c>
      <c r="D2813" s="7" t="str">
        <f>"刘文理"</f>
        <v>刘文理</v>
      </c>
      <c r="E2813" s="7" t="str">
        <f t="shared" si="119"/>
        <v>男</v>
      </c>
    </row>
    <row r="2814" spans="1:5" ht="30" customHeight="1">
      <c r="A2814" s="6">
        <v>2812</v>
      </c>
      <c r="B2814" s="7" t="str">
        <f>"29802021051418055097668"</f>
        <v>29802021051418055097668</v>
      </c>
      <c r="C2814" s="7" t="s">
        <v>20</v>
      </c>
      <c r="D2814" s="7" t="str">
        <f>"李莉环"</f>
        <v>李莉环</v>
      </c>
      <c r="E2814" s="7" t="str">
        <f>"女"</f>
        <v>女</v>
      </c>
    </row>
    <row r="2815" spans="1:5" ht="30" customHeight="1">
      <c r="A2815" s="6">
        <v>2813</v>
      </c>
      <c r="B2815" s="7" t="str">
        <f>"29802021051419484397818"</f>
        <v>29802021051419484397818</v>
      </c>
      <c r="C2815" s="7" t="s">
        <v>20</v>
      </c>
      <c r="D2815" s="7" t="str">
        <f>"杨圣安"</f>
        <v>杨圣安</v>
      </c>
      <c r="E2815" s="7" t="str">
        <f aca="true" t="shared" si="120" ref="E2815:E2822">"男"</f>
        <v>男</v>
      </c>
    </row>
    <row r="2816" spans="1:5" ht="30" customHeight="1">
      <c r="A2816" s="6">
        <v>2814</v>
      </c>
      <c r="B2816" s="7" t="str">
        <f>"29802021051420072997849"</f>
        <v>29802021051420072997849</v>
      </c>
      <c r="C2816" s="7" t="s">
        <v>20</v>
      </c>
      <c r="D2816" s="7" t="str">
        <f>"符巨龙"</f>
        <v>符巨龙</v>
      </c>
      <c r="E2816" s="7" t="str">
        <f t="shared" si="120"/>
        <v>男</v>
      </c>
    </row>
    <row r="2817" spans="1:5" ht="30" customHeight="1">
      <c r="A2817" s="6">
        <v>2815</v>
      </c>
      <c r="B2817" s="7" t="str">
        <f>"29802021051421401798001"</f>
        <v>29802021051421401798001</v>
      </c>
      <c r="C2817" s="7" t="s">
        <v>20</v>
      </c>
      <c r="D2817" s="7" t="str">
        <f>"欧金圣"</f>
        <v>欧金圣</v>
      </c>
      <c r="E2817" s="7" t="str">
        <f t="shared" si="120"/>
        <v>男</v>
      </c>
    </row>
    <row r="2818" spans="1:5" ht="30" customHeight="1">
      <c r="A2818" s="6">
        <v>2816</v>
      </c>
      <c r="B2818" s="7" t="str">
        <f>"29802021051508552798347"</f>
        <v>29802021051508552798347</v>
      </c>
      <c r="C2818" s="7" t="s">
        <v>20</v>
      </c>
      <c r="D2818" s="7" t="str">
        <f>"吴钟乾"</f>
        <v>吴钟乾</v>
      </c>
      <c r="E2818" s="7" t="str">
        <f t="shared" si="120"/>
        <v>男</v>
      </c>
    </row>
    <row r="2819" spans="1:5" ht="30" customHeight="1">
      <c r="A2819" s="6">
        <v>2817</v>
      </c>
      <c r="B2819" s="7" t="str">
        <f>"29802021051510445998503"</f>
        <v>29802021051510445998503</v>
      </c>
      <c r="C2819" s="7" t="s">
        <v>20</v>
      </c>
      <c r="D2819" s="7" t="str">
        <f>"赵志国"</f>
        <v>赵志国</v>
      </c>
      <c r="E2819" s="7" t="str">
        <f t="shared" si="120"/>
        <v>男</v>
      </c>
    </row>
    <row r="2820" spans="1:5" ht="30" customHeight="1">
      <c r="A2820" s="6">
        <v>2818</v>
      </c>
      <c r="B2820" s="7" t="str">
        <f>"29802021051510470998512"</f>
        <v>29802021051510470998512</v>
      </c>
      <c r="C2820" s="7" t="s">
        <v>20</v>
      </c>
      <c r="D2820" s="7" t="str">
        <f>"林宓"</f>
        <v>林宓</v>
      </c>
      <c r="E2820" s="7" t="str">
        <f t="shared" si="120"/>
        <v>男</v>
      </c>
    </row>
    <row r="2821" spans="1:5" ht="30" customHeight="1">
      <c r="A2821" s="6">
        <v>2819</v>
      </c>
      <c r="B2821" s="7" t="str">
        <f>"29802021051511131698557"</f>
        <v>29802021051511131698557</v>
      </c>
      <c r="C2821" s="7" t="s">
        <v>20</v>
      </c>
      <c r="D2821" s="7" t="str">
        <f>"魏磊"</f>
        <v>魏磊</v>
      </c>
      <c r="E2821" s="7" t="str">
        <f t="shared" si="120"/>
        <v>男</v>
      </c>
    </row>
    <row r="2822" spans="1:5" ht="30" customHeight="1">
      <c r="A2822" s="6">
        <v>2820</v>
      </c>
      <c r="B2822" s="7" t="str">
        <f>"29802021051511193498567"</f>
        <v>29802021051511193498567</v>
      </c>
      <c r="C2822" s="7" t="s">
        <v>20</v>
      </c>
      <c r="D2822" s="7" t="str">
        <f>"周安乐"</f>
        <v>周安乐</v>
      </c>
      <c r="E2822" s="7" t="str">
        <f t="shared" si="120"/>
        <v>男</v>
      </c>
    </row>
    <row r="2823" spans="1:5" ht="30" customHeight="1">
      <c r="A2823" s="6">
        <v>2821</v>
      </c>
      <c r="B2823" s="7" t="str">
        <f>"29802021051511470898611"</f>
        <v>29802021051511470898611</v>
      </c>
      <c r="C2823" s="7" t="s">
        <v>20</v>
      </c>
      <c r="D2823" s="7" t="str">
        <f>"云美珍"</f>
        <v>云美珍</v>
      </c>
      <c r="E2823" s="7" t="str">
        <f>"女"</f>
        <v>女</v>
      </c>
    </row>
    <row r="2824" spans="1:5" ht="30" customHeight="1">
      <c r="A2824" s="6">
        <v>2822</v>
      </c>
      <c r="B2824" s="7" t="str">
        <f>"29802021051512034098641"</f>
        <v>29802021051512034098641</v>
      </c>
      <c r="C2824" s="7" t="s">
        <v>20</v>
      </c>
      <c r="D2824" s="7" t="str">
        <f>"李衍锋"</f>
        <v>李衍锋</v>
      </c>
      <c r="E2824" s="7" t="str">
        <f>"男"</f>
        <v>男</v>
      </c>
    </row>
    <row r="2825" spans="1:5" ht="30" customHeight="1">
      <c r="A2825" s="6">
        <v>2823</v>
      </c>
      <c r="B2825" s="7" t="str">
        <f>"29802021051512573898727"</f>
        <v>29802021051512573898727</v>
      </c>
      <c r="C2825" s="7" t="s">
        <v>20</v>
      </c>
      <c r="D2825" s="7" t="str">
        <f>"王康岛"</f>
        <v>王康岛</v>
      </c>
      <c r="E2825" s="7" t="str">
        <f>"男"</f>
        <v>男</v>
      </c>
    </row>
    <row r="2826" spans="1:5" ht="30" customHeight="1">
      <c r="A2826" s="6">
        <v>2824</v>
      </c>
      <c r="B2826" s="7" t="str">
        <f>"29802021050909154580586"</f>
        <v>29802021050909154580586</v>
      </c>
      <c r="C2826" s="7" t="s">
        <v>21</v>
      </c>
      <c r="D2826" s="7" t="str">
        <f>"佘春艳"</f>
        <v>佘春艳</v>
      </c>
      <c r="E2826" s="7" t="str">
        <f aca="true" t="shared" si="121" ref="E2826:E2838">"女"</f>
        <v>女</v>
      </c>
    </row>
    <row r="2827" spans="1:5" ht="30" customHeight="1">
      <c r="A2827" s="6">
        <v>2825</v>
      </c>
      <c r="B2827" s="7" t="str">
        <f>"29802021050909433280634"</f>
        <v>29802021050909433280634</v>
      </c>
      <c r="C2827" s="7" t="s">
        <v>21</v>
      </c>
      <c r="D2827" s="7" t="str">
        <f>"叶连雪"</f>
        <v>叶连雪</v>
      </c>
      <c r="E2827" s="7" t="str">
        <f t="shared" si="121"/>
        <v>女</v>
      </c>
    </row>
    <row r="2828" spans="1:5" ht="30" customHeight="1">
      <c r="A2828" s="6">
        <v>2826</v>
      </c>
      <c r="B2828" s="7" t="str">
        <f>"29802021050910150180706"</f>
        <v>29802021050910150180706</v>
      </c>
      <c r="C2828" s="7" t="s">
        <v>21</v>
      </c>
      <c r="D2828" s="7" t="str">
        <f>"朱艳敏"</f>
        <v>朱艳敏</v>
      </c>
      <c r="E2828" s="7" t="str">
        <f t="shared" si="121"/>
        <v>女</v>
      </c>
    </row>
    <row r="2829" spans="1:5" ht="30" customHeight="1">
      <c r="A2829" s="6">
        <v>2827</v>
      </c>
      <c r="B2829" s="7" t="str">
        <f>"29802021050910355380748"</f>
        <v>29802021050910355380748</v>
      </c>
      <c r="C2829" s="7" t="s">
        <v>21</v>
      </c>
      <c r="D2829" s="7" t="str">
        <f>"罗雅婷"</f>
        <v>罗雅婷</v>
      </c>
      <c r="E2829" s="7" t="str">
        <f t="shared" si="121"/>
        <v>女</v>
      </c>
    </row>
    <row r="2830" spans="1:5" ht="30" customHeight="1">
      <c r="A2830" s="6">
        <v>2828</v>
      </c>
      <c r="B2830" s="7" t="str">
        <f>"29802021050912084680920"</f>
        <v>29802021050912084680920</v>
      </c>
      <c r="C2830" s="7" t="s">
        <v>21</v>
      </c>
      <c r="D2830" s="7" t="str">
        <f>"陆国锞"</f>
        <v>陆国锞</v>
      </c>
      <c r="E2830" s="7" t="str">
        <f t="shared" si="121"/>
        <v>女</v>
      </c>
    </row>
    <row r="2831" spans="1:5" ht="30" customHeight="1">
      <c r="A2831" s="6">
        <v>2829</v>
      </c>
      <c r="B2831" s="7" t="str">
        <f>"29802021050912590781004"</f>
        <v>29802021050912590781004</v>
      </c>
      <c r="C2831" s="7" t="s">
        <v>21</v>
      </c>
      <c r="D2831" s="7" t="str">
        <f>"何欣欣"</f>
        <v>何欣欣</v>
      </c>
      <c r="E2831" s="7" t="str">
        <f t="shared" si="121"/>
        <v>女</v>
      </c>
    </row>
    <row r="2832" spans="1:5" ht="30" customHeight="1">
      <c r="A2832" s="6">
        <v>2830</v>
      </c>
      <c r="B2832" s="7" t="str">
        <f>"29802021050916015381283"</f>
        <v>29802021050916015381283</v>
      </c>
      <c r="C2832" s="7" t="s">
        <v>21</v>
      </c>
      <c r="D2832" s="7" t="str">
        <f>"陈耀丽"</f>
        <v>陈耀丽</v>
      </c>
      <c r="E2832" s="7" t="str">
        <f t="shared" si="121"/>
        <v>女</v>
      </c>
    </row>
    <row r="2833" spans="1:5" ht="30" customHeight="1">
      <c r="A2833" s="6">
        <v>2831</v>
      </c>
      <c r="B2833" s="7" t="str">
        <f>"29802021050916464181376"</f>
        <v>29802021050916464181376</v>
      </c>
      <c r="C2833" s="7" t="s">
        <v>21</v>
      </c>
      <c r="D2833" s="7" t="str">
        <f>"黄牧磊"</f>
        <v>黄牧磊</v>
      </c>
      <c r="E2833" s="7" t="str">
        <f t="shared" si="121"/>
        <v>女</v>
      </c>
    </row>
    <row r="2834" spans="1:5" ht="30" customHeight="1">
      <c r="A2834" s="6">
        <v>2832</v>
      </c>
      <c r="B2834" s="7" t="str">
        <f>"29802021050916474781379"</f>
        <v>29802021050916474781379</v>
      </c>
      <c r="C2834" s="7" t="s">
        <v>21</v>
      </c>
      <c r="D2834" s="7" t="str">
        <f>"钟春雨"</f>
        <v>钟春雨</v>
      </c>
      <c r="E2834" s="7" t="str">
        <f t="shared" si="121"/>
        <v>女</v>
      </c>
    </row>
    <row r="2835" spans="1:5" ht="30" customHeight="1">
      <c r="A2835" s="6">
        <v>2833</v>
      </c>
      <c r="B2835" s="7" t="str">
        <f>"29802021050916591481400"</f>
        <v>29802021050916591481400</v>
      </c>
      <c r="C2835" s="7" t="s">
        <v>21</v>
      </c>
      <c r="D2835" s="7" t="str">
        <f>"陈丽姣"</f>
        <v>陈丽姣</v>
      </c>
      <c r="E2835" s="7" t="str">
        <f t="shared" si="121"/>
        <v>女</v>
      </c>
    </row>
    <row r="2836" spans="1:5" ht="30" customHeight="1">
      <c r="A2836" s="6">
        <v>2834</v>
      </c>
      <c r="B2836" s="7" t="str">
        <f>"29802021050920261381816"</f>
        <v>29802021050920261381816</v>
      </c>
      <c r="C2836" s="7" t="s">
        <v>21</v>
      </c>
      <c r="D2836" s="7" t="str">
        <f>"林清莲"</f>
        <v>林清莲</v>
      </c>
      <c r="E2836" s="7" t="str">
        <f t="shared" si="121"/>
        <v>女</v>
      </c>
    </row>
    <row r="2837" spans="1:5" ht="30" customHeight="1">
      <c r="A2837" s="6">
        <v>2835</v>
      </c>
      <c r="B2837" s="7" t="str">
        <f>"29802021050921353981987"</f>
        <v>29802021050921353981987</v>
      </c>
      <c r="C2837" s="7" t="s">
        <v>21</v>
      </c>
      <c r="D2837" s="7" t="str">
        <f>"陈玲"</f>
        <v>陈玲</v>
      </c>
      <c r="E2837" s="7" t="str">
        <f t="shared" si="121"/>
        <v>女</v>
      </c>
    </row>
    <row r="2838" spans="1:5" ht="30" customHeight="1">
      <c r="A2838" s="6">
        <v>2836</v>
      </c>
      <c r="B2838" s="7" t="str">
        <f>"29802021050922242582119"</f>
        <v>29802021050922242582119</v>
      </c>
      <c r="C2838" s="7" t="s">
        <v>21</v>
      </c>
      <c r="D2838" s="7" t="str">
        <f>"林斯娴"</f>
        <v>林斯娴</v>
      </c>
      <c r="E2838" s="7" t="str">
        <f t="shared" si="121"/>
        <v>女</v>
      </c>
    </row>
    <row r="2839" spans="1:5" ht="30" customHeight="1">
      <c r="A2839" s="6">
        <v>2837</v>
      </c>
      <c r="B2839" s="7" t="str">
        <f>"29802021050922362982147"</f>
        <v>29802021050922362982147</v>
      </c>
      <c r="C2839" s="7" t="s">
        <v>21</v>
      </c>
      <c r="D2839" s="7" t="str">
        <f>"刘飞龙"</f>
        <v>刘飞龙</v>
      </c>
      <c r="E2839" s="7" t="str">
        <f>"男"</f>
        <v>男</v>
      </c>
    </row>
    <row r="2840" spans="1:5" ht="30" customHeight="1">
      <c r="A2840" s="6">
        <v>2838</v>
      </c>
      <c r="B2840" s="7" t="str">
        <f>"29802021050923415282268"</f>
        <v>29802021050923415282268</v>
      </c>
      <c r="C2840" s="7" t="s">
        <v>21</v>
      </c>
      <c r="D2840" s="7" t="str">
        <f>"付连连"</f>
        <v>付连连</v>
      </c>
      <c r="E2840" s="7" t="str">
        <f>"男"</f>
        <v>男</v>
      </c>
    </row>
    <row r="2841" spans="1:5" ht="30" customHeight="1">
      <c r="A2841" s="6">
        <v>2839</v>
      </c>
      <c r="B2841" s="7" t="str">
        <f>"29802021051000031182290"</f>
        <v>29802021051000031182290</v>
      </c>
      <c r="C2841" s="7" t="s">
        <v>21</v>
      </c>
      <c r="D2841" s="7" t="str">
        <f>"谭智"</f>
        <v>谭智</v>
      </c>
      <c r="E2841" s="7" t="str">
        <f>"男"</f>
        <v>男</v>
      </c>
    </row>
    <row r="2842" spans="1:5" ht="30" customHeight="1">
      <c r="A2842" s="6">
        <v>2840</v>
      </c>
      <c r="B2842" s="7" t="str">
        <f>"29802021051008400182569"</f>
        <v>29802021051008400182569</v>
      </c>
      <c r="C2842" s="7" t="s">
        <v>21</v>
      </c>
      <c r="D2842" s="7" t="str">
        <f>"陆春美"</f>
        <v>陆春美</v>
      </c>
      <c r="E2842" s="7" t="str">
        <f>"女"</f>
        <v>女</v>
      </c>
    </row>
    <row r="2843" spans="1:5" ht="30" customHeight="1">
      <c r="A2843" s="6">
        <v>2841</v>
      </c>
      <c r="B2843" s="7" t="str">
        <f>"29802021051008500282640"</f>
        <v>29802021051008500282640</v>
      </c>
      <c r="C2843" s="7" t="s">
        <v>21</v>
      </c>
      <c r="D2843" s="7" t="str">
        <f>"黄淑贞"</f>
        <v>黄淑贞</v>
      </c>
      <c r="E2843" s="7" t="str">
        <f>"女"</f>
        <v>女</v>
      </c>
    </row>
    <row r="2844" spans="1:5" ht="30" customHeight="1">
      <c r="A2844" s="6">
        <v>2842</v>
      </c>
      <c r="B2844" s="7" t="str">
        <f>"29802021051009252583044"</f>
        <v>29802021051009252583044</v>
      </c>
      <c r="C2844" s="7" t="s">
        <v>21</v>
      </c>
      <c r="D2844" s="7" t="str">
        <f>"徐邦宇"</f>
        <v>徐邦宇</v>
      </c>
      <c r="E2844" s="7" t="str">
        <f>"男"</f>
        <v>男</v>
      </c>
    </row>
    <row r="2845" spans="1:5" ht="30" customHeight="1">
      <c r="A2845" s="6">
        <v>2843</v>
      </c>
      <c r="B2845" s="7" t="str">
        <f>"29802021051009311983107"</f>
        <v>29802021051009311983107</v>
      </c>
      <c r="C2845" s="7" t="s">
        <v>21</v>
      </c>
      <c r="D2845" s="7" t="str">
        <f>"武彩"</f>
        <v>武彩</v>
      </c>
      <c r="E2845" s="7" t="str">
        <f>"女"</f>
        <v>女</v>
      </c>
    </row>
    <row r="2846" spans="1:5" ht="30" customHeight="1">
      <c r="A2846" s="6">
        <v>2844</v>
      </c>
      <c r="B2846" s="7" t="str">
        <f>"29802021051009370083165"</f>
        <v>29802021051009370083165</v>
      </c>
      <c r="C2846" s="7" t="s">
        <v>21</v>
      </c>
      <c r="D2846" s="7" t="str">
        <f>"朱银"</f>
        <v>朱银</v>
      </c>
      <c r="E2846" s="7" t="str">
        <f>"女"</f>
        <v>女</v>
      </c>
    </row>
    <row r="2847" spans="1:5" ht="30" customHeight="1">
      <c r="A2847" s="6">
        <v>2845</v>
      </c>
      <c r="B2847" s="7" t="str">
        <f>"29802021051009370883168"</f>
        <v>29802021051009370883168</v>
      </c>
      <c r="C2847" s="7" t="s">
        <v>21</v>
      </c>
      <c r="D2847" s="7" t="str">
        <f>"谭向芳"</f>
        <v>谭向芳</v>
      </c>
      <c r="E2847" s="7" t="str">
        <f>"女"</f>
        <v>女</v>
      </c>
    </row>
    <row r="2848" spans="1:5" ht="30" customHeight="1">
      <c r="A2848" s="6">
        <v>2846</v>
      </c>
      <c r="B2848" s="7" t="str">
        <f>"29802021051009402483199"</f>
        <v>29802021051009402483199</v>
      </c>
      <c r="C2848" s="7" t="s">
        <v>21</v>
      </c>
      <c r="D2848" s="7" t="str">
        <f>"林丹"</f>
        <v>林丹</v>
      </c>
      <c r="E2848" s="7" t="str">
        <f>"女"</f>
        <v>女</v>
      </c>
    </row>
    <row r="2849" spans="1:5" ht="30" customHeight="1">
      <c r="A2849" s="6">
        <v>2847</v>
      </c>
      <c r="B2849" s="7" t="str">
        <f>"29802021051010243683736"</f>
        <v>29802021051010243683736</v>
      </c>
      <c r="C2849" s="7" t="s">
        <v>21</v>
      </c>
      <c r="D2849" s="7" t="str">
        <f>"王显盛"</f>
        <v>王显盛</v>
      </c>
      <c r="E2849" s="7" t="str">
        <f>"男"</f>
        <v>男</v>
      </c>
    </row>
    <row r="2850" spans="1:5" ht="30" customHeight="1">
      <c r="A2850" s="6">
        <v>2848</v>
      </c>
      <c r="B2850" s="7" t="str">
        <f>"29802021051011484284510"</f>
        <v>29802021051011484284510</v>
      </c>
      <c r="C2850" s="7" t="s">
        <v>21</v>
      </c>
      <c r="D2850" s="7" t="str">
        <f>"付楚欣"</f>
        <v>付楚欣</v>
      </c>
      <c r="E2850" s="7" t="str">
        <f>"女"</f>
        <v>女</v>
      </c>
    </row>
    <row r="2851" spans="1:5" ht="30" customHeight="1">
      <c r="A2851" s="6">
        <v>2849</v>
      </c>
      <c r="B2851" s="7" t="str">
        <f>"29802021051012032084588"</f>
        <v>29802021051012032084588</v>
      </c>
      <c r="C2851" s="7" t="s">
        <v>21</v>
      </c>
      <c r="D2851" s="7" t="str">
        <f>"冯天娇"</f>
        <v>冯天娇</v>
      </c>
      <c r="E2851" s="7" t="str">
        <f>"女"</f>
        <v>女</v>
      </c>
    </row>
    <row r="2852" spans="1:5" ht="30" customHeight="1">
      <c r="A2852" s="6">
        <v>2850</v>
      </c>
      <c r="B2852" s="7" t="str">
        <f>"29802021051012095584619"</f>
        <v>29802021051012095584619</v>
      </c>
      <c r="C2852" s="7" t="s">
        <v>21</v>
      </c>
      <c r="D2852" s="7" t="str">
        <f>"吉家岛"</f>
        <v>吉家岛</v>
      </c>
      <c r="E2852" s="7" t="str">
        <f>"男"</f>
        <v>男</v>
      </c>
    </row>
    <row r="2853" spans="1:5" ht="30" customHeight="1">
      <c r="A2853" s="6">
        <v>2851</v>
      </c>
      <c r="B2853" s="7" t="str">
        <f>"29802021051012231484693"</f>
        <v>29802021051012231484693</v>
      </c>
      <c r="C2853" s="7" t="s">
        <v>21</v>
      </c>
      <c r="D2853" s="7" t="str">
        <f>"石月珊"</f>
        <v>石月珊</v>
      </c>
      <c r="E2853" s="7" t="str">
        <f aca="true" t="shared" si="122" ref="E2853:E2858">"女"</f>
        <v>女</v>
      </c>
    </row>
    <row r="2854" spans="1:5" ht="30" customHeight="1">
      <c r="A2854" s="6">
        <v>2852</v>
      </c>
      <c r="B2854" s="7" t="str">
        <f>"29802021051014041385208"</f>
        <v>29802021051014041385208</v>
      </c>
      <c r="C2854" s="7" t="s">
        <v>21</v>
      </c>
      <c r="D2854" s="7" t="str">
        <f>"杨莉洁"</f>
        <v>杨莉洁</v>
      </c>
      <c r="E2854" s="7" t="str">
        <f t="shared" si="122"/>
        <v>女</v>
      </c>
    </row>
    <row r="2855" spans="1:5" ht="30" customHeight="1">
      <c r="A2855" s="6">
        <v>2853</v>
      </c>
      <c r="B2855" s="7" t="str">
        <f>"29802021051014073485219"</f>
        <v>29802021051014073485219</v>
      </c>
      <c r="C2855" s="7" t="s">
        <v>21</v>
      </c>
      <c r="D2855" s="7" t="str">
        <f>"李影"</f>
        <v>李影</v>
      </c>
      <c r="E2855" s="7" t="str">
        <f t="shared" si="122"/>
        <v>女</v>
      </c>
    </row>
    <row r="2856" spans="1:5" ht="30" customHeight="1">
      <c r="A2856" s="6">
        <v>2854</v>
      </c>
      <c r="B2856" s="7" t="str">
        <f>"29802021051014372085348"</f>
        <v>29802021051014372085348</v>
      </c>
      <c r="C2856" s="7" t="s">
        <v>21</v>
      </c>
      <c r="D2856" s="7" t="str">
        <f>"王成"</f>
        <v>王成</v>
      </c>
      <c r="E2856" s="7" t="str">
        <f t="shared" si="122"/>
        <v>女</v>
      </c>
    </row>
    <row r="2857" spans="1:5" ht="30" customHeight="1">
      <c r="A2857" s="6">
        <v>2855</v>
      </c>
      <c r="B2857" s="7" t="str">
        <f>"29802021051015035685528"</f>
        <v>29802021051015035685528</v>
      </c>
      <c r="C2857" s="7" t="s">
        <v>21</v>
      </c>
      <c r="D2857" s="7" t="str">
        <f>"张凤"</f>
        <v>张凤</v>
      </c>
      <c r="E2857" s="7" t="str">
        <f t="shared" si="122"/>
        <v>女</v>
      </c>
    </row>
    <row r="2858" spans="1:5" ht="30" customHeight="1">
      <c r="A2858" s="6">
        <v>2856</v>
      </c>
      <c r="B2858" s="7" t="str">
        <f>"29802021051015040985530"</f>
        <v>29802021051015040985530</v>
      </c>
      <c r="C2858" s="7" t="s">
        <v>21</v>
      </c>
      <c r="D2858" s="7" t="str">
        <f>"姬伦伦"</f>
        <v>姬伦伦</v>
      </c>
      <c r="E2858" s="7" t="str">
        <f t="shared" si="122"/>
        <v>女</v>
      </c>
    </row>
    <row r="2859" spans="1:5" ht="30" customHeight="1">
      <c r="A2859" s="6">
        <v>2857</v>
      </c>
      <c r="B2859" s="7" t="str">
        <f>"29802021051015065585546"</f>
        <v>29802021051015065585546</v>
      </c>
      <c r="C2859" s="7" t="s">
        <v>21</v>
      </c>
      <c r="D2859" s="7" t="str">
        <f>"方赞权"</f>
        <v>方赞权</v>
      </c>
      <c r="E2859" s="7" t="str">
        <f>"男"</f>
        <v>男</v>
      </c>
    </row>
    <row r="2860" spans="1:5" ht="30" customHeight="1">
      <c r="A2860" s="6">
        <v>2858</v>
      </c>
      <c r="B2860" s="7" t="str">
        <f>"29802021051015103285562"</f>
        <v>29802021051015103285562</v>
      </c>
      <c r="C2860" s="7" t="s">
        <v>21</v>
      </c>
      <c r="D2860" s="7" t="str">
        <f>"黄杰"</f>
        <v>黄杰</v>
      </c>
      <c r="E2860" s="7" t="str">
        <f>"男"</f>
        <v>男</v>
      </c>
    </row>
    <row r="2861" spans="1:5" ht="30" customHeight="1">
      <c r="A2861" s="6">
        <v>2859</v>
      </c>
      <c r="B2861" s="7" t="str">
        <f>"29802021051015591885923"</f>
        <v>29802021051015591885923</v>
      </c>
      <c r="C2861" s="7" t="s">
        <v>21</v>
      </c>
      <c r="D2861" s="7" t="str">
        <f>"凌翠花"</f>
        <v>凌翠花</v>
      </c>
      <c r="E2861" s="7" t="str">
        <f>"女"</f>
        <v>女</v>
      </c>
    </row>
    <row r="2862" spans="1:5" ht="30" customHeight="1">
      <c r="A2862" s="6">
        <v>2860</v>
      </c>
      <c r="B2862" s="7" t="str">
        <f>"29802021051016011485937"</f>
        <v>29802021051016011485937</v>
      </c>
      <c r="C2862" s="7" t="s">
        <v>21</v>
      </c>
      <c r="D2862" s="7" t="str">
        <f>"董亚妹"</f>
        <v>董亚妹</v>
      </c>
      <c r="E2862" s="7" t="str">
        <f>"女"</f>
        <v>女</v>
      </c>
    </row>
    <row r="2863" spans="1:5" ht="30" customHeight="1">
      <c r="A2863" s="6">
        <v>2861</v>
      </c>
      <c r="B2863" s="7" t="str">
        <f>"29802021051016485486281"</f>
        <v>29802021051016485486281</v>
      </c>
      <c r="C2863" s="7" t="s">
        <v>21</v>
      </c>
      <c r="D2863" s="7" t="str">
        <f>"卓杰扬"</f>
        <v>卓杰扬</v>
      </c>
      <c r="E2863" s="7" t="str">
        <f>"男"</f>
        <v>男</v>
      </c>
    </row>
    <row r="2864" spans="1:5" ht="30" customHeight="1">
      <c r="A2864" s="6">
        <v>2862</v>
      </c>
      <c r="B2864" s="7" t="str">
        <f>"29802021051017103686408"</f>
        <v>29802021051017103686408</v>
      </c>
      <c r="C2864" s="7" t="s">
        <v>21</v>
      </c>
      <c r="D2864" s="7" t="str">
        <f>"崔紫莹"</f>
        <v>崔紫莹</v>
      </c>
      <c r="E2864" s="7" t="str">
        <f>"女"</f>
        <v>女</v>
      </c>
    </row>
    <row r="2865" spans="1:5" ht="30" customHeight="1">
      <c r="A2865" s="6">
        <v>2863</v>
      </c>
      <c r="B2865" s="7" t="str">
        <f>"29802021051019244587024"</f>
        <v>29802021051019244587024</v>
      </c>
      <c r="C2865" s="7" t="s">
        <v>21</v>
      </c>
      <c r="D2865" s="7" t="str">
        <f>"卢排洪"</f>
        <v>卢排洪</v>
      </c>
      <c r="E2865" s="7" t="str">
        <f>"女"</f>
        <v>女</v>
      </c>
    </row>
    <row r="2866" spans="1:5" ht="30" customHeight="1">
      <c r="A2866" s="6">
        <v>2864</v>
      </c>
      <c r="B2866" s="7" t="str">
        <f>"29802021051021262687538"</f>
        <v>29802021051021262687538</v>
      </c>
      <c r="C2866" s="7" t="s">
        <v>21</v>
      </c>
      <c r="D2866" s="7" t="str">
        <f>"史克壮"</f>
        <v>史克壮</v>
      </c>
      <c r="E2866" s="7" t="str">
        <f>"男"</f>
        <v>男</v>
      </c>
    </row>
    <row r="2867" spans="1:5" ht="30" customHeight="1">
      <c r="A2867" s="6">
        <v>2865</v>
      </c>
      <c r="B2867" s="7" t="str">
        <f>"29802021051022081887755"</f>
        <v>29802021051022081887755</v>
      </c>
      <c r="C2867" s="7" t="s">
        <v>21</v>
      </c>
      <c r="D2867" s="7" t="str">
        <f>"罗享"</f>
        <v>罗享</v>
      </c>
      <c r="E2867" s="7" t="str">
        <f>"女"</f>
        <v>女</v>
      </c>
    </row>
    <row r="2868" spans="1:5" ht="30" customHeight="1">
      <c r="A2868" s="6">
        <v>2866</v>
      </c>
      <c r="B2868" s="7" t="str">
        <f>"29802021051022105787771"</f>
        <v>29802021051022105787771</v>
      </c>
      <c r="C2868" s="7" t="s">
        <v>21</v>
      </c>
      <c r="D2868" s="7" t="str">
        <f>"冯丽贞"</f>
        <v>冯丽贞</v>
      </c>
      <c r="E2868" s="7" t="str">
        <f>"女"</f>
        <v>女</v>
      </c>
    </row>
    <row r="2869" spans="1:5" ht="30" customHeight="1">
      <c r="A2869" s="6">
        <v>2867</v>
      </c>
      <c r="B2869" s="7" t="str">
        <f>"29802021051022230087829"</f>
        <v>29802021051022230087829</v>
      </c>
      <c r="C2869" s="7" t="s">
        <v>21</v>
      </c>
      <c r="D2869" s="7" t="str">
        <f>"李雪梅"</f>
        <v>李雪梅</v>
      </c>
      <c r="E2869" s="7" t="str">
        <f>"女"</f>
        <v>女</v>
      </c>
    </row>
    <row r="2870" spans="1:5" ht="30" customHeight="1">
      <c r="A2870" s="6">
        <v>2868</v>
      </c>
      <c r="B2870" s="7" t="str">
        <f>"29802021051108431888337"</f>
        <v>29802021051108431888337</v>
      </c>
      <c r="C2870" s="7" t="s">
        <v>21</v>
      </c>
      <c r="D2870" s="7" t="str">
        <f>"符明诚"</f>
        <v>符明诚</v>
      </c>
      <c r="E2870" s="7" t="str">
        <f>"男"</f>
        <v>男</v>
      </c>
    </row>
    <row r="2871" spans="1:5" ht="30" customHeight="1">
      <c r="A2871" s="6">
        <v>2869</v>
      </c>
      <c r="B2871" s="7" t="str">
        <f>"29802021051109270088540"</f>
        <v>29802021051109270088540</v>
      </c>
      <c r="C2871" s="7" t="s">
        <v>21</v>
      </c>
      <c r="D2871" s="7" t="str">
        <f>"刘心怡"</f>
        <v>刘心怡</v>
      </c>
      <c r="E2871" s="7" t="str">
        <f>"女"</f>
        <v>女</v>
      </c>
    </row>
    <row r="2872" spans="1:5" ht="30" customHeight="1">
      <c r="A2872" s="6">
        <v>2870</v>
      </c>
      <c r="B2872" s="7" t="str">
        <f>"29802021051109395588600"</f>
        <v>29802021051109395588600</v>
      </c>
      <c r="C2872" s="7" t="s">
        <v>21</v>
      </c>
      <c r="D2872" s="7" t="str">
        <f>"陈垂隆"</f>
        <v>陈垂隆</v>
      </c>
      <c r="E2872" s="7" t="str">
        <f>"男"</f>
        <v>男</v>
      </c>
    </row>
    <row r="2873" spans="1:5" ht="30" customHeight="1">
      <c r="A2873" s="6">
        <v>2871</v>
      </c>
      <c r="B2873" s="7" t="str">
        <f>"29802021051109455188622"</f>
        <v>29802021051109455188622</v>
      </c>
      <c r="C2873" s="7" t="s">
        <v>21</v>
      </c>
      <c r="D2873" s="7" t="str">
        <f>"郑舒婷"</f>
        <v>郑舒婷</v>
      </c>
      <c r="E2873" s="7" t="str">
        <f>"女"</f>
        <v>女</v>
      </c>
    </row>
    <row r="2874" spans="1:5" ht="30" customHeight="1">
      <c r="A2874" s="6">
        <v>2872</v>
      </c>
      <c r="B2874" s="7" t="str">
        <f>"29802021051110091988739"</f>
        <v>29802021051110091988739</v>
      </c>
      <c r="C2874" s="7" t="s">
        <v>21</v>
      </c>
      <c r="D2874" s="7" t="str">
        <f>"董挺玉"</f>
        <v>董挺玉</v>
      </c>
      <c r="E2874" s="7" t="str">
        <f>"女"</f>
        <v>女</v>
      </c>
    </row>
    <row r="2875" spans="1:5" ht="30" customHeight="1">
      <c r="A2875" s="6">
        <v>2873</v>
      </c>
      <c r="B2875" s="7" t="str">
        <f>"29802021051110274988833"</f>
        <v>29802021051110274988833</v>
      </c>
      <c r="C2875" s="7" t="s">
        <v>21</v>
      </c>
      <c r="D2875" s="7" t="str">
        <f>"杨露"</f>
        <v>杨露</v>
      </c>
      <c r="E2875" s="7" t="str">
        <f>"女"</f>
        <v>女</v>
      </c>
    </row>
    <row r="2876" spans="1:5" ht="30" customHeight="1">
      <c r="A2876" s="6">
        <v>2874</v>
      </c>
      <c r="B2876" s="7" t="str">
        <f>"29802021051111505089204"</f>
        <v>29802021051111505089204</v>
      </c>
      <c r="C2876" s="7" t="s">
        <v>21</v>
      </c>
      <c r="D2876" s="7" t="str">
        <f>"杨臻"</f>
        <v>杨臻</v>
      </c>
      <c r="E2876" s="7" t="str">
        <f>"女"</f>
        <v>女</v>
      </c>
    </row>
    <row r="2877" spans="1:5" ht="30" customHeight="1">
      <c r="A2877" s="6">
        <v>2875</v>
      </c>
      <c r="B2877" s="7" t="str">
        <f>"29802021051112261589304"</f>
        <v>29802021051112261589304</v>
      </c>
      <c r="C2877" s="7" t="s">
        <v>21</v>
      </c>
      <c r="D2877" s="7" t="str">
        <f>"王业钦"</f>
        <v>王业钦</v>
      </c>
      <c r="E2877" s="7" t="str">
        <f>"男"</f>
        <v>男</v>
      </c>
    </row>
    <row r="2878" spans="1:5" ht="30" customHeight="1">
      <c r="A2878" s="6">
        <v>2876</v>
      </c>
      <c r="B2878" s="7" t="str">
        <f>"29802021051114454589644"</f>
        <v>29802021051114454589644</v>
      </c>
      <c r="C2878" s="7" t="s">
        <v>21</v>
      </c>
      <c r="D2878" s="7" t="str">
        <f>"吴灵燕"</f>
        <v>吴灵燕</v>
      </c>
      <c r="E2878" s="7" t="str">
        <f>"女"</f>
        <v>女</v>
      </c>
    </row>
    <row r="2879" spans="1:5" ht="30" customHeight="1">
      <c r="A2879" s="6">
        <v>2877</v>
      </c>
      <c r="B2879" s="7" t="str">
        <f>"29802021051115434789904"</f>
        <v>29802021051115434789904</v>
      </c>
      <c r="C2879" s="7" t="s">
        <v>21</v>
      </c>
      <c r="D2879" s="7" t="str">
        <f>"林晓凤"</f>
        <v>林晓凤</v>
      </c>
      <c r="E2879" s="7" t="str">
        <f>"女"</f>
        <v>女</v>
      </c>
    </row>
    <row r="2880" spans="1:5" ht="30" customHeight="1">
      <c r="A2880" s="6">
        <v>2878</v>
      </c>
      <c r="B2880" s="7" t="str">
        <f>"29802021051116083290009"</f>
        <v>29802021051116083290009</v>
      </c>
      <c r="C2880" s="7" t="s">
        <v>21</v>
      </c>
      <c r="D2880" s="7" t="str">
        <f>"李兴乐"</f>
        <v>李兴乐</v>
      </c>
      <c r="E2880" s="7" t="str">
        <f>"男"</f>
        <v>男</v>
      </c>
    </row>
    <row r="2881" spans="1:5" ht="30" customHeight="1">
      <c r="A2881" s="6">
        <v>2879</v>
      </c>
      <c r="B2881" s="7" t="str">
        <f>"29802021051116272590084"</f>
        <v>29802021051116272590084</v>
      </c>
      <c r="C2881" s="7" t="s">
        <v>21</v>
      </c>
      <c r="D2881" s="7" t="str">
        <f>"麦浪江"</f>
        <v>麦浪江</v>
      </c>
      <c r="E2881" s="7" t="str">
        <f>"男"</f>
        <v>男</v>
      </c>
    </row>
    <row r="2882" spans="1:5" ht="30" customHeight="1">
      <c r="A2882" s="6">
        <v>2880</v>
      </c>
      <c r="B2882" s="7" t="str">
        <f>"29802021051118015790388"</f>
        <v>29802021051118015790388</v>
      </c>
      <c r="C2882" s="7" t="s">
        <v>21</v>
      </c>
      <c r="D2882" s="7" t="str">
        <f>"叶娜"</f>
        <v>叶娜</v>
      </c>
      <c r="E2882" s="7" t="str">
        <f>"女"</f>
        <v>女</v>
      </c>
    </row>
    <row r="2883" spans="1:5" ht="30" customHeight="1">
      <c r="A2883" s="6">
        <v>2881</v>
      </c>
      <c r="B2883" s="7" t="str">
        <f>"29802021051119025390554"</f>
        <v>29802021051119025390554</v>
      </c>
      <c r="C2883" s="7" t="s">
        <v>21</v>
      </c>
      <c r="D2883" s="7" t="str">
        <f>"王一棉"</f>
        <v>王一棉</v>
      </c>
      <c r="E2883" s="7" t="str">
        <f>"女"</f>
        <v>女</v>
      </c>
    </row>
    <row r="2884" spans="1:5" ht="30" customHeight="1">
      <c r="A2884" s="6">
        <v>2882</v>
      </c>
      <c r="B2884" s="7" t="str">
        <f>"29802021051122340391193"</f>
        <v>29802021051122340391193</v>
      </c>
      <c r="C2884" s="7" t="s">
        <v>21</v>
      </c>
      <c r="D2884" s="7" t="str">
        <f>"杨旭"</f>
        <v>杨旭</v>
      </c>
      <c r="E2884" s="7" t="str">
        <f>"男"</f>
        <v>男</v>
      </c>
    </row>
    <row r="2885" spans="1:5" ht="30" customHeight="1">
      <c r="A2885" s="6">
        <v>2883</v>
      </c>
      <c r="B2885" s="7" t="str">
        <f>"29802021051208344191478"</f>
        <v>29802021051208344191478</v>
      </c>
      <c r="C2885" s="7" t="s">
        <v>21</v>
      </c>
      <c r="D2885" s="7" t="str">
        <f>"罗素兰"</f>
        <v>罗素兰</v>
      </c>
      <c r="E2885" s="7" t="str">
        <f>"女"</f>
        <v>女</v>
      </c>
    </row>
    <row r="2886" spans="1:5" ht="30" customHeight="1">
      <c r="A2886" s="6">
        <v>2884</v>
      </c>
      <c r="B2886" s="7" t="str">
        <f>"29802021051210540792096"</f>
        <v>29802021051210540792096</v>
      </c>
      <c r="C2886" s="7" t="s">
        <v>21</v>
      </c>
      <c r="D2886" s="7" t="str">
        <f>"熊美霞"</f>
        <v>熊美霞</v>
      </c>
      <c r="E2886" s="7" t="str">
        <f>"女"</f>
        <v>女</v>
      </c>
    </row>
    <row r="2887" spans="1:5" ht="30" customHeight="1">
      <c r="A2887" s="6">
        <v>2885</v>
      </c>
      <c r="B2887" s="7" t="str">
        <f>"29802021051211045492144"</f>
        <v>29802021051211045492144</v>
      </c>
      <c r="C2887" s="7" t="s">
        <v>21</v>
      </c>
      <c r="D2887" s="7" t="str">
        <f>"林生芳"</f>
        <v>林生芳</v>
      </c>
      <c r="E2887" s="7" t="str">
        <f>"女"</f>
        <v>女</v>
      </c>
    </row>
    <row r="2888" spans="1:5" ht="30" customHeight="1">
      <c r="A2888" s="6">
        <v>2886</v>
      </c>
      <c r="B2888" s="7" t="str">
        <f>"29802021051212355592444"</f>
        <v>29802021051212355592444</v>
      </c>
      <c r="C2888" s="7" t="s">
        <v>21</v>
      </c>
      <c r="D2888" s="7" t="str">
        <f>"纪振国"</f>
        <v>纪振国</v>
      </c>
      <c r="E2888" s="7" t="str">
        <f>"男"</f>
        <v>男</v>
      </c>
    </row>
    <row r="2889" spans="1:5" ht="30" customHeight="1">
      <c r="A2889" s="6">
        <v>2887</v>
      </c>
      <c r="B2889" s="7" t="str">
        <f>"29802021051215025292813"</f>
        <v>29802021051215025292813</v>
      </c>
      <c r="C2889" s="7" t="s">
        <v>21</v>
      </c>
      <c r="D2889" s="7" t="str">
        <f>"王胜楠"</f>
        <v>王胜楠</v>
      </c>
      <c r="E2889" s="7" t="str">
        <f>"女"</f>
        <v>女</v>
      </c>
    </row>
    <row r="2890" spans="1:5" ht="30" customHeight="1">
      <c r="A2890" s="6">
        <v>2888</v>
      </c>
      <c r="B2890" s="7" t="str">
        <f>"29802021051216511993270"</f>
        <v>29802021051216511993270</v>
      </c>
      <c r="C2890" s="7" t="s">
        <v>21</v>
      </c>
      <c r="D2890" s="7" t="str">
        <f>"丁春冬"</f>
        <v>丁春冬</v>
      </c>
      <c r="E2890" s="7" t="str">
        <f>"男"</f>
        <v>男</v>
      </c>
    </row>
    <row r="2891" spans="1:5" ht="30" customHeight="1">
      <c r="A2891" s="6">
        <v>2889</v>
      </c>
      <c r="B2891" s="7" t="str">
        <f>"29802021051217574593474"</f>
        <v>29802021051217574593474</v>
      </c>
      <c r="C2891" s="7" t="s">
        <v>21</v>
      </c>
      <c r="D2891" s="7" t="str">
        <f>"符莉"</f>
        <v>符莉</v>
      </c>
      <c r="E2891" s="7" t="str">
        <f aca="true" t="shared" si="123" ref="E2891:E2897">"女"</f>
        <v>女</v>
      </c>
    </row>
    <row r="2892" spans="1:5" ht="30" customHeight="1">
      <c r="A2892" s="6">
        <v>2890</v>
      </c>
      <c r="B2892" s="7" t="str">
        <f>"29802021051219430293661"</f>
        <v>29802021051219430293661</v>
      </c>
      <c r="C2892" s="7" t="s">
        <v>21</v>
      </c>
      <c r="D2892" s="7" t="str">
        <f>"刘春晖"</f>
        <v>刘春晖</v>
      </c>
      <c r="E2892" s="7" t="str">
        <f t="shared" si="123"/>
        <v>女</v>
      </c>
    </row>
    <row r="2893" spans="1:5" ht="30" customHeight="1">
      <c r="A2893" s="6">
        <v>2891</v>
      </c>
      <c r="B2893" s="7" t="str">
        <f>"29802021051221474093961"</f>
        <v>29802021051221474093961</v>
      </c>
      <c r="C2893" s="7" t="s">
        <v>21</v>
      </c>
      <c r="D2893" s="7" t="str">
        <f>"黄亚艳"</f>
        <v>黄亚艳</v>
      </c>
      <c r="E2893" s="7" t="str">
        <f t="shared" si="123"/>
        <v>女</v>
      </c>
    </row>
    <row r="2894" spans="1:5" ht="30" customHeight="1">
      <c r="A2894" s="6">
        <v>2892</v>
      </c>
      <c r="B2894" s="7" t="str">
        <f>"29802021051222245294057"</f>
        <v>29802021051222245294057</v>
      </c>
      <c r="C2894" s="7" t="s">
        <v>21</v>
      </c>
      <c r="D2894" s="7" t="str">
        <f>"吴金原"</f>
        <v>吴金原</v>
      </c>
      <c r="E2894" s="7" t="str">
        <f t="shared" si="123"/>
        <v>女</v>
      </c>
    </row>
    <row r="2895" spans="1:5" ht="30" customHeight="1">
      <c r="A2895" s="6">
        <v>2893</v>
      </c>
      <c r="B2895" s="7" t="str">
        <f>"29802021051309043594405"</f>
        <v>29802021051309043594405</v>
      </c>
      <c r="C2895" s="7" t="s">
        <v>21</v>
      </c>
      <c r="D2895" s="7" t="str">
        <f>"朱娇"</f>
        <v>朱娇</v>
      </c>
      <c r="E2895" s="7" t="str">
        <f t="shared" si="123"/>
        <v>女</v>
      </c>
    </row>
    <row r="2896" spans="1:5" ht="30" customHeight="1">
      <c r="A2896" s="6">
        <v>2894</v>
      </c>
      <c r="B2896" s="7" t="str">
        <f>"29802021051312050094947"</f>
        <v>29802021051312050094947</v>
      </c>
      <c r="C2896" s="7" t="s">
        <v>21</v>
      </c>
      <c r="D2896" s="7" t="str">
        <f>"祁棋"</f>
        <v>祁棋</v>
      </c>
      <c r="E2896" s="7" t="str">
        <f t="shared" si="123"/>
        <v>女</v>
      </c>
    </row>
    <row r="2897" spans="1:5" ht="30" customHeight="1">
      <c r="A2897" s="6">
        <v>2895</v>
      </c>
      <c r="B2897" s="7" t="str">
        <f>"29802021051314542495231"</f>
        <v>29802021051314542495231</v>
      </c>
      <c r="C2897" s="7" t="s">
        <v>21</v>
      </c>
      <c r="D2897" s="7" t="str">
        <f>"卢佳宁"</f>
        <v>卢佳宁</v>
      </c>
      <c r="E2897" s="7" t="str">
        <f t="shared" si="123"/>
        <v>女</v>
      </c>
    </row>
    <row r="2898" spans="1:5" ht="30" customHeight="1">
      <c r="A2898" s="6">
        <v>2896</v>
      </c>
      <c r="B2898" s="7" t="str">
        <f>"29802021051315544595383"</f>
        <v>29802021051315544595383</v>
      </c>
      <c r="C2898" s="7" t="s">
        <v>21</v>
      </c>
      <c r="D2898" s="7" t="str">
        <f>"吴全珍"</f>
        <v>吴全珍</v>
      </c>
      <c r="E2898" s="7" t="str">
        <f>"男"</f>
        <v>男</v>
      </c>
    </row>
    <row r="2899" spans="1:5" ht="30" customHeight="1">
      <c r="A2899" s="6">
        <v>2897</v>
      </c>
      <c r="B2899" s="7" t="str">
        <f>"29802021051319583195907"</f>
        <v>29802021051319583195907</v>
      </c>
      <c r="C2899" s="7" t="s">
        <v>21</v>
      </c>
      <c r="D2899" s="7" t="str">
        <f>"罗慧"</f>
        <v>罗慧</v>
      </c>
      <c r="E2899" s="7" t="str">
        <f aca="true" t="shared" si="124" ref="E2899:E2907">"女"</f>
        <v>女</v>
      </c>
    </row>
    <row r="2900" spans="1:5" ht="30" customHeight="1">
      <c r="A2900" s="6">
        <v>2898</v>
      </c>
      <c r="B2900" s="7" t="str">
        <f>"29802021051320205795942"</f>
        <v>29802021051320205795942</v>
      </c>
      <c r="C2900" s="7" t="s">
        <v>21</v>
      </c>
      <c r="D2900" s="7" t="str">
        <f>"吴文华"</f>
        <v>吴文华</v>
      </c>
      <c r="E2900" s="7" t="str">
        <f t="shared" si="124"/>
        <v>女</v>
      </c>
    </row>
    <row r="2901" spans="1:5" ht="30" customHeight="1">
      <c r="A2901" s="6">
        <v>2899</v>
      </c>
      <c r="B2901" s="7" t="str">
        <f>"29802021051322315396241"</f>
        <v>29802021051322315396241</v>
      </c>
      <c r="C2901" s="7" t="s">
        <v>21</v>
      </c>
      <c r="D2901" s="7" t="str">
        <f>"陶力源"</f>
        <v>陶力源</v>
      </c>
      <c r="E2901" s="7" t="str">
        <f t="shared" si="124"/>
        <v>女</v>
      </c>
    </row>
    <row r="2902" spans="1:5" ht="30" customHeight="1">
      <c r="A2902" s="6">
        <v>2900</v>
      </c>
      <c r="B2902" s="7" t="str">
        <f>"29802021051408514096512"</f>
        <v>29802021051408514096512</v>
      </c>
      <c r="C2902" s="7" t="s">
        <v>21</v>
      </c>
      <c r="D2902" s="7" t="str">
        <f>"张洁"</f>
        <v>张洁</v>
      </c>
      <c r="E2902" s="7" t="str">
        <f t="shared" si="124"/>
        <v>女</v>
      </c>
    </row>
    <row r="2903" spans="1:5" ht="30" customHeight="1">
      <c r="A2903" s="6">
        <v>2901</v>
      </c>
      <c r="B2903" s="7" t="str">
        <f>"29802021051409032196530"</f>
        <v>29802021051409032196530</v>
      </c>
      <c r="C2903" s="7" t="s">
        <v>21</v>
      </c>
      <c r="D2903" s="7" t="str">
        <f>"宁小风"</f>
        <v>宁小风</v>
      </c>
      <c r="E2903" s="7" t="str">
        <f t="shared" si="124"/>
        <v>女</v>
      </c>
    </row>
    <row r="2904" spans="1:5" ht="30" customHeight="1">
      <c r="A2904" s="6">
        <v>2902</v>
      </c>
      <c r="B2904" s="7" t="str">
        <f>"29802021051410200596708"</f>
        <v>29802021051410200596708</v>
      </c>
      <c r="C2904" s="7" t="s">
        <v>21</v>
      </c>
      <c r="D2904" s="7" t="str">
        <f>"吴肖娟"</f>
        <v>吴肖娟</v>
      </c>
      <c r="E2904" s="7" t="str">
        <f t="shared" si="124"/>
        <v>女</v>
      </c>
    </row>
    <row r="2905" spans="1:5" ht="30" customHeight="1">
      <c r="A2905" s="6">
        <v>2903</v>
      </c>
      <c r="B2905" s="7" t="str">
        <f>"29802021051410282496727"</f>
        <v>29802021051410282496727</v>
      </c>
      <c r="C2905" s="7" t="s">
        <v>21</v>
      </c>
      <c r="D2905" s="7" t="str">
        <f>"李嘉玲"</f>
        <v>李嘉玲</v>
      </c>
      <c r="E2905" s="7" t="str">
        <f t="shared" si="124"/>
        <v>女</v>
      </c>
    </row>
    <row r="2906" spans="1:5" ht="30" customHeight="1">
      <c r="A2906" s="6">
        <v>2904</v>
      </c>
      <c r="B2906" s="7" t="str">
        <f>"29802021051410404496752"</f>
        <v>29802021051410404496752</v>
      </c>
      <c r="C2906" s="7" t="s">
        <v>21</v>
      </c>
      <c r="D2906" s="7" t="str">
        <f>"张巾杰"</f>
        <v>张巾杰</v>
      </c>
      <c r="E2906" s="7" t="str">
        <f t="shared" si="124"/>
        <v>女</v>
      </c>
    </row>
    <row r="2907" spans="1:5" ht="30" customHeight="1">
      <c r="A2907" s="6">
        <v>2905</v>
      </c>
      <c r="B2907" s="7" t="str">
        <f>"29802021051411553996912"</f>
        <v>29802021051411553996912</v>
      </c>
      <c r="C2907" s="7" t="s">
        <v>21</v>
      </c>
      <c r="D2907" s="7" t="str">
        <f>"孙苹"</f>
        <v>孙苹</v>
      </c>
      <c r="E2907" s="7" t="str">
        <f t="shared" si="124"/>
        <v>女</v>
      </c>
    </row>
    <row r="2908" spans="1:5" ht="30" customHeight="1">
      <c r="A2908" s="6">
        <v>2906</v>
      </c>
      <c r="B2908" s="7" t="str">
        <f>"29802021051413442697132"</f>
        <v>29802021051413442697132</v>
      </c>
      <c r="C2908" s="7" t="s">
        <v>21</v>
      </c>
      <c r="D2908" s="7" t="str">
        <f>"李传成"</f>
        <v>李传成</v>
      </c>
      <c r="E2908" s="7" t="str">
        <f>"男"</f>
        <v>男</v>
      </c>
    </row>
    <row r="2909" spans="1:5" ht="30" customHeight="1">
      <c r="A2909" s="6">
        <v>2907</v>
      </c>
      <c r="B2909" s="7" t="str">
        <f>"29802021051417591597650"</f>
        <v>29802021051417591597650</v>
      </c>
      <c r="C2909" s="7" t="s">
        <v>21</v>
      </c>
      <c r="D2909" s="7" t="str">
        <f>"林春娇"</f>
        <v>林春娇</v>
      </c>
      <c r="E2909" s="7" t="str">
        <f aca="true" t="shared" si="125" ref="E2909:E2916">"女"</f>
        <v>女</v>
      </c>
    </row>
    <row r="2910" spans="1:5" ht="30" customHeight="1">
      <c r="A2910" s="6">
        <v>2908</v>
      </c>
      <c r="B2910" s="7" t="str">
        <f>"29802021051420255597875"</f>
        <v>29802021051420255597875</v>
      </c>
      <c r="C2910" s="7" t="s">
        <v>21</v>
      </c>
      <c r="D2910" s="7" t="str">
        <f>"王子月"</f>
        <v>王子月</v>
      </c>
      <c r="E2910" s="7" t="str">
        <f t="shared" si="125"/>
        <v>女</v>
      </c>
    </row>
    <row r="2911" spans="1:5" ht="30" customHeight="1">
      <c r="A2911" s="6">
        <v>2909</v>
      </c>
      <c r="B2911" s="7" t="str">
        <f>"29802021051421511898019"</f>
        <v>29802021051421511898019</v>
      </c>
      <c r="C2911" s="7" t="s">
        <v>21</v>
      </c>
      <c r="D2911" s="7" t="str">
        <f>"王平"</f>
        <v>王平</v>
      </c>
      <c r="E2911" s="7" t="str">
        <f t="shared" si="125"/>
        <v>女</v>
      </c>
    </row>
    <row r="2912" spans="1:5" ht="30" customHeight="1">
      <c r="A2912" s="6">
        <v>2910</v>
      </c>
      <c r="B2912" s="7" t="str">
        <f>"29802021051422393398116"</f>
        <v>29802021051422393398116</v>
      </c>
      <c r="C2912" s="7" t="s">
        <v>21</v>
      </c>
      <c r="D2912" s="7" t="str">
        <f>"王小荣"</f>
        <v>王小荣</v>
      </c>
      <c r="E2912" s="7" t="str">
        <f t="shared" si="125"/>
        <v>女</v>
      </c>
    </row>
    <row r="2913" spans="1:5" ht="30" customHeight="1">
      <c r="A2913" s="6">
        <v>2911</v>
      </c>
      <c r="B2913" s="7" t="str">
        <f>"29802021051423245898183"</f>
        <v>29802021051423245898183</v>
      </c>
      <c r="C2913" s="7" t="s">
        <v>21</v>
      </c>
      <c r="D2913" s="7" t="str">
        <f>"张海文"</f>
        <v>张海文</v>
      </c>
      <c r="E2913" s="7" t="str">
        <f t="shared" si="125"/>
        <v>女</v>
      </c>
    </row>
    <row r="2914" spans="1:5" ht="30" customHeight="1">
      <c r="A2914" s="6">
        <v>2912</v>
      </c>
      <c r="B2914" s="7" t="str">
        <f>"29802021051423281498186"</f>
        <v>29802021051423281498186</v>
      </c>
      <c r="C2914" s="7" t="s">
        <v>21</v>
      </c>
      <c r="D2914" s="7" t="str">
        <f>"麦卓丽"</f>
        <v>麦卓丽</v>
      </c>
      <c r="E2914" s="7" t="str">
        <f t="shared" si="125"/>
        <v>女</v>
      </c>
    </row>
    <row r="2915" spans="1:5" ht="30" customHeight="1">
      <c r="A2915" s="6">
        <v>2913</v>
      </c>
      <c r="B2915" s="7" t="str">
        <f>"29802021051503225898288"</f>
        <v>29802021051503225898288</v>
      </c>
      <c r="C2915" s="7" t="s">
        <v>21</v>
      </c>
      <c r="D2915" s="7" t="str">
        <f>"孙铭悦"</f>
        <v>孙铭悦</v>
      </c>
      <c r="E2915" s="7" t="str">
        <f t="shared" si="125"/>
        <v>女</v>
      </c>
    </row>
    <row r="2916" spans="1:5" ht="30" customHeight="1">
      <c r="A2916" s="6">
        <v>2914</v>
      </c>
      <c r="B2916" s="7" t="str">
        <f>"29802021051513150498752"</f>
        <v>29802021051513150498752</v>
      </c>
      <c r="C2916" s="7" t="s">
        <v>21</v>
      </c>
      <c r="D2916" s="7" t="str">
        <f>"王程"</f>
        <v>王程</v>
      </c>
      <c r="E2916" s="7" t="str">
        <f t="shared" si="125"/>
        <v>女</v>
      </c>
    </row>
    <row r="2917" spans="1:5" ht="30" customHeight="1">
      <c r="A2917" s="6">
        <v>2915</v>
      </c>
      <c r="B2917" s="7" t="str">
        <f>"29802021050908051980479"</f>
        <v>29802021050908051980479</v>
      </c>
      <c r="C2917" s="7" t="s">
        <v>22</v>
      </c>
      <c r="D2917" s="7" t="str">
        <f>"周克山"</f>
        <v>周克山</v>
      </c>
      <c r="E2917" s="7" t="str">
        <f>"男"</f>
        <v>男</v>
      </c>
    </row>
    <row r="2918" spans="1:5" ht="30" customHeight="1">
      <c r="A2918" s="6">
        <v>2916</v>
      </c>
      <c r="B2918" s="7" t="str">
        <f>"29802021050908193380501"</f>
        <v>29802021050908193380501</v>
      </c>
      <c r="C2918" s="7" t="s">
        <v>22</v>
      </c>
      <c r="D2918" s="7" t="str">
        <f>"陈贤贤"</f>
        <v>陈贤贤</v>
      </c>
      <c r="E2918" s="7" t="str">
        <f>"女"</f>
        <v>女</v>
      </c>
    </row>
    <row r="2919" spans="1:5" ht="30" customHeight="1">
      <c r="A2919" s="6">
        <v>2917</v>
      </c>
      <c r="B2919" s="7" t="str">
        <f>"29802021050908500480540"</f>
        <v>29802021050908500480540</v>
      </c>
      <c r="C2919" s="7" t="s">
        <v>22</v>
      </c>
      <c r="D2919" s="7" t="str">
        <f>"吴恒菲"</f>
        <v>吴恒菲</v>
      </c>
      <c r="E2919" s="7" t="str">
        <f>"女"</f>
        <v>女</v>
      </c>
    </row>
    <row r="2920" spans="1:5" ht="30" customHeight="1">
      <c r="A2920" s="6">
        <v>2918</v>
      </c>
      <c r="B2920" s="7" t="str">
        <f>"29802021050910104680698"</f>
        <v>29802021050910104680698</v>
      </c>
      <c r="C2920" s="7" t="s">
        <v>22</v>
      </c>
      <c r="D2920" s="7" t="str">
        <f>"符满"</f>
        <v>符满</v>
      </c>
      <c r="E2920" s="7" t="str">
        <f>"女"</f>
        <v>女</v>
      </c>
    </row>
    <row r="2921" spans="1:5" ht="30" customHeight="1">
      <c r="A2921" s="6">
        <v>2919</v>
      </c>
      <c r="B2921" s="7" t="str">
        <f>"29802021050910284180738"</f>
        <v>29802021050910284180738</v>
      </c>
      <c r="C2921" s="7" t="s">
        <v>22</v>
      </c>
      <c r="D2921" s="7" t="str">
        <f>"董炳"</f>
        <v>董炳</v>
      </c>
      <c r="E2921" s="7" t="str">
        <f>"女"</f>
        <v>女</v>
      </c>
    </row>
    <row r="2922" spans="1:5" ht="30" customHeight="1">
      <c r="A2922" s="6">
        <v>2920</v>
      </c>
      <c r="B2922" s="7" t="str">
        <f>"29802021050912002180907"</f>
        <v>29802021050912002180907</v>
      </c>
      <c r="C2922" s="7" t="s">
        <v>22</v>
      </c>
      <c r="D2922" s="7" t="str">
        <f>"姜洪凯"</f>
        <v>姜洪凯</v>
      </c>
      <c r="E2922" s="7" t="str">
        <f>"男"</f>
        <v>男</v>
      </c>
    </row>
    <row r="2923" spans="1:5" ht="30" customHeight="1">
      <c r="A2923" s="6">
        <v>2921</v>
      </c>
      <c r="B2923" s="7" t="str">
        <f>"29802021050913193381034"</f>
        <v>29802021050913193381034</v>
      </c>
      <c r="C2923" s="7" t="s">
        <v>22</v>
      </c>
      <c r="D2923" s="7" t="str">
        <f>"江卫群"</f>
        <v>江卫群</v>
      </c>
      <c r="E2923" s="7" t="str">
        <f>"女"</f>
        <v>女</v>
      </c>
    </row>
    <row r="2924" spans="1:5" ht="30" customHeight="1">
      <c r="A2924" s="6">
        <v>2922</v>
      </c>
      <c r="B2924" s="7" t="str">
        <f>"29802021050914113681107"</f>
        <v>29802021050914113681107</v>
      </c>
      <c r="C2924" s="7" t="s">
        <v>22</v>
      </c>
      <c r="D2924" s="7" t="str">
        <f>"羊妹李"</f>
        <v>羊妹李</v>
      </c>
      <c r="E2924" s="7" t="str">
        <f>"女"</f>
        <v>女</v>
      </c>
    </row>
    <row r="2925" spans="1:5" ht="30" customHeight="1">
      <c r="A2925" s="6">
        <v>2923</v>
      </c>
      <c r="B2925" s="7" t="str">
        <f>"29802021050918145181567"</f>
        <v>29802021050918145181567</v>
      </c>
      <c r="C2925" s="7" t="s">
        <v>22</v>
      </c>
      <c r="D2925" s="7" t="str">
        <f>"赵春峰"</f>
        <v>赵春峰</v>
      </c>
      <c r="E2925" s="7" t="str">
        <f>"男"</f>
        <v>男</v>
      </c>
    </row>
    <row r="2926" spans="1:5" ht="30" customHeight="1">
      <c r="A2926" s="6">
        <v>2924</v>
      </c>
      <c r="B2926" s="7" t="str">
        <f>"29802021050920185081793"</f>
        <v>29802021050920185081793</v>
      </c>
      <c r="C2926" s="7" t="s">
        <v>22</v>
      </c>
      <c r="D2926" s="7" t="str">
        <f>"韦静雨"</f>
        <v>韦静雨</v>
      </c>
      <c r="E2926" s="7" t="str">
        <f>"女"</f>
        <v>女</v>
      </c>
    </row>
    <row r="2927" spans="1:5" ht="30" customHeight="1">
      <c r="A2927" s="6">
        <v>2925</v>
      </c>
      <c r="B2927" s="7" t="str">
        <f>"29802021050920511881868"</f>
        <v>29802021050920511881868</v>
      </c>
      <c r="C2927" s="7" t="s">
        <v>22</v>
      </c>
      <c r="D2927" s="7" t="str">
        <f>"符笑琼"</f>
        <v>符笑琼</v>
      </c>
      <c r="E2927" s="7" t="str">
        <f>"女"</f>
        <v>女</v>
      </c>
    </row>
    <row r="2928" spans="1:5" ht="30" customHeight="1">
      <c r="A2928" s="6">
        <v>2926</v>
      </c>
      <c r="B2928" s="7" t="str">
        <f>"29802021051006240582337"</f>
        <v>29802021051006240582337</v>
      </c>
      <c r="C2928" s="7" t="s">
        <v>22</v>
      </c>
      <c r="D2928" s="7" t="str">
        <f>"许红兰"</f>
        <v>许红兰</v>
      </c>
      <c r="E2928" s="7" t="str">
        <f>"女"</f>
        <v>女</v>
      </c>
    </row>
    <row r="2929" spans="1:5" ht="30" customHeight="1">
      <c r="A2929" s="6">
        <v>2927</v>
      </c>
      <c r="B2929" s="7" t="str">
        <f>"29802021051007483482375"</f>
        <v>29802021051007483482375</v>
      </c>
      <c r="C2929" s="7" t="s">
        <v>22</v>
      </c>
      <c r="D2929" s="7" t="str">
        <f>"郭晨光"</f>
        <v>郭晨光</v>
      </c>
      <c r="E2929" s="7" t="str">
        <f>"男"</f>
        <v>男</v>
      </c>
    </row>
    <row r="2930" spans="1:5" ht="30" customHeight="1">
      <c r="A2930" s="6">
        <v>2928</v>
      </c>
      <c r="B2930" s="7" t="str">
        <f>"29802021051008423182581"</f>
        <v>29802021051008423182581</v>
      </c>
      <c r="C2930" s="7" t="s">
        <v>22</v>
      </c>
      <c r="D2930" s="7" t="str">
        <f>"符海滨"</f>
        <v>符海滨</v>
      </c>
      <c r="E2930" s="7" t="str">
        <f>"女"</f>
        <v>女</v>
      </c>
    </row>
    <row r="2931" spans="1:5" ht="30" customHeight="1">
      <c r="A2931" s="6">
        <v>2929</v>
      </c>
      <c r="B2931" s="7" t="str">
        <f>"29802021051009164282932"</f>
        <v>29802021051009164282932</v>
      </c>
      <c r="C2931" s="7" t="s">
        <v>22</v>
      </c>
      <c r="D2931" s="7" t="str">
        <f>"卓亚妹"</f>
        <v>卓亚妹</v>
      </c>
      <c r="E2931" s="7" t="str">
        <f>"女"</f>
        <v>女</v>
      </c>
    </row>
    <row r="2932" spans="1:5" ht="30" customHeight="1">
      <c r="A2932" s="6">
        <v>2930</v>
      </c>
      <c r="B2932" s="7" t="str">
        <f>"29802021051009225183015"</f>
        <v>29802021051009225183015</v>
      </c>
      <c r="C2932" s="7" t="s">
        <v>22</v>
      </c>
      <c r="D2932" s="7" t="str">
        <f>"罗晓琳"</f>
        <v>罗晓琳</v>
      </c>
      <c r="E2932" s="7" t="str">
        <f>"女"</f>
        <v>女</v>
      </c>
    </row>
    <row r="2933" spans="1:5" ht="30" customHeight="1">
      <c r="A2933" s="6">
        <v>2931</v>
      </c>
      <c r="B2933" s="7" t="str">
        <f>"29802021051009294383090"</f>
        <v>29802021051009294383090</v>
      </c>
      <c r="C2933" s="7" t="s">
        <v>22</v>
      </c>
      <c r="D2933" s="7" t="str">
        <f>"黄富"</f>
        <v>黄富</v>
      </c>
      <c r="E2933" s="7" t="str">
        <f>"男"</f>
        <v>男</v>
      </c>
    </row>
    <row r="2934" spans="1:5" ht="30" customHeight="1">
      <c r="A2934" s="6">
        <v>2932</v>
      </c>
      <c r="B2934" s="7" t="str">
        <f>"29802021051009311783106"</f>
        <v>29802021051009311783106</v>
      </c>
      <c r="C2934" s="7" t="s">
        <v>22</v>
      </c>
      <c r="D2934" s="7" t="str">
        <f>"钟玲"</f>
        <v>钟玲</v>
      </c>
      <c r="E2934" s="7" t="str">
        <f aca="true" t="shared" si="126" ref="E2934:E2943">"女"</f>
        <v>女</v>
      </c>
    </row>
    <row r="2935" spans="1:5" ht="30" customHeight="1">
      <c r="A2935" s="6">
        <v>2933</v>
      </c>
      <c r="B2935" s="7" t="str">
        <f>"29802021051009394683189"</f>
        <v>29802021051009394683189</v>
      </c>
      <c r="C2935" s="7" t="s">
        <v>22</v>
      </c>
      <c r="D2935" s="7" t="str">
        <f>"张源源"</f>
        <v>张源源</v>
      </c>
      <c r="E2935" s="7" t="str">
        <f t="shared" si="126"/>
        <v>女</v>
      </c>
    </row>
    <row r="2936" spans="1:5" ht="30" customHeight="1">
      <c r="A2936" s="6">
        <v>2934</v>
      </c>
      <c r="B2936" s="7" t="str">
        <f>"29802021051010425583951"</f>
        <v>29802021051010425583951</v>
      </c>
      <c r="C2936" s="7" t="s">
        <v>22</v>
      </c>
      <c r="D2936" s="7" t="str">
        <f>"陈培红"</f>
        <v>陈培红</v>
      </c>
      <c r="E2936" s="7" t="str">
        <f t="shared" si="126"/>
        <v>女</v>
      </c>
    </row>
    <row r="2937" spans="1:5" ht="30" customHeight="1">
      <c r="A2937" s="6">
        <v>2935</v>
      </c>
      <c r="B2937" s="7" t="str">
        <f>"29802021051012095684620"</f>
        <v>29802021051012095684620</v>
      </c>
      <c r="C2937" s="7" t="s">
        <v>22</v>
      </c>
      <c r="D2937" s="7" t="str">
        <f>"林唐翠"</f>
        <v>林唐翠</v>
      </c>
      <c r="E2937" s="7" t="str">
        <f t="shared" si="126"/>
        <v>女</v>
      </c>
    </row>
    <row r="2938" spans="1:5" ht="30" customHeight="1">
      <c r="A2938" s="6">
        <v>2936</v>
      </c>
      <c r="B2938" s="7" t="str">
        <f>"29802021051012341484758"</f>
        <v>29802021051012341484758</v>
      </c>
      <c r="C2938" s="7" t="s">
        <v>22</v>
      </c>
      <c r="D2938" s="7" t="str">
        <f>"庄丽文"</f>
        <v>庄丽文</v>
      </c>
      <c r="E2938" s="7" t="str">
        <f t="shared" si="126"/>
        <v>女</v>
      </c>
    </row>
    <row r="2939" spans="1:5" ht="30" customHeight="1">
      <c r="A2939" s="6">
        <v>2937</v>
      </c>
      <c r="B2939" s="7" t="str">
        <f>"29802021051012451184839"</f>
        <v>29802021051012451184839</v>
      </c>
      <c r="C2939" s="7" t="s">
        <v>22</v>
      </c>
      <c r="D2939" s="7" t="str">
        <f>"钟彩霞"</f>
        <v>钟彩霞</v>
      </c>
      <c r="E2939" s="7" t="str">
        <f t="shared" si="126"/>
        <v>女</v>
      </c>
    </row>
    <row r="2940" spans="1:5" ht="30" customHeight="1">
      <c r="A2940" s="6">
        <v>2938</v>
      </c>
      <c r="B2940" s="7" t="str">
        <f>"29802021051013184285013"</f>
        <v>29802021051013184285013</v>
      </c>
      <c r="C2940" s="7" t="s">
        <v>22</v>
      </c>
      <c r="D2940" s="7" t="str">
        <f>"李泽玉"</f>
        <v>李泽玉</v>
      </c>
      <c r="E2940" s="7" t="str">
        <f t="shared" si="126"/>
        <v>女</v>
      </c>
    </row>
    <row r="2941" spans="1:5" ht="30" customHeight="1">
      <c r="A2941" s="6">
        <v>2939</v>
      </c>
      <c r="B2941" s="7" t="str">
        <f>"29802021051014545985456"</f>
        <v>29802021051014545985456</v>
      </c>
      <c r="C2941" s="7" t="s">
        <v>22</v>
      </c>
      <c r="D2941" s="7" t="str">
        <f>"马婷婷"</f>
        <v>马婷婷</v>
      </c>
      <c r="E2941" s="7" t="str">
        <f t="shared" si="126"/>
        <v>女</v>
      </c>
    </row>
    <row r="2942" spans="1:5" ht="30" customHeight="1">
      <c r="A2942" s="6">
        <v>2940</v>
      </c>
      <c r="B2942" s="7" t="str">
        <f>"29802021051015211785650"</f>
        <v>29802021051015211785650</v>
      </c>
      <c r="C2942" s="7" t="s">
        <v>22</v>
      </c>
      <c r="D2942" s="7" t="str">
        <f>"陈秀妹"</f>
        <v>陈秀妹</v>
      </c>
      <c r="E2942" s="7" t="str">
        <f t="shared" si="126"/>
        <v>女</v>
      </c>
    </row>
    <row r="2943" spans="1:5" ht="30" customHeight="1">
      <c r="A2943" s="6">
        <v>2941</v>
      </c>
      <c r="B2943" s="7" t="str">
        <f>"29802021051015320685725"</f>
        <v>29802021051015320685725</v>
      </c>
      <c r="C2943" s="7" t="s">
        <v>22</v>
      </c>
      <c r="D2943" s="7" t="str">
        <f>"陈冬柳"</f>
        <v>陈冬柳</v>
      </c>
      <c r="E2943" s="7" t="str">
        <f t="shared" si="126"/>
        <v>女</v>
      </c>
    </row>
    <row r="2944" spans="1:5" ht="30" customHeight="1">
      <c r="A2944" s="6">
        <v>2942</v>
      </c>
      <c r="B2944" s="7" t="str">
        <f>"29802021051015354085753"</f>
        <v>29802021051015354085753</v>
      </c>
      <c r="C2944" s="7" t="s">
        <v>22</v>
      </c>
      <c r="D2944" s="7" t="str">
        <f>"符德港"</f>
        <v>符德港</v>
      </c>
      <c r="E2944" s="7" t="str">
        <f>"男"</f>
        <v>男</v>
      </c>
    </row>
    <row r="2945" spans="1:5" ht="30" customHeight="1">
      <c r="A2945" s="6">
        <v>2943</v>
      </c>
      <c r="B2945" s="7" t="str">
        <f>"29802021051016155686033"</f>
        <v>29802021051016155686033</v>
      </c>
      <c r="C2945" s="7" t="s">
        <v>22</v>
      </c>
      <c r="D2945" s="7" t="str">
        <f>"冯琳奇"</f>
        <v>冯琳奇</v>
      </c>
      <c r="E2945" s="7" t="str">
        <f>"女"</f>
        <v>女</v>
      </c>
    </row>
    <row r="2946" spans="1:5" ht="30" customHeight="1">
      <c r="A2946" s="6">
        <v>2944</v>
      </c>
      <c r="B2946" s="7" t="str">
        <f>"29802021051016470486270"</f>
        <v>29802021051016470486270</v>
      </c>
      <c r="C2946" s="7" t="s">
        <v>22</v>
      </c>
      <c r="D2946" s="7" t="str">
        <f>"王然"</f>
        <v>王然</v>
      </c>
      <c r="E2946" s="7" t="str">
        <f>"女"</f>
        <v>女</v>
      </c>
    </row>
    <row r="2947" spans="1:5" ht="30" customHeight="1">
      <c r="A2947" s="6">
        <v>2945</v>
      </c>
      <c r="B2947" s="7" t="str">
        <f>"29802021051017111286412"</f>
        <v>29802021051017111286412</v>
      </c>
      <c r="C2947" s="7" t="s">
        <v>22</v>
      </c>
      <c r="D2947" s="7" t="str">
        <f>"王小贞"</f>
        <v>王小贞</v>
      </c>
      <c r="E2947" s="7" t="str">
        <f>"女"</f>
        <v>女</v>
      </c>
    </row>
    <row r="2948" spans="1:5" ht="30" customHeight="1">
      <c r="A2948" s="6">
        <v>2946</v>
      </c>
      <c r="B2948" s="7" t="str">
        <f>"29802021051018185486738"</f>
        <v>29802021051018185486738</v>
      </c>
      <c r="C2948" s="7" t="s">
        <v>22</v>
      </c>
      <c r="D2948" s="7" t="str">
        <f>"高昂"</f>
        <v>高昂</v>
      </c>
      <c r="E2948" s="7" t="str">
        <f>"男"</f>
        <v>男</v>
      </c>
    </row>
    <row r="2949" spans="1:5" ht="30" customHeight="1">
      <c r="A2949" s="6">
        <v>2947</v>
      </c>
      <c r="B2949" s="7" t="str">
        <f>"29802021051018375486832"</f>
        <v>29802021051018375486832</v>
      </c>
      <c r="C2949" s="7" t="s">
        <v>22</v>
      </c>
      <c r="D2949" s="7" t="str">
        <f>"李晓菲"</f>
        <v>李晓菲</v>
      </c>
      <c r="E2949" s="7" t="str">
        <f aca="true" t="shared" si="127" ref="E2949:E2954">"女"</f>
        <v>女</v>
      </c>
    </row>
    <row r="2950" spans="1:5" ht="30" customHeight="1">
      <c r="A2950" s="6">
        <v>2948</v>
      </c>
      <c r="B2950" s="7" t="str">
        <f>"29802021051019212987015"</f>
        <v>29802021051019212987015</v>
      </c>
      <c r="C2950" s="7" t="s">
        <v>22</v>
      </c>
      <c r="D2950" s="7" t="str">
        <f>"麦冬婕"</f>
        <v>麦冬婕</v>
      </c>
      <c r="E2950" s="7" t="str">
        <f t="shared" si="127"/>
        <v>女</v>
      </c>
    </row>
    <row r="2951" spans="1:5" ht="30" customHeight="1">
      <c r="A2951" s="6">
        <v>2949</v>
      </c>
      <c r="B2951" s="7" t="str">
        <f>"29802021051020161287258"</f>
        <v>29802021051020161287258</v>
      </c>
      <c r="C2951" s="7" t="s">
        <v>22</v>
      </c>
      <c r="D2951" s="7" t="str">
        <f>"吴超颖"</f>
        <v>吴超颖</v>
      </c>
      <c r="E2951" s="7" t="str">
        <f t="shared" si="127"/>
        <v>女</v>
      </c>
    </row>
    <row r="2952" spans="1:5" ht="30" customHeight="1">
      <c r="A2952" s="6">
        <v>2950</v>
      </c>
      <c r="B2952" s="7" t="str">
        <f>"29802021051020405887354"</f>
        <v>29802021051020405887354</v>
      </c>
      <c r="C2952" s="7" t="s">
        <v>22</v>
      </c>
      <c r="D2952" s="7" t="str">
        <f>"王汝超"</f>
        <v>王汝超</v>
      </c>
      <c r="E2952" s="7" t="str">
        <f t="shared" si="127"/>
        <v>女</v>
      </c>
    </row>
    <row r="2953" spans="1:5" ht="30" customHeight="1">
      <c r="A2953" s="6">
        <v>2951</v>
      </c>
      <c r="B2953" s="7" t="str">
        <f>"29802021051021034187448"</f>
        <v>29802021051021034187448</v>
      </c>
      <c r="C2953" s="7" t="s">
        <v>22</v>
      </c>
      <c r="D2953" s="7" t="str">
        <f>"张小兰"</f>
        <v>张小兰</v>
      </c>
      <c r="E2953" s="7" t="str">
        <f t="shared" si="127"/>
        <v>女</v>
      </c>
    </row>
    <row r="2954" spans="1:5" ht="30" customHeight="1">
      <c r="A2954" s="6">
        <v>2952</v>
      </c>
      <c r="B2954" s="7" t="str">
        <f>"29802021051021180887503"</f>
        <v>29802021051021180887503</v>
      </c>
      <c r="C2954" s="7" t="s">
        <v>22</v>
      </c>
      <c r="D2954" s="7" t="str">
        <f>"李龙花"</f>
        <v>李龙花</v>
      </c>
      <c r="E2954" s="7" t="str">
        <f t="shared" si="127"/>
        <v>女</v>
      </c>
    </row>
    <row r="2955" spans="1:5" ht="30" customHeight="1">
      <c r="A2955" s="6">
        <v>2953</v>
      </c>
      <c r="B2955" s="7" t="str">
        <f>"29802021051021223587522"</f>
        <v>29802021051021223587522</v>
      </c>
      <c r="C2955" s="7" t="s">
        <v>22</v>
      </c>
      <c r="D2955" s="7" t="str">
        <f>"楼晓钢"</f>
        <v>楼晓钢</v>
      </c>
      <c r="E2955" s="7" t="str">
        <f>"男"</f>
        <v>男</v>
      </c>
    </row>
    <row r="2956" spans="1:5" ht="30" customHeight="1">
      <c r="A2956" s="6">
        <v>2954</v>
      </c>
      <c r="B2956" s="7" t="str">
        <f>"29802021051022031987730"</f>
        <v>29802021051022031987730</v>
      </c>
      <c r="C2956" s="7" t="s">
        <v>22</v>
      </c>
      <c r="D2956" s="7" t="str">
        <f>"黄娱纯"</f>
        <v>黄娱纯</v>
      </c>
      <c r="E2956" s="7" t="str">
        <f>"女"</f>
        <v>女</v>
      </c>
    </row>
    <row r="2957" spans="1:5" ht="30" customHeight="1">
      <c r="A2957" s="6">
        <v>2955</v>
      </c>
      <c r="B2957" s="7" t="str">
        <f>"29802021051023155888018"</f>
        <v>29802021051023155888018</v>
      </c>
      <c r="C2957" s="7" t="s">
        <v>22</v>
      </c>
      <c r="D2957" s="7" t="str">
        <f>"陈家文"</f>
        <v>陈家文</v>
      </c>
      <c r="E2957" s="7" t="str">
        <f>"男"</f>
        <v>男</v>
      </c>
    </row>
    <row r="2958" spans="1:5" ht="30" customHeight="1">
      <c r="A2958" s="6">
        <v>2956</v>
      </c>
      <c r="B2958" s="7" t="str">
        <f>"29802021051108063988236"</f>
        <v>29802021051108063988236</v>
      </c>
      <c r="C2958" s="7" t="s">
        <v>22</v>
      </c>
      <c r="D2958" s="7" t="str">
        <f>"黄香郁"</f>
        <v>黄香郁</v>
      </c>
      <c r="E2958" s="7" t="str">
        <f>"女"</f>
        <v>女</v>
      </c>
    </row>
    <row r="2959" spans="1:5" ht="30" customHeight="1">
      <c r="A2959" s="6">
        <v>2957</v>
      </c>
      <c r="B2959" s="7" t="str">
        <f>"29802021051109053088433"</f>
        <v>29802021051109053088433</v>
      </c>
      <c r="C2959" s="7" t="s">
        <v>22</v>
      </c>
      <c r="D2959" s="7" t="str">
        <f>"吴婷婷"</f>
        <v>吴婷婷</v>
      </c>
      <c r="E2959" s="7" t="str">
        <f>"女"</f>
        <v>女</v>
      </c>
    </row>
    <row r="2960" spans="1:5" ht="30" customHeight="1">
      <c r="A2960" s="6">
        <v>2958</v>
      </c>
      <c r="B2960" s="7" t="str">
        <f>"29802021051109233688520"</f>
        <v>29802021051109233688520</v>
      </c>
      <c r="C2960" s="7" t="s">
        <v>22</v>
      </c>
      <c r="D2960" s="7" t="str">
        <f>"程昊"</f>
        <v>程昊</v>
      </c>
      <c r="E2960" s="7" t="str">
        <f>"女"</f>
        <v>女</v>
      </c>
    </row>
    <row r="2961" spans="1:5" ht="30" customHeight="1">
      <c r="A2961" s="6">
        <v>2959</v>
      </c>
      <c r="B2961" s="7" t="str">
        <f>"29802021051109241688523"</f>
        <v>29802021051109241688523</v>
      </c>
      <c r="C2961" s="7" t="s">
        <v>22</v>
      </c>
      <c r="D2961" s="7" t="str">
        <f>"陈秀尼"</f>
        <v>陈秀尼</v>
      </c>
      <c r="E2961" s="7" t="str">
        <f>"女"</f>
        <v>女</v>
      </c>
    </row>
    <row r="2962" spans="1:5" ht="30" customHeight="1">
      <c r="A2962" s="6">
        <v>2960</v>
      </c>
      <c r="B2962" s="7" t="str">
        <f>"29802021051109330188556"</f>
        <v>29802021051109330188556</v>
      </c>
      <c r="C2962" s="7" t="s">
        <v>22</v>
      </c>
      <c r="D2962" s="7" t="str">
        <f>"罗阳"</f>
        <v>罗阳</v>
      </c>
      <c r="E2962" s="7" t="str">
        <f>"男"</f>
        <v>男</v>
      </c>
    </row>
    <row r="2963" spans="1:5" ht="30" customHeight="1">
      <c r="A2963" s="6">
        <v>2961</v>
      </c>
      <c r="B2963" s="7" t="str">
        <f>"29802021051109513188652"</f>
        <v>29802021051109513188652</v>
      </c>
      <c r="C2963" s="7" t="s">
        <v>22</v>
      </c>
      <c r="D2963" s="7" t="str">
        <f>"林道光"</f>
        <v>林道光</v>
      </c>
      <c r="E2963" s="7" t="str">
        <f>"男"</f>
        <v>男</v>
      </c>
    </row>
    <row r="2964" spans="1:5" ht="30" customHeight="1">
      <c r="A2964" s="6">
        <v>2962</v>
      </c>
      <c r="B2964" s="7" t="str">
        <f>"29802021051112230489295"</f>
        <v>29802021051112230489295</v>
      </c>
      <c r="C2964" s="7" t="s">
        <v>22</v>
      </c>
      <c r="D2964" s="7" t="str">
        <f>"陈志莲"</f>
        <v>陈志莲</v>
      </c>
      <c r="E2964" s="7" t="str">
        <f>"女"</f>
        <v>女</v>
      </c>
    </row>
    <row r="2965" spans="1:5" ht="30" customHeight="1">
      <c r="A2965" s="6">
        <v>2963</v>
      </c>
      <c r="B2965" s="7" t="str">
        <f>"29802021051112330489336"</f>
        <v>29802021051112330489336</v>
      </c>
      <c r="C2965" s="7" t="s">
        <v>22</v>
      </c>
      <c r="D2965" s="7" t="str">
        <f>"吴妙琳"</f>
        <v>吴妙琳</v>
      </c>
      <c r="E2965" s="7" t="str">
        <f>"女"</f>
        <v>女</v>
      </c>
    </row>
    <row r="2966" spans="1:5" ht="30" customHeight="1">
      <c r="A2966" s="6">
        <v>2964</v>
      </c>
      <c r="B2966" s="7" t="str">
        <f>"29802021051115135389752"</f>
        <v>29802021051115135389752</v>
      </c>
      <c r="C2966" s="7" t="s">
        <v>22</v>
      </c>
      <c r="D2966" s="7" t="str">
        <f>"石志杰"</f>
        <v>石志杰</v>
      </c>
      <c r="E2966" s="7" t="str">
        <f>"男"</f>
        <v>男</v>
      </c>
    </row>
    <row r="2967" spans="1:5" ht="30" customHeight="1">
      <c r="A2967" s="6">
        <v>2965</v>
      </c>
      <c r="B2967" s="7" t="str">
        <f>"29802021051115251189812"</f>
        <v>29802021051115251189812</v>
      </c>
      <c r="C2967" s="7" t="s">
        <v>22</v>
      </c>
      <c r="D2967" s="7" t="str">
        <f>"罗钰丹"</f>
        <v>罗钰丹</v>
      </c>
      <c r="E2967" s="7" t="str">
        <f>"女"</f>
        <v>女</v>
      </c>
    </row>
    <row r="2968" spans="1:5" ht="30" customHeight="1">
      <c r="A2968" s="6">
        <v>2966</v>
      </c>
      <c r="B2968" s="7" t="str">
        <f>"29802021051116161090036"</f>
        <v>29802021051116161090036</v>
      </c>
      <c r="C2968" s="7" t="s">
        <v>22</v>
      </c>
      <c r="D2968" s="7" t="str">
        <f>"林艺婷"</f>
        <v>林艺婷</v>
      </c>
      <c r="E2968" s="7" t="str">
        <f>"女"</f>
        <v>女</v>
      </c>
    </row>
    <row r="2969" spans="1:5" ht="30" customHeight="1">
      <c r="A2969" s="6">
        <v>2967</v>
      </c>
      <c r="B2969" s="7" t="str">
        <f>"29802021051116362990121"</f>
        <v>29802021051116362990121</v>
      </c>
      <c r="C2969" s="7" t="s">
        <v>22</v>
      </c>
      <c r="D2969" s="7" t="str">
        <f>"刘链婷"</f>
        <v>刘链婷</v>
      </c>
      <c r="E2969" s="7" t="str">
        <f>"女"</f>
        <v>女</v>
      </c>
    </row>
    <row r="2970" spans="1:5" ht="30" customHeight="1">
      <c r="A2970" s="6">
        <v>2968</v>
      </c>
      <c r="B2970" s="7" t="str">
        <f>"29802021051117281690298"</f>
        <v>29802021051117281690298</v>
      </c>
      <c r="C2970" s="7" t="s">
        <v>22</v>
      </c>
      <c r="D2970" s="7" t="str">
        <f>"谭飞燕"</f>
        <v>谭飞燕</v>
      </c>
      <c r="E2970" s="7" t="str">
        <f>"女"</f>
        <v>女</v>
      </c>
    </row>
    <row r="2971" spans="1:5" ht="30" customHeight="1">
      <c r="A2971" s="6">
        <v>2969</v>
      </c>
      <c r="B2971" s="7" t="str">
        <f>"29802021051117302390308"</f>
        <v>29802021051117302390308</v>
      </c>
      <c r="C2971" s="7" t="s">
        <v>22</v>
      </c>
      <c r="D2971" s="7" t="str">
        <f>"张冬冬"</f>
        <v>张冬冬</v>
      </c>
      <c r="E2971" s="7" t="str">
        <f>"男"</f>
        <v>男</v>
      </c>
    </row>
    <row r="2972" spans="1:5" ht="30" customHeight="1">
      <c r="A2972" s="6">
        <v>2970</v>
      </c>
      <c r="B2972" s="7" t="str">
        <f>"29802021051118031190392"</f>
        <v>29802021051118031190392</v>
      </c>
      <c r="C2972" s="7" t="s">
        <v>22</v>
      </c>
      <c r="D2972" s="7" t="str">
        <f>"刘蔚"</f>
        <v>刘蔚</v>
      </c>
      <c r="E2972" s="7" t="str">
        <f aca="true" t="shared" si="128" ref="E2972:E2990">"女"</f>
        <v>女</v>
      </c>
    </row>
    <row r="2973" spans="1:5" ht="30" customHeight="1">
      <c r="A2973" s="6">
        <v>2971</v>
      </c>
      <c r="B2973" s="7" t="str">
        <f>"29802021051118052190398"</f>
        <v>29802021051118052190398</v>
      </c>
      <c r="C2973" s="7" t="s">
        <v>22</v>
      </c>
      <c r="D2973" s="7" t="str">
        <f>"徐宜滨"</f>
        <v>徐宜滨</v>
      </c>
      <c r="E2973" s="7" t="str">
        <f t="shared" si="128"/>
        <v>女</v>
      </c>
    </row>
    <row r="2974" spans="1:5" ht="30" customHeight="1">
      <c r="A2974" s="6">
        <v>2972</v>
      </c>
      <c r="B2974" s="7" t="str">
        <f>"29802021051118130290423"</f>
        <v>29802021051118130290423</v>
      </c>
      <c r="C2974" s="7" t="s">
        <v>22</v>
      </c>
      <c r="D2974" s="7" t="str">
        <f>"谭春锦"</f>
        <v>谭春锦</v>
      </c>
      <c r="E2974" s="7" t="str">
        <f t="shared" si="128"/>
        <v>女</v>
      </c>
    </row>
    <row r="2975" spans="1:5" ht="30" customHeight="1">
      <c r="A2975" s="6">
        <v>2973</v>
      </c>
      <c r="B2975" s="7" t="str">
        <f>"29802021051118394990499"</f>
        <v>29802021051118394990499</v>
      </c>
      <c r="C2975" s="7" t="s">
        <v>22</v>
      </c>
      <c r="D2975" s="7" t="str">
        <f>"王慧聪"</f>
        <v>王慧聪</v>
      </c>
      <c r="E2975" s="7" t="str">
        <f t="shared" si="128"/>
        <v>女</v>
      </c>
    </row>
    <row r="2976" spans="1:5" ht="30" customHeight="1">
      <c r="A2976" s="6">
        <v>2974</v>
      </c>
      <c r="B2976" s="7" t="str">
        <f>"29802021051119212890602"</f>
        <v>29802021051119212890602</v>
      </c>
      <c r="C2976" s="7" t="s">
        <v>22</v>
      </c>
      <c r="D2976" s="7" t="str">
        <f>"邱蕾"</f>
        <v>邱蕾</v>
      </c>
      <c r="E2976" s="7" t="str">
        <f t="shared" si="128"/>
        <v>女</v>
      </c>
    </row>
    <row r="2977" spans="1:5" ht="30" customHeight="1">
      <c r="A2977" s="6">
        <v>2975</v>
      </c>
      <c r="B2977" s="7" t="str">
        <f>"29802021051119454790673"</f>
        <v>29802021051119454790673</v>
      </c>
      <c r="C2977" s="7" t="s">
        <v>22</v>
      </c>
      <c r="D2977" s="7" t="str">
        <f>"林雪莹"</f>
        <v>林雪莹</v>
      </c>
      <c r="E2977" s="7" t="str">
        <f t="shared" si="128"/>
        <v>女</v>
      </c>
    </row>
    <row r="2978" spans="1:5" ht="30" customHeight="1">
      <c r="A2978" s="6">
        <v>2976</v>
      </c>
      <c r="B2978" s="7" t="str">
        <f>"29802021051119465990680"</f>
        <v>29802021051119465990680</v>
      </c>
      <c r="C2978" s="7" t="s">
        <v>22</v>
      </c>
      <c r="D2978" s="7" t="str">
        <f>"扈然"</f>
        <v>扈然</v>
      </c>
      <c r="E2978" s="7" t="str">
        <f t="shared" si="128"/>
        <v>女</v>
      </c>
    </row>
    <row r="2979" spans="1:5" ht="30" customHeight="1">
      <c r="A2979" s="6">
        <v>2977</v>
      </c>
      <c r="B2979" s="7" t="str">
        <f>"29802021051120104090745"</f>
        <v>29802021051120104090745</v>
      </c>
      <c r="C2979" s="7" t="s">
        <v>22</v>
      </c>
      <c r="D2979" s="7" t="str">
        <f>"林莎"</f>
        <v>林莎</v>
      </c>
      <c r="E2979" s="7" t="str">
        <f t="shared" si="128"/>
        <v>女</v>
      </c>
    </row>
    <row r="2980" spans="1:5" ht="30" customHeight="1">
      <c r="A2980" s="6">
        <v>2978</v>
      </c>
      <c r="B2980" s="7" t="str">
        <f>"29802021051120400390840"</f>
        <v>29802021051120400390840</v>
      </c>
      <c r="C2980" s="7" t="s">
        <v>22</v>
      </c>
      <c r="D2980" s="7" t="str">
        <f>"庄玉迪"</f>
        <v>庄玉迪</v>
      </c>
      <c r="E2980" s="7" t="str">
        <f t="shared" si="128"/>
        <v>女</v>
      </c>
    </row>
    <row r="2981" spans="1:5" ht="30" customHeight="1">
      <c r="A2981" s="6">
        <v>2979</v>
      </c>
      <c r="B2981" s="7" t="str">
        <f>"29802021051121373491009"</f>
        <v>29802021051121373491009</v>
      </c>
      <c r="C2981" s="7" t="s">
        <v>22</v>
      </c>
      <c r="D2981" s="7" t="str">
        <f>"李嘉杨"</f>
        <v>李嘉杨</v>
      </c>
      <c r="E2981" s="7" t="str">
        <f t="shared" si="128"/>
        <v>女</v>
      </c>
    </row>
    <row r="2982" spans="1:5" ht="30" customHeight="1">
      <c r="A2982" s="6">
        <v>2980</v>
      </c>
      <c r="B2982" s="7" t="str">
        <f>"29802021051121434091041"</f>
        <v>29802021051121434091041</v>
      </c>
      <c r="C2982" s="7" t="s">
        <v>22</v>
      </c>
      <c r="D2982" s="7" t="str">
        <f>"胡海娟"</f>
        <v>胡海娟</v>
      </c>
      <c r="E2982" s="7" t="str">
        <f t="shared" si="128"/>
        <v>女</v>
      </c>
    </row>
    <row r="2983" spans="1:5" ht="30" customHeight="1">
      <c r="A2983" s="6">
        <v>2981</v>
      </c>
      <c r="B2983" s="7" t="str">
        <f>"29802021051121530591069"</f>
        <v>29802021051121530591069</v>
      </c>
      <c r="C2983" s="7" t="s">
        <v>22</v>
      </c>
      <c r="D2983" s="7" t="str">
        <f>"覃学新"</f>
        <v>覃学新</v>
      </c>
      <c r="E2983" s="7" t="str">
        <f t="shared" si="128"/>
        <v>女</v>
      </c>
    </row>
    <row r="2984" spans="1:5" ht="30" customHeight="1">
      <c r="A2984" s="6">
        <v>2982</v>
      </c>
      <c r="B2984" s="7" t="str">
        <f>"29802021051122250291161"</f>
        <v>29802021051122250291161</v>
      </c>
      <c r="C2984" s="7" t="s">
        <v>22</v>
      </c>
      <c r="D2984" s="7" t="str">
        <f>"王彩虹"</f>
        <v>王彩虹</v>
      </c>
      <c r="E2984" s="7" t="str">
        <f t="shared" si="128"/>
        <v>女</v>
      </c>
    </row>
    <row r="2985" spans="1:5" ht="30" customHeight="1">
      <c r="A2985" s="6">
        <v>2983</v>
      </c>
      <c r="B2985" s="7" t="str">
        <f>"29802021051208323291474"</f>
        <v>29802021051208323291474</v>
      </c>
      <c r="C2985" s="7" t="s">
        <v>22</v>
      </c>
      <c r="D2985" s="7" t="str">
        <f>"冷爽"</f>
        <v>冷爽</v>
      </c>
      <c r="E2985" s="7" t="str">
        <f t="shared" si="128"/>
        <v>女</v>
      </c>
    </row>
    <row r="2986" spans="1:5" ht="30" customHeight="1">
      <c r="A2986" s="6">
        <v>2984</v>
      </c>
      <c r="B2986" s="7" t="str">
        <f>"29802021051208332591477"</f>
        <v>29802021051208332591477</v>
      </c>
      <c r="C2986" s="7" t="s">
        <v>22</v>
      </c>
      <c r="D2986" s="7" t="str">
        <f>"陈翠婷"</f>
        <v>陈翠婷</v>
      </c>
      <c r="E2986" s="7" t="str">
        <f t="shared" si="128"/>
        <v>女</v>
      </c>
    </row>
    <row r="2987" spans="1:5" ht="30" customHeight="1">
      <c r="A2987" s="6">
        <v>2985</v>
      </c>
      <c r="B2987" s="7" t="str">
        <f>"29802021051209243591646"</f>
        <v>29802021051209243591646</v>
      </c>
      <c r="C2987" s="7" t="s">
        <v>22</v>
      </c>
      <c r="D2987" s="7" t="str">
        <f>"赵方楠"</f>
        <v>赵方楠</v>
      </c>
      <c r="E2987" s="7" t="str">
        <f t="shared" si="128"/>
        <v>女</v>
      </c>
    </row>
    <row r="2988" spans="1:5" ht="30" customHeight="1">
      <c r="A2988" s="6">
        <v>2986</v>
      </c>
      <c r="B2988" s="7" t="str">
        <f>"29802021051210354691979"</f>
        <v>29802021051210354691979</v>
      </c>
      <c r="C2988" s="7" t="s">
        <v>22</v>
      </c>
      <c r="D2988" s="7" t="str">
        <f>"封美霖"</f>
        <v>封美霖</v>
      </c>
      <c r="E2988" s="7" t="str">
        <f t="shared" si="128"/>
        <v>女</v>
      </c>
    </row>
    <row r="2989" spans="1:5" ht="30" customHeight="1">
      <c r="A2989" s="6">
        <v>2987</v>
      </c>
      <c r="B2989" s="7" t="str">
        <f>"29802021051211251092220"</f>
        <v>29802021051211251092220</v>
      </c>
      <c r="C2989" s="7" t="s">
        <v>22</v>
      </c>
      <c r="D2989" s="7" t="str">
        <f>"徐容"</f>
        <v>徐容</v>
      </c>
      <c r="E2989" s="7" t="str">
        <f t="shared" si="128"/>
        <v>女</v>
      </c>
    </row>
    <row r="2990" spans="1:5" ht="30" customHeight="1">
      <c r="A2990" s="6">
        <v>2988</v>
      </c>
      <c r="B2990" s="7" t="str">
        <f>"29802021051212092092370"</f>
        <v>29802021051212092092370</v>
      </c>
      <c r="C2990" s="7" t="s">
        <v>22</v>
      </c>
      <c r="D2990" s="7" t="str">
        <f>"罗伟晶"</f>
        <v>罗伟晶</v>
      </c>
      <c r="E2990" s="7" t="str">
        <f t="shared" si="128"/>
        <v>女</v>
      </c>
    </row>
    <row r="2991" spans="1:5" ht="30" customHeight="1">
      <c r="A2991" s="6">
        <v>2989</v>
      </c>
      <c r="B2991" s="7" t="str">
        <f>"29802021051212252492413"</f>
        <v>29802021051212252492413</v>
      </c>
      <c r="C2991" s="7" t="s">
        <v>22</v>
      </c>
      <c r="D2991" s="7" t="str">
        <f>"陈文朝"</f>
        <v>陈文朝</v>
      </c>
      <c r="E2991" s="7" t="str">
        <f>"男"</f>
        <v>男</v>
      </c>
    </row>
    <row r="2992" spans="1:5" ht="30" customHeight="1">
      <c r="A2992" s="6">
        <v>2990</v>
      </c>
      <c r="B2992" s="7" t="str">
        <f>"29802021051212420592465"</f>
        <v>29802021051212420592465</v>
      </c>
      <c r="C2992" s="7" t="s">
        <v>22</v>
      </c>
      <c r="D2992" s="7" t="str">
        <f>"陈景伟"</f>
        <v>陈景伟</v>
      </c>
      <c r="E2992" s="7" t="str">
        <f>"男"</f>
        <v>男</v>
      </c>
    </row>
    <row r="2993" spans="1:5" ht="30" customHeight="1">
      <c r="A2993" s="6">
        <v>2991</v>
      </c>
      <c r="B2993" s="7" t="str">
        <f>"29802021051212422492466"</f>
        <v>29802021051212422492466</v>
      </c>
      <c r="C2993" s="7" t="s">
        <v>22</v>
      </c>
      <c r="D2993" s="7" t="str">
        <f>"王妙灵"</f>
        <v>王妙灵</v>
      </c>
      <c r="E2993" s="7" t="str">
        <f aca="true" t="shared" si="129" ref="E2993:E3002">"女"</f>
        <v>女</v>
      </c>
    </row>
    <row r="2994" spans="1:5" ht="30" customHeight="1">
      <c r="A2994" s="6">
        <v>2992</v>
      </c>
      <c r="B2994" s="7" t="str">
        <f>"29802021051212435192472"</f>
        <v>29802021051212435192472</v>
      </c>
      <c r="C2994" s="7" t="s">
        <v>22</v>
      </c>
      <c r="D2994" s="7" t="str">
        <f>"钟石婷"</f>
        <v>钟石婷</v>
      </c>
      <c r="E2994" s="7" t="str">
        <f t="shared" si="129"/>
        <v>女</v>
      </c>
    </row>
    <row r="2995" spans="1:5" ht="30" customHeight="1">
      <c r="A2995" s="6">
        <v>2993</v>
      </c>
      <c r="B2995" s="7" t="str">
        <f>"29802021051214232492704"</f>
        <v>29802021051214232492704</v>
      </c>
      <c r="C2995" s="7" t="s">
        <v>22</v>
      </c>
      <c r="D2995" s="7" t="str">
        <f>"齐梓煦"</f>
        <v>齐梓煦</v>
      </c>
      <c r="E2995" s="7" t="str">
        <f t="shared" si="129"/>
        <v>女</v>
      </c>
    </row>
    <row r="2996" spans="1:5" ht="30" customHeight="1">
      <c r="A2996" s="6">
        <v>2994</v>
      </c>
      <c r="B2996" s="7" t="str">
        <f>"29802021051215184192881"</f>
        <v>29802021051215184192881</v>
      </c>
      <c r="C2996" s="7" t="s">
        <v>22</v>
      </c>
      <c r="D2996" s="7" t="str">
        <f>"韩芳"</f>
        <v>韩芳</v>
      </c>
      <c r="E2996" s="7" t="str">
        <f t="shared" si="129"/>
        <v>女</v>
      </c>
    </row>
    <row r="2997" spans="1:5" ht="30" customHeight="1">
      <c r="A2997" s="6">
        <v>2995</v>
      </c>
      <c r="B2997" s="7" t="str">
        <f>"29802021051215311792931"</f>
        <v>29802021051215311792931</v>
      </c>
      <c r="C2997" s="7" t="s">
        <v>22</v>
      </c>
      <c r="D2997" s="7" t="str">
        <f>"潘白雪"</f>
        <v>潘白雪</v>
      </c>
      <c r="E2997" s="7" t="str">
        <f t="shared" si="129"/>
        <v>女</v>
      </c>
    </row>
    <row r="2998" spans="1:5" ht="30" customHeight="1">
      <c r="A2998" s="6">
        <v>2996</v>
      </c>
      <c r="B2998" s="7" t="str">
        <f>"29802021051217182793369"</f>
        <v>29802021051217182793369</v>
      </c>
      <c r="C2998" s="7" t="s">
        <v>22</v>
      </c>
      <c r="D2998" s="7" t="str">
        <f>"袁成梦"</f>
        <v>袁成梦</v>
      </c>
      <c r="E2998" s="7" t="str">
        <f t="shared" si="129"/>
        <v>女</v>
      </c>
    </row>
    <row r="2999" spans="1:5" ht="30" customHeight="1">
      <c r="A2999" s="6">
        <v>2997</v>
      </c>
      <c r="B2999" s="7" t="str">
        <f>"29802021051217262893397"</f>
        <v>29802021051217262893397</v>
      </c>
      <c r="C2999" s="7" t="s">
        <v>22</v>
      </c>
      <c r="D2999" s="7" t="str">
        <f>"杨美美"</f>
        <v>杨美美</v>
      </c>
      <c r="E2999" s="7" t="str">
        <f t="shared" si="129"/>
        <v>女</v>
      </c>
    </row>
    <row r="3000" spans="1:5" ht="30" customHeight="1">
      <c r="A3000" s="6">
        <v>2998</v>
      </c>
      <c r="B3000" s="7" t="str">
        <f>"29802021051219005793593"</f>
        <v>29802021051219005793593</v>
      </c>
      <c r="C3000" s="7" t="s">
        <v>22</v>
      </c>
      <c r="D3000" s="7" t="str">
        <f>"林小钰"</f>
        <v>林小钰</v>
      </c>
      <c r="E3000" s="7" t="str">
        <f t="shared" si="129"/>
        <v>女</v>
      </c>
    </row>
    <row r="3001" spans="1:5" ht="30" customHeight="1">
      <c r="A3001" s="6">
        <v>2999</v>
      </c>
      <c r="B3001" s="7" t="str">
        <f>"29802021051219432493663"</f>
        <v>29802021051219432493663</v>
      </c>
      <c r="C3001" s="7" t="s">
        <v>22</v>
      </c>
      <c r="D3001" s="7" t="str">
        <f>"陈颖"</f>
        <v>陈颖</v>
      </c>
      <c r="E3001" s="7" t="str">
        <f t="shared" si="129"/>
        <v>女</v>
      </c>
    </row>
    <row r="3002" spans="1:5" ht="30" customHeight="1">
      <c r="A3002" s="6">
        <v>3000</v>
      </c>
      <c r="B3002" s="7" t="str">
        <f>"29802021051221405093947"</f>
        <v>29802021051221405093947</v>
      </c>
      <c r="C3002" s="7" t="s">
        <v>22</v>
      </c>
      <c r="D3002" s="7" t="str">
        <f>"段婧慧"</f>
        <v>段婧慧</v>
      </c>
      <c r="E3002" s="7" t="str">
        <f t="shared" si="129"/>
        <v>女</v>
      </c>
    </row>
    <row r="3003" spans="1:5" ht="30" customHeight="1">
      <c r="A3003" s="6">
        <v>3001</v>
      </c>
      <c r="B3003" s="7" t="str">
        <f>"29802021051221584793991"</f>
        <v>29802021051221584793991</v>
      </c>
      <c r="C3003" s="7" t="s">
        <v>22</v>
      </c>
      <c r="D3003" s="7" t="str">
        <f>"郑庆立"</f>
        <v>郑庆立</v>
      </c>
      <c r="E3003" s="7" t="str">
        <f>"男"</f>
        <v>男</v>
      </c>
    </row>
    <row r="3004" spans="1:5" ht="30" customHeight="1">
      <c r="A3004" s="6">
        <v>3002</v>
      </c>
      <c r="B3004" s="7" t="str">
        <f>"29802021051222083294012"</f>
        <v>29802021051222083294012</v>
      </c>
      <c r="C3004" s="7" t="s">
        <v>22</v>
      </c>
      <c r="D3004" s="7" t="str">
        <f>"刘英娇"</f>
        <v>刘英娇</v>
      </c>
      <c r="E3004" s="7" t="str">
        <f>"女"</f>
        <v>女</v>
      </c>
    </row>
    <row r="3005" spans="1:5" ht="30" customHeight="1">
      <c r="A3005" s="6">
        <v>3003</v>
      </c>
      <c r="B3005" s="7" t="str">
        <f>"29802021051308331194330"</f>
        <v>29802021051308331194330</v>
      </c>
      <c r="C3005" s="7" t="s">
        <v>22</v>
      </c>
      <c r="D3005" s="7" t="str">
        <f>"张婉煜"</f>
        <v>张婉煜</v>
      </c>
      <c r="E3005" s="7" t="str">
        <f>"女"</f>
        <v>女</v>
      </c>
    </row>
    <row r="3006" spans="1:5" ht="30" customHeight="1">
      <c r="A3006" s="6">
        <v>3004</v>
      </c>
      <c r="B3006" s="7" t="str">
        <f>"29802021051308461194355"</f>
        <v>29802021051308461194355</v>
      </c>
      <c r="C3006" s="7" t="s">
        <v>22</v>
      </c>
      <c r="D3006" s="7" t="str">
        <f>"刘计兵"</f>
        <v>刘计兵</v>
      </c>
      <c r="E3006" s="7" t="str">
        <f>"男"</f>
        <v>男</v>
      </c>
    </row>
    <row r="3007" spans="1:5" ht="30" customHeight="1">
      <c r="A3007" s="6">
        <v>3005</v>
      </c>
      <c r="B3007" s="7" t="str">
        <f>"29802021051310034594568"</f>
        <v>29802021051310034594568</v>
      </c>
      <c r="C3007" s="7" t="s">
        <v>22</v>
      </c>
      <c r="D3007" s="7" t="str">
        <f>"陈苗"</f>
        <v>陈苗</v>
      </c>
      <c r="E3007" s="7" t="str">
        <f>"女"</f>
        <v>女</v>
      </c>
    </row>
    <row r="3008" spans="1:5" ht="30" customHeight="1">
      <c r="A3008" s="6">
        <v>3006</v>
      </c>
      <c r="B3008" s="7" t="str">
        <f>"29802021051313044295048"</f>
        <v>29802021051313044295048</v>
      </c>
      <c r="C3008" s="7" t="s">
        <v>22</v>
      </c>
      <c r="D3008" s="7" t="str">
        <f>"谢晓虹"</f>
        <v>谢晓虹</v>
      </c>
      <c r="E3008" s="7" t="str">
        <f>"女"</f>
        <v>女</v>
      </c>
    </row>
    <row r="3009" spans="1:5" ht="30" customHeight="1">
      <c r="A3009" s="6">
        <v>3007</v>
      </c>
      <c r="B3009" s="7" t="str">
        <f>"29802021051313570295122"</f>
        <v>29802021051313570295122</v>
      </c>
      <c r="C3009" s="7" t="s">
        <v>22</v>
      </c>
      <c r="D3009" s="7" t="str">
        <f>"吴尚书"</f>
        <v>吴尚书</v>
      </c>
      <c r="E3009" s="7" t="str">
        <f>"女"</f>
        <v>女</v>
      </c>
    </row>
    <row r="3010" spans="1:5" ht="30" customHeight="1">
      <c r="A3010" s="6">
        <v>3008</v>
      </c>
      <c r="B3010" s="7" t="str">
        <f>"29802021051314211595172"</f>
        <v>29802021051314211595172</v>
      </c>
      <c r="C3010" s="7" t="s">
        <v>22</v>
      </c>
      <c r="D3010" s="7" t="str">
        <f>"莫婷"</f>
        <v>莫婷</v>
      </c>
      <c r="E3010" s="7" t="str">
        <f>"女"</f>
        <v>女</v>
      </c>
    </row>
    <row r="3011" spans="1:5" ht="30" customHeight="1">
      <c r="A3011" s="6">
        <v>3009</v>
      </c>
      <c r="B3011" s="7" t="str">
        <f>"29802021051316031995407"</f>
        <v>29802021051316031995407</v>
      </c>
      <c r="C3011" s="7" t="s">
        <v>22</v>
      </c>
      <c r="D3011" s="7" t="str">
        <f>"廖小花"</f>
        <v>廖小花</v>
      </c>
      <c r="E3011" s="7" t="str">
        <f>"女"</f>
        <v>女</v>
      </c>
    </row>
    <row r="3012" spans="1:5" ht="30" customHeight="1">
      <c r="A3012" s="6">
        <v>3010</v>
      </c>
      <c r="B3012" s="7" t="str">
        <f>"29802021051316122895431"</f>
        <v>29802021051316122895431</v>
      </c>
      <c r="C3012" s="7" t="s">
        <v>22</v>
      </c>
      <c r="D3012" s="7" t="str">
        <f>"李明益"</f>
        <v>李明益</v>
      </c>
      <c r="E3012" s="7" t="str">
        <f>"男"</f>
        <v>男</v>
      </c>
    </row>
    <row r="3013" spans="1:5" ht="30" customHeight="1">
      <c r="A3013" s="6">
        <v>3011</v>
      </c>
      <c r="B3013" s="7" t="str">
        <f>"29802021051316171395444"</f>
        <v>29802021051316171395444</v>
      </c>
      <c r="C3013" s="7" t="s">
        <v>22</v>
      </c>
      <c r="D3013" s="7" t="str">
        <f>"曹静"</f>
        <v>曹静</v>
      </c>
      <c r="E3013" s="7" t="str">
        <f>"女"</f>
        <v>女</v>
      </c>
    </row>
    <row r="3014" spans="1:5" ht="30" customHeight="1">
      <c r="A3014" s="6">
        <v>3012</v>
      </c>
      <c r="B3014" s="7" t="str">
        <f>"29802021051317545495670"</f>
        <v>29802021051317545495670</v>
      </c>
      <c r="C3014" s="7" t="s">
        <v>22</v>
      </c>
      <c r="D3014" s="7" t="str">
        <f>"高敏"</f>
        <v>高敏</v>
      </c>
      <c r="E3014" s="7" t="str">
        <f>"女"</f>
        <v>女</v>
      </c>
    </row>
    <row r="3015" spans="1:5" ht="30" customHeight="1">
      <c r="A3015" s="6">
        <v>3013</v>
      </c>
      <c r="B3015" s="7" t="str">
        <f>"29802021051319341595868"</f>
        <v>29802021051319341595868</v>
      </c>
      <c r="C3015" s="7" t="s">
        <v>22</v>
      </c>
      <c r="D3015" s="7" t="str">
        <f>"刘高吏"</f>
        <v>刘高吏</v>
      </c>
      <c r="E3015" s="7" t="str">
        <f>"女"</f>
        <v>女</v>
      </c>
    </row>
    <row r="3016" spans="1:5" ht="30" customHeight="1">
      <c r="A3016" s="6">
        <v>3014</v>
      </c>
      <c r="B3016" s="7" t="str">
        <f>"29802021051320420795993"</f>
        <v>29802021051320420795993</v>
      </c>
      <c r="C3016" s="7" t="s">
        <v>22</v>
      </c>
      <c r="D3016" s="7" t="str">
        <f>"王世为"</f>
        <v>王世为</v>
      </c>
      <c r="E3016" s="7" t="str">
        <f>"男"</f>
        <v>男</v>
      </c>
    </row>
    <row r="3017" spans="1:5" ht="30" customHeight="1">
      <c r="A3017" s="6">
        <v>3015</v>
      </c>
      <c r="B3017" s="7" t="str">
        <f>"29802021051322263496226"</f>
        <v>29802021051322263496226</v>
      </c>
      <c r="C3017" s="7" t="s">
        <v>22</v>
      </c>
      <c r="D3017" s="7" t="str">
        <f>"符金菊"</f>
        <v>符金菊</v>
      </c>
      <c r="E3017" s="7" t="str">
        <f aca="true" t="shared" si="130" ref="E3017:E3026">"女"</f>
        <v>女</v>
      </c>
    </row>
    <row r="3018" spans="1:5" ht="30" customHeight="1">
      <c r="A3018" s="6">
        <v>3016</v>
      </c>
      <c r="B3018" s="7" t="str">
        <f>"29802021051322311296236"</f>
        <v>29802021051322311296236</v>
      </c>
      <c r="C3018" s="7" t="s">
        <v>22</v>
      </c>
      <c r="D3018" s="7" t="str">
        <f>"陈敏"</f>
        <v>陈敏</v>
      </c>
      <c r="E3018" s="7" t="str">
        <f t="shared" si="130"/>
        <v>女</v>
      </c>
    </row>
    <row r="3019" spans="1:5" ht="30" customHeight="1">
      <c r="A3019" s="6">
        <v>3017</v>
      </c>
      <c r="B3019" s="7" t="str">
        <f>"29802021051400563796397"</f>
        <v>29802021051400563796397</v>
      </c>
      <c r="C3019" s="7" t="s">
        <v>22</v>
      </c>
      <c r="D3019" s="7" t="str">
        <f>"陈海燕"</f>
        <v>陈海燕</v>
      </c>
      <c r="E3019" s="7" t="str">
        <f t="shared" si="130"/>
        <v>女</v>
      </c>
    </row>
    <row r="3020" spans="1:5" ht="30" customHeight="1">
      <c r="A3020" s="6">
        <v>3018</v>
      </c>
      <c r="B3020" s="7" t="str">
        <f>"29802021051402314896411"</f>
        <v>29802021051402314896411</v>
      </c>
      <c r="C3020" s="7" t="s">
        <v>22</v>
      </c>
      <c r="D3020" s="7" t="str">
        <f>"韩金灵"</f>
        <v>韩金灵</v>
      </c>
      <c r="E3020" s="7" t="str">
        <f t="shared" si="130"/>
        <v>女</v>
      </c>
    </row>
    <row r="3021" spans="1:5" ht="30" customHeight="1">
      <c r="A3021" s="6">
        <v>3019</v>
      </c>
      <c r="B3021" s="7" t="str">
        <f>"29802021051411121696822"</f>
        <v>29802021051411121696822</v>
      </c>
      <c r="C3021" s="7" t="s">
        <v>22</v>
      </c>
      <c r="D3021" s="7" t="str">
        <f>"林海莉"</f>
        <v>林海莉</v>
      </c>
      <c r="E3021" s="7" t="str">
        <f t="shared" si="130"/>
        <v>女</v>
      </c>
    </row>
    <row r="3022" spans="1:5" ht="30" customHeight="1">
      <c r="A3022" s="6">
        <v>3020</v>
      </c>
      <c r="B3022" s="7" t="str">
        <f>"29802021051411321296867"</f>
        <v>29802021051411321296867</v>
      </c>
      <c r="C3022" s="7" t="s">
        <v>22</v>
      </c>
      <c r="D3022" s="7" t="str">
        <f>"黄咪咪"</f>
        <v>黄咪咪</v>
      </c>
      <c r="E3022" s="7" t="str">
        <f t="shared" si="130"/>
        <v>女</v>
      </c>
    </row>
    <row r="3023" spans="1:5" ht="30" customHeight="1">
      <c r="A3023" s="6">
        <v>3021</v>
      </c>
      <c r="B3023" s="7" t="str">
        <f>"29802021051412322396984"</f>
        <v>29802021051412322396984</v>
      </c>
      <c r="C3023" s="7" t="s">
        <v>22</v>
      </c>
      <c r="D3023" s="7" t="str">
        <f>"王孟牙"</f>
        <v>王孟牙</v>
      </c>
      <c r="E3023" s="7" t="str">
        <f t="shared" si="130"/>
        <v>女</v>
      </c>
    </row>
    <row r="3024" spans="1:5" ht="30" customHeight="1">
      <c r="A3024" s="6">
        <v>3022</v>
      </c>
      <c r="B3024" s="7" t="str">
        <f>"29802021051413240797098"</f>
        <v>29802021051413240797098</v>
      </c>
      <c r="C3024" s="7" t="s">
        <v>22</v>
      </c>
      <c r="D3024" s="7" t="str">
        <f>"韦海莉"</f>
        <v>韦海莉</v>
      </c>
      <c r="E3024" s="7" t="str">
        <f t="shared" si="130"/>
        <v>女</v>
      </c>
    </row>
    <row r="3025" spans="1:5" ht="30" customHeight="1">
      <c r="A3025" s="6">
        <v>3023</v>
      </c>
      <c r="B3025" s="7" t="str">
        <f>"29802021051414425197227"</f>
        <v>29802021051414425197227</v>
      </c>
      <c r="C3025" s="7" t="s">
        <v>22</v>
      </c>
      <c r="D3025" s="7" t="str">
        <f>"黄佳佳"</f>
        <v>黄佳佳</v>
      </c>
      <c r="E3025" s="7" t="str">
        <f t="shared" si="130"/>
        <v>女</v>
      </c>
    </row>
    <row r="3026" spans="1:5" ht="30" customHeight="1">
      <c r="A3026" s="6">
        <v>3024</v>
      </c>
      <c r="B3026" s="7" t="str">
        <f>"29802021051414552597249"</f>
        <v>29802021051414552597249</v>
      </c>
      <c r="C3026" s="7" t="s">
        <v>22</v>
      </c>
      <c r="D3026" s="7" t="str">
        <f>"侯振男"</f>
        <v>侯振男</v>
      </c>
      <c r="E3026" s="7" t="str">
        <f t="shared" si="130"/>
        <v>女</v>
      </c>
    </row>
    <row r="3027" spans="1:5" ht="30" customHeight="1">
      <c r="A3027" s="6">
        <v>3025</v>
      </c>
      <c r="B3027" s="7" t="str">
        <f>"29802021051415082597270"</f>
        <v>29802021051415082597270</v>
      </c>
      <c r="C3027" s="7" t="s">
        <v>22</v>
      </c>
      <c r="D3027" s="7" t="str">
        <f>"陈焕冠"</f>
        <v>陈焕冠</v>
      </c>
      <c r="E3027" s="7" t="str">
        <f>"男"</f>
        <v>男</v>
      </c>
    </row>
    <row r="3028" spans="1:5" ht="30" customHeight="1">
      <c r="A3028" s="6">
        <v>3026</v>
      </c>
      <c r="B3028" s="7" t="str">
        <f>"29802021051416065497421"</f>
        <v>29802021051416065497421</v>
      </c>
      <c r="C3028" s="7" t="s">
        <v>22</v>
      </c>
      <c r="D3028" s="7" t="str">
        <f>"周云青"</f>
        <v>周云青</v>
      </c>
      <c r="E3028" s="7" t="str">
        <f aca="true" t="shared" si="131" ref="E3028:E3091">"女"</f>
        <v>女</v>
      </c>
    </row>
    <row r="3029" spans="1:5" ht="30" customHeight="1">
      <c r="A3029" s="6">
        <v>3027</v>
      </c>
      <c r="B3029" s="7" t="str">
        <f>"29802021051416294997481"</f>
        <v>29802021051416294997481</v>
      </c>
      <c r="C3029" s="7" t="s">
        <v>22</v>
      </c>
      <c r="D3029" s="7" t="str">
        <f>"刘翠"</f>
        <v>刘翠</v>
      </c>
      <c r="E3029" s="7" t="str">
        <f t="shared" si="131"/>
        <v>女</v>
      </c>
    </row>
    <row r="3030" spans="1:5" ht="30" customHeight="1">
      <c r="A3030" s="6">
        <v>3028</v>
      </c>
      <c r="B3030" s="7" t="str">
        <f>"29802021051417174497591"</f>
        <v>29802021051417174497591</v>
      </c>
      <c r="C3030" s="7" t="s">
        <v>22</v>
      </c>
      <c r="D3030" s="7" t="str">
        <f>"杨豫"</f>
        <v>杨豫</v>
      </c>
      <c r="E3030" s="7" t="str">
        <f t="shared" si="131"/>
        <v>女</v>
      </c>
    </row>
    <row r="3031" spans="1:5" ht="30" customHeight="1">
      <c r="A3031" s="6">
        <v>3029</v>
      </c>
      <c r="B3031" s="7" t="str">
        <f>"29802021051500155098245"</f>
        <v>29802021051500155098245</v>
      </c>
      <c r="C3031" s="7" t="s">
        <v>22</v>
      </c>
      <c r="D3031" s="7" t="str">
        <f>"胡妙婉"</f>
        <v>胡妙婉</v>
      </c>
      <c r="E3031" s="7" t="str">
        <f t="shared" si="131"/>
        <v>女</v>
      </c>
    </row>
    <row r="3032" spans="1:5" ht="30" customHeight="1">
      <c r="A3032" s="6">
        <v>3030</v>
      </c>
      <c r="B3032" s="7" t="str">
        <f>"29802021051500494498264"</f>
        <v>29802021051500494498264</v>
      </c>
      <c r="C3032" s="7" t="s">
        <v>22</v>
      </c>
      <c r="D3032" s="7" t="str">
        <f>"陈丽丽"</f>
        <v>陈丽丽</v>
      </c>
      <c r="E3032" s="7" t="str">
        <f t="shared" si="131"/>
        <v>女</v>
      </c>
    </row>
    <row r="3033" spans="1:5" ht="30" customHeight="1">
      <c r="A3033" s="6">
        <v>3031</v>
      </c>
      <c r="B3033" s="7" t="str">
        <f>"29802021051509260298375"</f>
        <v>29802021051509260298375</v>
      </c>
      <c r="C3033" s="7" t="s">
        <v>22</v>
      </c>
      <c r="D3033" s="7" t="str">
        <f>"符彩桐"</f>
        <v>符彩桐</v>
      </c>
      <c r="E3033" s="7" t="str">
        <f t="shared" si="131"/>
        <v>女</v>
      </c>
    </row>
    <row r="3034" spans="1:5" ht="30" customHeight="1">
      <c r="A3034" s="6">
        <v>3032</v>
      </c>
      <c r="B3034" s="7" t="str">
        <f>"29802021051511491198619"</f>
        <v>29802021051511491198619</v>
      </c>
      <c r="C3034" s="7" t="s">
        <v>22</v>
      </c>
      <c r="D3034" s="7" t="str">
        <f>"杜宴萱"</f>
        <v>杜宴萱</v>
      </c>
      <c r="E3034" s="7" t="str">
        <f t="shared" si="131"/>
        <v>女</v>
      </c>
    </row>
    <row r="3035" spans="1:5" ht="30" customHeight="1">
      <c r="A3035" s="6">
        <v>3033</v>
      </c>
      <c r="B3035" s="7" t="str">
        <f>"29802021051512190798667"</f>
        <v>29802021051512190798667</v>
      </c>
      <c r="C3035" s="7" t="s">
        <v>22</v>
      </c>
      <c r="D3035" s="7" t="str">
        <f>"高春娇"</f>
        <v>高春娇</v>
      </c>
      <c r="E3035" s="7" t="str">
        <f t="shared" si="131"/>
        <v>女</v>
      </c>
    </row>
    <row r="3036" spans="1:5" ht="30" customHeight="1">
      <c r="A3036" s="6">
        <v>3034</v>
      </c>
      <c r="B3036" s="7" t="str">
        <f>"29802021051512434298708"</f>
        <v>29802021051512434298708</v>
      </c>
      <c r="C3036" s="7" t="s">
        <v>22</v>
      </c>
      <c r="D3036" s="7" t="str">
        <f>"陈曦"</f>
        <v>陈曦</v>
      </c>
      <c r="E3036" s="7" t="str">
        <f t="shared" si="131"/>
        <v>女</v>
      </c>
    </row>
    <row r="3037" spans="1:5" ht="30" customHeight="1">
      <c r="A3037" s="6">
        <v>3035</v>
      </c>
      <c r="B3037" s="7" t="str">
        <f>"29802021050908033680474"</f>
        <v>29802021050908033680474</v>
      </c>
      <c r="C3037" s="7" t="s">
        <v>23</v>
      </c>
      <c r="D3037" s="7" t="str">
        <f>"陈笔妍"</f>
        <v>陈笔妍</v>
      </c>
      <c r="E3037" s="7" t="str">
        <f t="shared" si="131"/>
        <v>女</v>
      </c>
    </row>
    <row r="3038" spans="1:5" ht="30" customHeight="1">
      <c r="A3038" s="6">
        <v>3036</v>
      </c>
      <c r="B3038" s="7" t="str">
        <f>"29802021050908035880476"</f>
        <v>29802021050908035880476</v>
      </c>
      <c r="C3038" s="7" t="s">
        <v>23</v>
      </c>
      <c r="D3038" s="7" t="str">
        <f>"盛国冰"</f>
        <v>盛国冰</v>
      </c>
      <c r="E3038" s="7" t="str">
        <f t="shared" si="131"/>
        <v>女</v>
      </c>
    </row>
    <row r="3039" spans="1:5" ht="30" customHeight="1">
      <c r="A3039" s="6">
        <v>3037</v>
      </c>
      <c r="B3039" s="7" t="str">
        <f>"29802021050908072080481"</f>
        <v>29802021050908072080481</v>
      </c>
      <c r="C3039" s="7" t="s">
        <v>23</v>
      </c>
      <c r="D3039" s="7" t="str">
        <f>"符文娟"</f>
        <v>符文娟</v>
      </c>
      <c r="E3039" s="7" t="str">
        <f t="shared" si="131"/>
        <v>女</v>
      </c>
    </row>
    <row r="3040" spans="1:5" ht="30" customHeight="1">
      <c r="A3040" s="6">
        <v>3038</v>
      </c>
      <c r="B3040" s="7" t="str">
        <f>"29802021050908085880484"</f>
        <v>29802021050908085880484</v>
      </c>
      <c r="C3040" s="7" t="s">
        <v>23</v>
      </c>
      <c r="D3040" s="7" t="str">
        <f>"余家莹"</f>
        <v>余家莹</v>
      </c>
      <c r="E3040" s="7" t="str">
        <f t="shared" si="131"/>
        <v>女</v>
      </c>
    </row>
    <row r="3041" spans="1:5" ht="30" customHeight="1">
      <c r="A3041" s="6">
        <v>3039</v>
      </c>
      <c r="B3041" s="7" t="str">
        <f>"29802021050908154080495"</f>
        <v>29802021050908154080495</v>
      </c>
      <c r="C3041" s="7" t="s">
        <v>23</v>
      </c>
      <c r="D3041" s="7" t="str">
        <f>"朱姑尾"</f>
        <v>朱姑尾</v>
      </c>
      <c r="E3041" s="7" t="str">
        <f t="shared" si="131"/>
        <v>女</v>
      </c>
    </row>
    <row r="3042" spans="1:5" ht="30" customHeight="1">
      <c r="A3042" s="6">
        <v>3040</v>
      </c>
      <c r="B3042" s="7" t="str">
        <f>"29802021050908155780498"</f>
        <v>29802021050908155780498</v>
      </c>
      <c r="C3042" s="7" t="s">
        <v>23</v>
      </c>
      <c r="D3042" s="7" t="str">
        <f>"吴平"</f>
        <v>吴平</v>
      </c>
      <c r="E3042" s="7" t="str">
        <f t="shared" si="131"/>
        <v>女</v>
      </c>
    </row>
    <row r="3043" spans="1:5" ht="30" customHeight="1">
      <c r="A3043" s="6">
        <v>3041</v>
      </c>
      <c r="B3043" s="7" t="str">
        <f>"29802021050908305780519"</f>
        <v>29802021050908305780519</v>
      </c>
      <c r="C3043" s="7" t="s">
        <v>23</v>
      </c>
      <c r="D3043" s="7" t="str">
        <f>"朱雅娜"</f>
        <v>朱雅娜</v>
      </c>
      <c r="E3043" s="7" t="str">
        <f t="shared" si="131"/>
        <v>女</v>
      </c>
    </row>
    <row r="3044" spans="1:5" ht="30" customHeight="1">
      <c r="A3044" s="6">
        <v>3042</v>
      </c>
      <c r="B3044" s="7" t="str">
        <f>"29802021050908450980536"</f>
        <v>29802021050908450980536</v>
      </c>
      <c r="C3044" s="7" t="s">
        <v>23</v>
      </c>
      <c r="D3044" s="7" t="str">
        <f>"李秋兑"</f>
        <v>李秋兑</v>
      </c>
      <c r="E3044" s="7" t="str">
        <f t="shared" si="131"/>
        <v>女</v>
      </c>
    </row>
    <row r="3045" spans="1:5" ht="30" customHeight="1">
      <c r="A3045" s="6">
        <v>3043</v>
      </c>
      <c r="B3045" s="7" t="str">
        <f>"29802021050908465480537"</f>
        <v>29802021050908465480537</v>
      </c>
      <c r="C3045" s="7" t="s">
        <v>23</v>
      </c>
      <c r="D3045" s="7" t="str">
        <f>"吴雪"</f>
        <v>吴雪</v>
      </c>
      <c r="E3045" s="7" t="str">
        <f t="shared" si="131"/>
        <v>女</v>
      </c>
    </row>
    <row r="3046" spans="1:5" ht="30" customHeight="1">
      <c r="A3046" s="6">
        <v>3044</v>
      </c>
      <c r="B3046" s="7" t="str">
        <f>"29802021050908574480549"</f>
        <v>29802021050908574480549</v>
      </c>
      <c r="C3046" s="7" t="s">
        <v>23</v>
      </c>
      <c r="D3046" s="7" t="str">
        <f>"刘莹莹"</f>
        <v>刘莹莹</v>
      </c>
      <c r="E3046" s="7" t="str">
        <f t="shared" si="131"/>
        <v>女</v>
      </c>
    </row>
    <row r="3047" spans="1:5" ht="30" customHeight="1">
      <c r="A3047" s="6">
        <v>3045</v>
      </c>
      <c r="B3047" s="7" t="str">
        <f>"29802021050909154380585"</f>
        <v>29802021050909154380585</v>
      </c>
      <c r="C3047" s="7" t="s">
        <v>23</v>
      </c>
      <c r="D3047" s="7" t="str">
        <f>"张新玲"</f>
        <v>张新玲</v>
      </c>
      <c r="E3047" s="7" t="str">
        <f t="shared" si="131"/>
        <v>女</v>
      </c>
    </row>
    <row r="3048" spans="1:5" ht="30" customHeight="1">
      <c r="A3048" s="6">
        <v>3046</v>
      </c>
      <c r="B3048" s="7" t="str">
        <f>"29802021050909300080606"</f>
        <v>29802021050909300080606</v>
      </c>
      <c r="C3048" s="7" t="s">
        <v>23</v>
      </c>
      <c r="D3048" s="7" t="str">
        <f>"陈雅琳"</f>
        <v>陈雅琳</v>
      </c>
      <c r="E3048" s="7" t="str">
        <f t="shared" si="131"/>
        <v>女</v>
      </c>
    </row>
    <row r="3049" spans="1:5" ht="30" customHeight="1">
      <c r="A3049" s="6">
        <v>3047</v>
      </c>
      <c r="B3049" s="7" t="str">
        <f>"29802021050909380580616"</f>
        <v>29802021050909380580616</v>
      </c>
      <c r="C3049" s="7" t="s">
        <v>23</v>
      </c>
      <c r="D3049" s="7" t="str">
        <f>"钟壮川"</f>
        <v>钟壮川</v>
      </c>
      <c r="E3049" s="7" t="str">
        <f t="shared" si="131"/>
        <v>女</v>
      </c>
    </row>
    <row r="3050" spans="1:5" ht="30" customHeight="1">
      <c r="A3050" s="6">
        <v>3048</v>
      </c>
      <c r="B3050" s="7" t="str">
        <f>"29802021050909423080630"</f>
        <v>29802021050909423080630</v>
      </c>
      <c r="C3050" s="7" t="s">
        <v>23</v>
      </c>
      <c r="D3050" s="7" t="str">
        <f>"黄丽琼"</f>
        <v>黄丽琼</v>
      </c>
      <c r="E3050" s="7" t="str">
        <f t="shared" si="131"/>
        <v>女</v>
      </c>
    </row>
    <row r="3051" spans="1:5" ht="30" customHeight="1">
      <c r="A3051" s="6">
        <v>3049</v>
      </c>
      <c r="B3051" s="7" t="str">
        <f>"29802021050909450680637"</f>
        <v>29802021050909450680637</v>
      </c>
      <c r="C3051" s="7" t="s">
        <v>23</v>
      </c>
      <c r="D3051" s="7" t="str">
        <f>"黄少丹"</f>
        <v>黄少丹</v>
      </c>
      <c r="E3051" s="7" t="str">
        <f t="shared" si="131"/>
        <v>女</v>
      </c>
    </row>
    <row r="3052" spans="1:5" ht="30" customHeight="1">
      <c r="A3052" s="6">
        <v>3050</v>
      </c>
      <c r="B3052" s="7" t="str">
        <f>"29802021050910005680674"</f>
        <v>29802021050910005680674</v>
      </c>
      <c r="C3052" s="7" t="s">
        <v>23</v>
      </c>
      <c r="D3052" s="7" t="str">
        <f>"陈慧芬"</f>
        <v>陈慧芬</v>
      </c>
      <c r="E3052" s="7" t="str">
        <f t="shared" si="131"/>
        <v>女</v>
      </c>
    </row>
    <row r="3053" spans="1:5" ht="30" customHeight="1">
      <c r="A3053" s="6">
        <v>3051</v>
      </c>
      <c r="B3053" s="7" t="str">
        <f>"29802021050910052980682"</f>
        <v>29802021050910052980682</v>
      </c>
      <c r="C3053" s="7" t="s">
        <v>23</v>
      </c>
      <c r="D3053" s="7" t="str">
        <f>"蒲芬"</f>
        <v>蒲芬</v>
      </c>
      <c r="E3053" s="7" t="str">
        <f t="shared" si="131"/>
        <v>女</v>
      </c>
    </row>
    <row r="3054" spans="1:5" ht="30" customHeight="1">
      <c r="A3054" s="6">
        <v>3052</v>
      </c>
      <c r="B3054" s="7" t="str">
        <f>"29802021050910074680692"</f>
        <v>29802021050910074680692</v>
      </c>
      <c r="C3054" s="7" t="s">
        <v>23</v>
      </c>
      <c r="D3054" s="7" t="str">
        <f>"黎秀尾"</f>
        <v>黎秀尾</v>
      </c>
      <c r="E3054" s="7" t="str">
        <f t="shared" si="131"/>
        <v>女</v>
      </c>
    </row>
    <row r="3055" spans="1:5" ht="30" customHeight="1">
      <c r="A3055" s="6">
        <v>3053</v>
      </c>
      <c r="B3055" s="7" t="str">
        <f>"29802021050910160580711"</f>
        <v>29802021050910160580711</v>
      </c>
      <c r="C3055" s="7" t="s">
        <v>23</v>
      </c>
      <c r="D3055" s="7" t="str">
        <f>"李钦"</f>
        <v>李钦</v>
      </c>
      <c r="E3055" s="7" t="str">
        <f t="shared" si="131"/>
        <v>女</v>
      </c>
    </row>
    <row r="3056" spans="1:5" ht="30" customHeight="1">
      <c r="A3056" s="6">
        <v>3054</v>
      </c>
      <c r="B3056" s="7" t="str">
        <f>"29802021050910165580712"</f>
        <v>29802021050910165580712</v>
      </c>
      <c r="C3056" s="7" t="s">
        <v>23</v>
      </c>
      <c r="D3056" s="7" t="str">
        <f>"范春婉"</f>
        <v>范春婉</v>
      </c>
      <c r="E3056" s="7" t="str">
        <f t="shared" si="131"/>
        <v>女</v>
      </c>
    </row>
    <row r="3057" spans="1:5" ht="30" customHeight="1">
      <c r="A3057" s="6">
        <v>3055</v>
      </c>
      <c r="B3057" s="7" t="str">
        <f>"29802021050910220380723"</f>
        <v>29802021050910220380723</v>
      </c>
      <c r="C3057" s="7" t="s">
        <v>23</v>
      </c>
      <c r="D3057" s="7" t="str">
        <f>"苏明霞"</f>
        <v>苏明霞</v>
      </c>
      <c r="E3057" s="7" t="str">
        <f t="shared" si="131"/>
        <v>女</v>
      </c>
    </row>
    <row r="3058" spans="1:5" ht="30" customHeight="1">
      <c r="A3058" s="6">
        <v>3056</v>
      </c>
      <c r="B3058" s="7" t="str">
        <f>"29802021050910230080726"</f>
        <v>29802021050910230080726</v>
      </c>
      <c r="C3058" s="7" t="s">
        <v>23</v>
      </c>
      <c r="D3058" s="7" t="str">
        <f>"王光凤"</f>
        <v>王光凤</v>
      </c>
      <c r="E3058" s="7" t="str">
        <f t="shared" si="131"/>
        <v>女</v>
      </c>
    </row>
    <row r="3059" spans="1:5" ht="30" customHeight="1">
      <c r="A3059" s="6">
        <v>3057</v>
      </c>
      <c r="B3059" s="7" t="str">
        <f>"29802021050910261380734"</f>
        <v>29802021050910261380734</v>
      </c>
      <c r="C3059" s="7" t="s">
        <v>23</v>
      </c>
      <c r="D3059" s="7" t="str">
        <f>"王迎"</f>
        <v>王迎</v>
      </c>
      <c r="E3059" s="7" t="str">
        <f t="shared" si="131"/>
        <v>女</v>
      </c>
    </row>
    <row r="3060" spans="1:5" ht="30" customHeight="1">
      <c r="A3060" s="6">
        <v>3058</v>
      </c>
      <c r="B3060" s="7" t="str">
        <f>"29802021050910541480790"</f>
        <v>29802021050910541480790</v>
      </c>
      <c r="C3060" s="7" t="s">
        <v>23</v>
      </c>
      <c r="D3060" s="7" t="str">
        <f>"符丽艳"</f>
        <v>符丽艳</v>
      </c>
      <c r="E3060" s="7" t="str">
        <f t="shared" si="131"/>
        <v>女</v>
      </c>
    </row>
    <row r="3061" spans="1:5" ht="30" customHeight="1">
      <c r="A3061" s="6">
        <v>3059</v>
      </c>
      <c r="B3061" s="7" t="str">
        <f>"29802021050911020580808"</f>
        <v>29802021050911020580808</v>
      </c>
      <c r="C3061" s="7" t="s">
        <v>23</v>
      </c>
      <c r="D3061" s="7" t="str">
        <f>"黄清清"</f>
        <v>黄清清</v>
      </c>
      <c r="E3061" s="7" t="str">
        <f t="shared" si="131"/>
        <v>女</v>
      </c>
    </row>
    <row r="3062" spans="1:5" ht="30" customHeight="1">
      <c r="A3062" s="6">
        <v>3060</v>
      </c>
      <c r="B3062" s="7" t="str">
        <f>"29802021050911073680818"</f>
        <v>29802021050911073680818</v>
      </c>
      <c r="C3062" s="7" t="s">
        <v>23</v>
      </c>
      <c r="D3062" s="7" t="str">
        <f>"梁小丽"</f>
        <v>梁小丽</v>
      </c>
      <c r="E3062" s="7" t="str">
        <f t="shared" si="131"/>
        <v>女</v>
      </c>
    </row>
    <row r="3063" spans="1:5" ht="30" customHeight="1">
      <c r="A3063" s="6">
        <v>3061</v>
      </c>
      <c r="B3063" s="7" t="str">
        <f>"29802021050911262680844"</f>
        <v>29802021050911262680844</v>
      </c>
      <c r="C3063" s="7" t="s">
        <v>23</v>
      </c>
      <c r="D3063" s="7" t="str">
        <f>"曾嫣"</f>
        <v>曾嫣</v>
      </c>
      <c r="E3063" s="7" t="str">
        <f t="shared" si="131"/>
        <v>女</v>
      </c>
    </row>
    <row r="3064" spans="1:5" ht="30" customHeight="1">
      <c r="A3064" s="6">
        <v>3062</v>
      </c>
      <c r="B3064" s="7" t="str">
        <f>"29802021050911332580857"</f>
        <v>29802021050911332580857</v>
      </c>
      <c r="C3064" s="7" t="s">
        <v>23</v>
      </c>
      <c r="D3064" s="7" t="str">
        <f>"罗方"</f>
        <v>罗方</v>
      </c>
      <c r="E3064" s="7" t="str">
        <f t="shared" si="131"/>
        <v>女</v>
      </c>
    </row>
    <row r="3065" spans="1:5" ht="30" customHeight="1">
      <c r="A3065" s="6">
        <v>3063</v>
      </c>
      <c r="B3065" s="7" t="str">
        <f>"29802021050911341080860"</f>
        <v>29802021050911341080860</v>
      </c>
      <c r="C3065" s="7" t="s">
        <v>23</v>
      </c>
      <c r="D3065" s="7" t="str">
        <f>"陈小珊"</f>
        <v>陈小珊</v>
      </c>
      <c r="E3065" s="7" t="str">
        <f t="shared" si="131"/>
        <v>女</v>
      </c>
    </row>
    <row r="3066" spans="1:5" ht="30" customHeight="1">
      <c r="A3066" s="6">
        <v>3064</v>
      </c>
      <c r="B3066" s="7" t="str">
        <f>"29802021050911373980867"</f>
        <v>29802021050911373980867</v>
      </c>
      <c r="C3066" s="7" t="s">
        <v>23</v>
      </c>
      <c r="D3066" s="7" t="str">
        <f>"符小珊"</f>
        <v>符小珊</v>
      </c>
      <c r="E3066" s="7" t="str">
        <f t="shared" si="131"/>
        <v>女</v>
      </c>
    </row>
    <row r="3067" spans="1:5" ht="30" customHeight="1">
      <c r="A3067" s="6">
        <v>3065</v>
      </c>
      <c r="B3067" s="7" t="str">
        <f>"29802021050911375380869"</f>
        <v>29802021050911375380869</v>
      </c>
      <c r="C3067" s="7" t="s">
        <v>23</v>
      </c>
      <c r="D3067" s="7" t="str">
        <f>"吴家丽"</f>
        <v>吴家丽</v>
      </c>
      <c r="E3067" s="7" t="str">
        <f t="shared" si="131"/>
        <v>女</v>
      </c>
    </row>
    <row r="3068" spans="1:5" ht="30" customHeight="1">
      <c r="A3068" s="6">
        <v>3066</v>
      </c>
      <c r="B3068" s="7" t="str">
        <f>"29802021050911483380894"</f>
        <v>29802021050911483380894</v>
      </c>
      <c r="C3068" s="7" t="s">
        <v>23</v>
      </c>
      <c r="D3068" s="7" t="str">
        <f>"文开卷"</f>
        <v>文开卷</v>
      </c>
      <c r="E3068" s="7" t="str">
        <f t="shared" si="131"/>
        <v>女</v>
      </c>
    </row>
    <row r="3069" spans="1:5" ht="30" customHeight="1">
      <c r="A3069" s="6">
        <v>3067</v>
      </c>
      <c r="B3069" s="7" t="str">
        <f>"29802021050912004980908"</f>
        <v>29802021050912004980908</v>
      </c>
      <c r="C3069" s="7" t="s">
        <v>23</v>
      </c>
      <c r="D3069" s="7" t="str">
        <f>"李朝英"</f>
        <v>李朝英</v>
      </c>
      <c r="E3069" s="7" t="str">
        <f t="shared" si="131"/>
        <v>女</v>
      </c>
    </row>
    <row r="3070" spans="1:5" ht="30" customHeight="1">
      <c r="A3070" s="6">
        <v>3068</v>
      </c>
      <c r="B3070" s="7" t="str">
        <f>"29802021050912100580923"</f>
        <v>29802021050912100580923</v>
      </c>
      <c r="C3070" s="7" t="s">
        <v>23</v>
      </c>
      <c r="D3070" s="7" t="str">
        <f>"苏虹虹"</f>
        <v>苏虹虹</v>
      </c>
      <c r="E3070" s="7" t="str">
        <f t="shared" si="131"/>
        <v>女</v>
      </c>
    </row>
    <row r="3071" spans="1:5" ht="30" customHeight="1">
      <c r="A3071" s="6">
        <v>3069</v>
      </c>
      <c r="B3071" s="7" t="str">
        <f>"29802021050912165680935"</f>
        <v>29802021050912165680935</v>
      </c>
      <c r="C3071" s="7" t="s">
        <v>23</v>
      </c>
      <c r="D3071" s="7" t="str">
        <f>"魏雅兰"</f>
        <v>魏雅兰</v>
      </c>
      <c r="E3071" s="7" t="str">
        <f t="shared" si="131"/>
        <v>女</v>
      </c>
    </row>
    <row r="3072" spans="1:5" ht="30" customHeight="1">
      <c r="A3072" s="6">
        <v>3070</v>
      </c>
      <c r="B3072" s="7" t="str">
        <f>"29802021050912202980936"</f>
        <v>29802021050912202980936</v>
      </c>
      <c r="C3072" s="7" t="s">
        <v>23</v>
      </c>
      <c r="D3072" s="7" t="str">
        <f>"王秋霞"</f>
        <v>王秋霞</v>
      </c>
      <c r="E3072" s="7" t="str">
        <f t="shared" si="131"/>
        <v>女</v>
      </c>
    </row>
    <row r="3073" spans="1:5" ht="30" customHeight="1">
      <c r="A3073" s="6">
        <v>3071</v>
      </c>
      <c r="B3073" s="7" t="str">
        <f>"29802021050912340180954"</f>
        <v>29802021050912340180954</v>
      </c>
      <c r="C3073" s="7" t="s">
        <v>23</v>
      </c>
      <c r="D3073" s="7" t="str">
        <f>"符夏"</f>
        <v>符夏</v>
      </c>
      <c r="E3073" s="7" t="str">
        <f t="shared" si="131"/>
        <v>女</v>
      </c>
    </row>
    <row r="3074" spans="1:5" ht="30" customHeight="1">
      <c r="A3074" s="6">
        <v>3072</v>
      </c>
      <c r="B3074" s="7" t="str">
        <f>"29802021050912492880984"</f>
        <v>29802021050912492880984</v>
      </c>
      <c r="C3074" s="7" t="s">
        <v>23</v>
      </c>
      <c r="D3074" s="7" t="str">
        <f>"李少妮"</f>
        <v>李少妮</v>
      </c>
      <c r="E3074" s="7" t="str">
        <f t="shared" si="131"/>
        <v>女</v>
      </c>
    </row>
    <row r="3075" spans="1:5" ht="30" customHeight="1">
      <c r="A3075" s="6">
        <v>3073</v>
      </c>
      <c r="B3075" s="7" t="str">
        <f>"29802021050912535980993"</f>
        <v>29802021050912535980993</v>
      </c>
      <c r="C3075" s="7" t="s">
        <v>23</v>
      </c>
      <c r="D3075" s="7" t="str">
        <f>"陈月玲"</f>
        <v>陈月玲</v>
      </c>
      <c r="E3075" s="7" t="str">
        <f t="shared" si="131"/>
        <v>女</v>
      </c>
    </row>
    <row r="3076" spans="1:5" ht="30" customHeight="1">
      <c r="A3076" s="6">
        <v>3074</v>
      </c>
      <c r="B3076" s="7" t="str">
        <f>"29802021050912581581002"</f>
        <v>29802021050912581581002</v>
      </c>
      <c r="C3076" s="7" t="s">
        <v>23</v>
      </c>
      <c r="D3076" s="7" t="str">
        <f>"汤丽彬"</f>
        <v>汤丽彬</v>
      </c>
      <c r="E3076" s="7" t="str">
        <f t="shared" si="131"/>
        <v>女</v>
      </c>
    </row>
    <row r="3077" spans="1:5" ht="30" customHeight="1">
      <c r="A3077" s="6">
        <v>3075</v>
      </c>
      <c r="B3077" s="7" t="str">
        <f>"29802021050912591281005"</f>
        <v>29802021050912591281005</v>
      </c>
      <c r="C3077" s="7" t="s">
        <v>23</v>
      </c>
      <c r="D3077" s="7" t="str">
        <f>"王小敏"</f>
        <v>王小敏</v>
      </c>
      <c r="E3077" s="7" t="str">
        <f t="shared" si="131"/>
        <v>女</v>
      </c>
    </row>
    <row r="3078" spans="1:5" ht="30" customHeight="1">
      <c r="A3078" s="6">
        <v>3076</v>
      </c>
      <c r="B3078" s="7" t="str">
        <f>"29802021050913084181016"</f>
        <v>29802021050913084181016</v>
      </c>
      <c r="C3078" s="7" t="s">
        <v>23</v>
      </c>
      <c r="D3078" s="7" t="str">
        <f>"吴美粮"</f>
        <v>吴美粮</v>
      </c>
      <c r="E3078" s="7" t="str">
        <f t="shared" si="131"/>
        <v>女</v>
      </c>
    </row>
    <row r="3079" spans="1:5" ht="30" customHeight="1">
      <c r="A3079" s="6">
        <v>3077</v>
      </c>
      <c r="B3079" s="7" t="str">
        <f>"29802021050913213481035"</f>
        <v>29802021050913213481035</v>
      </c>
      <c r="C3079" s="7" t="s">
        <v>23</v>
      </c>
      <c r="D3079" s="7" t="str">
        <f>"林雪"</f>
        <v>林雪</v>
      </c>
      <c r="E3079" s="7" t="str">
        <f t="shared" si="131"/>
        <v>女</v>
      </c>
    </row>
    <row r="3080" spans="1:5" ht="30" customHeight="1">
      <c r="A3080" s="6">
        <v>3078</v>
      </c>
      <c r="B3080" s="7" t="str">
        <f>"29802021050913222081037"</f>
        <v>29802021050913222081037</v>
      </c>
      <c r="C3080" s="7" t="s">
        <v>23</v>
      </c>
      <c r="D3080" s="7" t="str">
        <f>"李会菱"</f>
        <v>李会菱</v>
      </c>
      <c r="E3080" s="7" t="str">
        <f t="shared" si="131"/>
        <v>女</v>
      </c>
    </row>
    <row r="3081" spans="1:5" ht="30" customHeight="1">
      <c r="A3081" s="6">
        <v>3079</v>
      </c>
      <c r="B3081" s="7" t="str">
        <f>"29802021050913241381039"</f>
        <v>29802021050913241381039</v>
      </c>
      <c r="C3081" s="7" t="s">
        <v>23</v>
      </c>
      <c r="D3081" s="7" t="str">
        <f>"蒋海香"</f>
        <v>蒋海香</v>
      </c>
      <c r="E3081" s="7" t="str">
        <f t="shared" si="131"/>
        <v>女</v>
      </c>
    </row>
    <row r="3082" spans="1:5" ht="30" customHeight="1">
      <c r="A3082" s="6">
        <v>3080</v>
      </c>
      <c r="B3082" s="7" t="str">
        <f>"29802021050913260881043"</f>
        <v>29802021050913260881043</v>
      </c>
      <c r="C3082" s="7" t="s">
        <v>23</v>
      </c>
      <c r="D3082" s="7" t="str">
        <f>"符爱芳"</f>
        <v>符爱芳</v>
      </c>
      <c r="E3082" s="7" t="str">
        <f t="shared" si="131"/>
        <v>女</v>
      </c>
    </row>
    <row r="3083" spans="1:5" ht="30" customHeight="1">
      <c r="A3083" s="6">
        <v>3081</v>
      </c>
      <c r="B3083" s="7" t="str">
        <f>"29802021050913295181051"</f>
        <v>29802021050913295181051</v>
      </c>
      <c r="C3083" s="7" t="s">
        <v>23</v>
      </c>
      <c r="D3083" s="7" t="str">
        <f>"王玉婷"</f>
        <v>王玉婷</v>
      </c>
      <c r="E3083" s="7" t="str">
        <f t="shared" si="131"/>
        <v>女</v>
      </c>
    </row>
    <row r="3084" spans="1:5" ht="30" customHeight="1">
      <c r="A3084" s="6">
        <v>3082</v>
      </c>
      <c r="B3084" s="7" t="str">
        <f>"29802021050913344481058"</f>
        <v>29802021050913344481058</v>
      </c>
      <c r="C3084" s="7" t="s">
        <v>23</v>
      </c>
      <c r="D3084" s="7" t="str">
        <f>"覃燕飞"</f>
        <v>覃燕飞</v>
      </c>
      <c r="E3084" s="7" t="str">
        <f t="shared" si="131"/>
        <v>女</v>
      </c>
    </row>
    <row r="3085" spans="1:5" ht="30" customHeight="1">
      <c r="A3085" s="6">
        <v>3083</v>
      </c>
      <c r="B3085" s="7" t="str">
        <f>"29802021050913362081060"</f>
        <v>29802021050913362081060</v>
      </c>
      <c r="C3085" s="7" t="s">
        <v>23</v>
      </c>
      <c r="D3085" s="7" t="str">
        <f>"毛婷"</f>
        <v>毛婷</v>
      </c>
      <c r="E3085" s="7" t="str">
        <f t="shared" si="131"/>
        <v>女</v>
      </c>
    </row>
    <row r="3086" spans="1:5" ht="30" customHeight="1">
      <c r="A3086" s="6">
        <v>3084</v>
      </c>
      <c r="B3086" s="7" t="str">
        <f>"29802021050913403481065"</f>
        <v>29802021050913403481065</v>
      </c>
      <c r="C3086" s="7" t="s">
        <v>23</v>
      </c>
      <c r="D3086" s="7" t="str">
        <f>"林丽团"</f>
        <v>林丽团</v>
      </c>
      <c r="E3086" s="7" t="str">
        <f t="shared" si="131"/>
        <v>女</v>
      </c>
    </row>
    <row r="3087" spans="1:5" ht="30" customHeight="1">
      <c r="A3087" s="6">
        <v>3085</v>
      </c>
      <c r="B3087" s="7" t="str">
        <f>"29802021050913470281072"</f>
        <v>29802021050913470281072</v>
      </c>
      <c r="C3087" s="7" t="s">
        <v>23</v>
      </c>
      <c r="D3087" s="7" t="str">
        <f>"曾庆美"</f>
        <v>曾庆美</v>
      </c>
      <c r="E3087" s="7" t="str">
        <f t="shared" si="131"/>
        <v>女</v>
      </c>
    </row>
    <row r="3088" spans="1:5" ht="30" customHeight="1">
      <c r="A3088" s="6">
        <v>3086</v>
      </c>
      <c r="B3088" s="7" t="str">
        <f>"29802021050914162881113"</f>
        <v>29802021050914162881113</v>
      </c>
      <c r="C3088" s="7" t="s">
        <v>23</v>
      </c>
      <c r="D3088" s="7" t="str">
        <f>"曾孟婷"</f>
        <v>曾孟婷</v>
      </c>
      <c r="E3088" s="7" t="str">
        <f t="shared" si="131"/>
        <v>女</v>
      </c>
    </row>
    <row r="3089" spans="1:5" ht="30" customHeight="1">
      <c r="A3089" s="6">
        <v>3087</v>
      </c>
      <c r="B3089" s="7" t="str">
        <f>"29802021050914235281122"</f>
        <v>29802021050914235281122</v>
      </c>
      <c r="C3089" s="7" t="s">
        <v>23</v>
      </c>
      <c r="D3089" s="7" t="str">
        <f>"谢艳芬"</f>
        <v>谢艳芬</v>
      </c>
      <c r="E3089" s="7" t="str">
        <f t="shared" si="131"/>
        <v>女</v>
      </c>
    </row>
    <row r="3090" spans="1:5" ht="30" customHeight="1">
      <c r="A3090" s="6">
        <v>3088</v>
      </c>
      <c r="B3090" s="7" t="str">
        <f>"29802021050914450281151"</f>
        <v>29802021050914450281151</v>
      </c>
      <c r="C3090" s="7" t="s">
        <v>23</v>
      </c>
      <c r="D3090" s="7" t="str">
        <f>"邹玲雨"</f>
        <v>邹玲雨</v>
      </c>
      <c r="E3090" s="7" t="str">
        <f t="shared" si="131"/>
        <v>女</v>
      </c>
    </row>
    <row r="3091" spans="1:5" ht="30" customHeight="1">
      <c r="A3091" s="6">
        <v>3089</v>
      </c>
      <c r="B3091" s="7" t="str">
        <f>"29802021050914494981161"</f>
        <v>29802021050914494981161</v>
      </c>
      <c r="C3091" s="7" t="s">
        <v>23</v>
      </c>
      <c r="D3091" s="7" t="str">
        <f>"王琼香"</f>
        <v>王琼香</v>
      </c>
      <c r="E3091" s="7" t="str">
        <f t="shared" si="131"/>
        <v>女</v>
      </c>
    </row>
    <row r="3092" spans="1:5" ht="30" customHeight="1">
      <c r="A3092" s="6">
        <v>3090</v>
      </c>
      <c r="B3092" s="7" t="str">
        <f>"29802021050915094581192"</f>
        <v>29802021050915094581192</v>
      </c>
      <c r="C3092" s="7" t="s">
        <v>23</v>
      </c>
      <c r="D3092" s="7" t="str">
        <f>"张春宜"</f>
        <v>张春宜</v>
      </c>
      <c r="E3092" s="7" t="str">
        <f aca="true" t="shared" si="132" ref="E3092:E3154">"女"</f>
        <v>女</v>
      </c>
    </row>
    <row r="3093" spans="1:5" ht="30" customHeight="1">
      <c r="A3093" s="6">
        <v>3091</v>
      </c>
      <c r="B3093" s="7" t="str">
        <f>"29802021050915110381193"</f>
        <v>29802021050915110381193</v>
      </c>
      <c r="C3093" s="7" t="s">
        <v>23</v>
      </c>
      <c r="D3093" s="7" t="str">
        <f>"黄紫金"</f>
        <v>黄紫金</v>
      </c>
      <c r="E3093" s="7" t="str">
        <f t="shared" si="132"/>
        <v>女</v>
      </c>
    </row>
    <row r="3094" spans="1:5" ht="30" customHeight="1">
      <c r="A3094" s="6">
        <v>3092</v>
      </c>
      <c r="B3094" s="7" t="str">
        <f>"29802021050915250981208"</f>
        <v>29802021050915250981208</v>
      </c>
      <c r="C3094" s="7" t="s">
        <v>23</v>
      </c>
      <c r="D3094" s="7" t="str">
        <f>"符诗雅"</f>
        <v>符诗雅</v>
      </c>
      <c r="E3094" s="7" t="str">
        <f t="shared" si="132"/>
        <v>女</v>
      </c>
    </row>
    <row r="3095" spans="1:5" ht="30" customHeight="1">
      <c r="A3095" s="6">
        <v>3093</v>
      </c>
      <c r="B3095" s="7" t="str">
        <f>"29802021050915353981228"</f>
        <v>29802021050915353981228</v>
      </c>
      <c r="C3095" s="7" t="s">
        <v>23</v>
      </c>
      <c r="D3095" s="7" t="str">
        <f>"唐小妹"</f>
        <v>唐小妹</v>
      </c>
      <c r="E3095" s="7" t="str">
        <f t="shared" si="132"/>
        <v>女</v>
      </c>
    </row>
    <row r="3096" spans="1:5" ht="30" customHeight="1">
      <c r="A3096" s="6">
        <v>3094</v>
      </c>
      <c r="B3096" s="7" t="str">
        <f>"29802021050915412381241"</f>
        <v>29802021050915412381241</v>
      </c>
      <c r="C3096" s="7" t="s">
        <v>23</v>
      </c>
      <c r="D3096" s="7" t="str">
        <f>"李庚芯"</f>
        <v>李庚芯</v>
      </c>
      <c r="E3096" s="7" t="str">
        <f t="shared" si="132"/>
        <v>女</v>
      </c>
    </row>
    <row r="3097" spans="1:5" ht="30" customHeight="1">
      <c r="A3097" s="6">
        <v>3095</v>
      </c>
      <c r="B3097" s="7" t="str">
        <f>"29802021050915412681243"</f>
        <v>29802021050915412681243</v>
      </c>
      <c r="C3097" s="7" t="s">
        <v>23</v>
      </c>
      <c r="D3097" s="7" t="str">
        <f>"梁育优"</f>
        <v>梁育优</v>
      </c>
      <c r="E3097" s="7" t="str">
        <f t="shared" si="132"/>
        <v>女</v>
      </c>
    </row>
    <row r="3098" spans="1:5" ht="30" customHeight="1">
      <c r="A3098" s="6">
        <v>3096</v>
      </c>
      <c r="B3098" s="7" t="str">
        <f>"29802021050915502681258"</f>
        <v>29802021050915502681258</v>
      </c>
      <c r="C3098" s="7" t="s">
        <v>23</v>
      </c>
      <c r="D3098" s="7" t="str">
        <f>"蔡婉婷"</f>
        <v>蔡婉婷</v>
      </c>
      <c r="E3098" s="7" t="str">
        <f t="shared" si="132"/>
        <v>女</v>
      </c>
    </row>
    <row r="3099" spans="1:5" ht="30" customHeight="1">
      <c r="A3099" s="6">
        <v>3097</v>
      </c>
      <c r="B3099" s="7" t="str">
        <f>"29802021050915505181259"</f>
        <v>29802021050915505181259</v>
      </c>
      <c r="C3099" s="7" t="s">
        <v>23</v>
      </c>
      <c r="D3099" s="7" t="str">
        <f>"苏巧智"</f>
        <v>苏巧智</v>
      </c>
      <c r="E3099" s="7" t="str">
        <f t="shared" si="132"/>
        <v>女</v>
      </c>
    </row>
    <row r="3100" spans="1:5" ht="30" customHeight="1">
      <c r="A3100" s="6">
        <v>3098</v>
      </c>
      <c r="B3100" s="7" t="str">
        <f>"29802021050916005981279"</f>
        <v>29802021050916005981279</v>
      </c>
      <c r="C3100" s="7" t="s">
        <v>23</v>
      </c>
      <c r="D3100" s="7" t="str">
        <f>"郑雅云"</f>
        <v>郑雅云</v>
      </c>
      <c r="E3100" s="7" t="str">
        <f t="shared" si="132"/>
        <v>女</v>
      </c>
    </row>
    <row r="3101" spans="1:5" ht="30" customHeight="1">
      <c r="A3101" s="6">
        <v>3099</v>
      </c>
      <c r="B3101" s="7" t="str">
        <f>"29802021050916013881282"</f>
        <v>29802021050916013881282</v>
      </c>
      <c r="C3101" s="7" t="s">
        <v>23</v>
      </c>
      <c r="D3101" s="7" t="str">
        <f>"孙如新"</f>
        <v>孙如新</v>
      </c>
      <c r="E3101" s="7" t="str">
        <f t="shared" si="132"/>
        <v>女</v>
      </c>
    </row>
    <row r="3102" spans="1:5" ht="30" customHeight="1">
      <c r="A3102" s="6">
        <v>3100</v>
      </c>
      <c r="B3102" s="7" t="str">
        <f>"29802021050916050681289"</f>
        <v>29802021050916050681289</v>
      </c>
      <c r="C3102" s="7" t="s">
        <v>23</v>
      </c>
      <c r="D3102" s="7" t="str">
        <f>"李有川"</f>
        <v>李有川</v>
      </c>
      <c r="E3102" s="7" t="str">
        <f t="shared" si="132"/>
        <v>女</v>
      </c>
    </row>
    <row r="3103" spans="1:5" ht="30" customHeight="1">
      <c r="A3103" s="6">
        <v>3101</v>
      </c>
      <c r="B3103" s="7" t="str">
        <f>"29802021050916145881308"</f>
        <v>29802021050916145881308</v>
      </c>
      <c r="C3103" s="7" t="s">
        <v>23</v>
      </c>
      <c r="D3103" s="7" t="str">
        <f>"符芳妮"</f>
        <v>符芳妮</v>
      </c>
      <c r="E3103" s="7" t="str">
        <f t="shared" si="132"/>
        <v>女</v>
      </c>
    </row>
    <row r="3104" spans="1:5" ht="30" customHeight="1">
      <c r="A3104" s="6">
        <v>3102</v>
      </c>
      <c r="B3104" s="7" t="str">
        <f>"29802021050916314081342"</f>
        <v>29802021050916314081342</v>
      </c>
      <c r="C3104" s="7" t="s">
        <v>23</v>
      </c>
      <c r="D3104" s="7" t="str">
        <f>"吴益转"</f>
        <v>吴益转</v>
      </c>
      <c r="E3104" s="7" t="str">
        <f t="shared" si="132"/>
        <v>女</v>
      </c>
    </row>
    <row r="3105" spans="1:5" ht="30" customHeight="1">
      <c r="A3105" s="6">
        <v>3103</v>
      </c>
      <c r="B3105" s="7" t="str">
        <f>"29802021050916335481348"</f>
        <v>29802021050916335481348</v>
      </c>
      <c r="C3105" s="7" t="s">
        <v>23</v>
      </c>
      <c r="D3105" s="7" t="str">
        <f>"符喜梅"</f>
        <v>符喜梅</v>
      </c>
      <c r="E3105" s="7" t="str">
        <f t="shared" si="132"/>
        <v>女</v>
      </c>
    </row>
    <row r="3106" spans="1:5" ht="30" customHeight="1">
      <c r="A3106" s="6">
        <v>3104</v>
      </c>
      <c r="B3106" s="7" t="str">
        <f>"29802021050916340281350"</f>
        <v>29802021050916340281350</v>
      </c>
      <c r="C3106" s="7" t="s">
        <v>23</v>
      </c>
      <c r="D3106" s="7" t="str">
        <f>"朱建美"</f>
        <v>朱建美</v>
      </c>
      <c r="E3106" s="7" t="str">
        <f t="shared" si="132"/>
        <v>女</v>
      </c>
    </row>
    <row r="3107" spans="1:5" ht="30" customHeight="1">
      <c r="A3107" s="6">
        <v>3105</v>
      </c>
      <c r="B3107" s="7" t="str">
        <f>"29802021050916420381366"</f>
        <v>29802021050916420381366</v>
      </c>
      <c r="C3107" s="7" t="s">
        <v>23</v>
      </c>
      <c r="D3107" s="7" t="str">
        <f>"郑幸羊"</f>
        <v>郑幸羊</v>
      </c>
      <c r="E3107" s="7" t="str">
        <f t="shared" si="132"/>
        <v>女</v>
      </c>
    </row>
    <row r="3108" spans="1:5" ht="30" customHeight="1">
      <c r="A3108" s="6">
        <v>3106</v>
      </c>
      <c r="B3108" s="7" t="str">
        <f>"29802021050916422881368"</f>
        <v>29802021050916422881368</v>
      </c>
      <c r="C3108" s="7" t="s">
        <v>23</v>
      </c>
      <c r="D3108" s="7" t="str">
        <f>"黄秀娴"</f>
        <v>黄秀娴</v>
      </c>
      <c r="E3108" s="7" t="str">
        <f t="shared" si="132"/>
        <v>女</v>
      </c>
    </row>
    <row r="3109" spans="1:5" ht="30" customHeight="1">
      <c r="A3109" s="6">
        <v>3107</v>
      </c>
      <c r="B3109" s="7" t="str">
        <f>"29802021050917150281436"</f>
        <v>29802021050917150281436</v>
      </c>
      <c r="C3109" s="7" t="s">
        <v>23</v>
      </c>
      <c r="D3109" s="7" t="str">
        <f>"邱超"</f>
        <v>邱超</v>
      </c>
      <c r="E3109" s="7" t="str">
        <f t="shared" si="132"/>
        <v>女</v>
      </c>
    </row>
    <row r="3110" spans="1:5" ht="30" customHeight="1">
      <c r="A3110" s="6">
        <v>3108</v>
      </c>
      <c r="B3110" s="7" t="str">
        <f>"29802021050917181281445"</f>
        <v>29802021050917181281445</v>
      </c>
      <c r="C3110" s="7" t="s">
        <v>23</v>
      </c>
      <c r="D3110" s="7" t="str">
        <f>"谢桃玉"</f>
        <v>谢桃玉</v>
      </c>
      <c r="E3110" s="7" t="str">
        <f t="shared" si="132"/>
        <v>女</v>
      </c>
    </row>
    <row r="3111" spans="1:5" ht="30" customHeight="1">
      <c r="A3111" s="6">
        <v>3109</v>
      </c>
      <c r="B3111" s="7" t="str">
        <f>"29802021050917184081446"</f>
        <v>29802021050917184081446</v>
      </c>
      <c r="C3111" s="7" t="s">
        <v>23</v>
      </c>
      <c r="D3111" s="7" t="str">
        <f>"李小芳"</f>
        <v>李小芳</v>
      </c>
      <c r="E3111" s="7" t="str">
        <f t="shared" si="132"/>
        <v>女</v>
      </c>
    </row>
    <row r="3112" spans="1:5" ht="30" customHeight="1">
      <c r="A3112" s="6">
        <v>3110</v>
      </c>
      <c r="B3112" s="7" t="str">
        <f>"29802021050917213681454"</f>
        <v>29802021050917213681454</v>
      </c>
      <c r="C3112" s="7" t="s">
        <v>23</v>
      </c>
      <c r="D3112" s="7" t="str">
        <f>"陈茵"</f>
        <v>陈茵</v>
      </c>
      <c r="E3112" s="7" t="str">
        <f t="shared" si="132"/>
        <v>女</v>
      </c>
    </row>
    <row r="3113" spans="1:5" ht="30" customHeight="1">
      <c r="A3113" s="6">
        <v>3111</v>
      </c>
      <c r="B3113" s="7" t="str">
        <f>"29802021050917263081469"</f>
        <v>29802021050917263081469</v>
      </c>
      <c r="C3113" s="7" t="s">
        <v>23</v>
      </c>
      <c r="D3113" s="7" t="str">
        <f>"谭港台"</f>
        <v>谭港台</v>
      </c>
      <c r="E3113" s="7" t="str">
        <f t="shared" si="132"/>
        <v>女</v>
      </c>
    </row>
    <row r="3114" spans="1:5" ht="30" customHeight="1">
      <c r="A3114" s="6">
        <v>3112</v>
      </c>
      <c r="B3114" s="7" t="str">
        <f>"29802021050917413581507"</f>
        <v>29802021050917413581507</v>
      </c>
      <c r="C3114" s="7" t="s">
        <v>23</v>
      </c>
      <c r="D3114" s="7" t="str">
        <f>"陈海轻"</f>
        <v>陈海轻</v>
      </c>
      <c r="E3114" s="7" t="str">
        <f t="shared" si="132"/>
        <v>女</v>
      </c>
    </row>
    <row r="3115" spans="1:5" ht="30" customHeight="1">
      <c r="A3115" s="6">
        <v>3113</v>
      </c>
      <c r="B3115" s="7" t="str">
        <f>"29802021050917553681532"</f>
        <v>29802021050917553681532</v>
      </c>
      <c r="C3115" s="7" t="s">
        <v>23</v>
      </c>
      <c r="D3115" s="7" t="str">
        <f>"张石恩&amp;#8194;"</f>
        <v>张石恩&amp;#8194;</v>
      </c>
      <c r="E3115" s="7" t="str">
        <f t="shared" si="132"/>
        <v>女</v>
      </c>
    </row>
    <row r="3116" spans="1:5" ht="30" customHeight="1">
      <c r="A3116" s="6">
        <v>3114</v>
      </c>
      <c r="B3116" s="7" t="str">
        <f>"29802021050918042181550"</f>
        <v>29802021050918042181550</v>
      </c>
      <c r="C3116" s="7" t="s">
        <v>23</v>
      </c>
      <c r="D3116" s="7" t="str">
        <f>"骆秀川"</f>
        <v>骆秀川</v>
      </c>
      <c r="E3116" s="7" t="str">
        <f t="shared" si="132"/>
        <v>女</v>
      </c>
    </row>
    <row r="3117" spans="1:5" ht="30" customHeight="1">
      <c r="A3117" s="6">
        <v>3115</v>
      </c>
      <c r="B3117" s="7" t="str">
        <f>"29802021050918094281556"</f>
        <v>29802021050918094281556</v>
      </c>
      <c r="C3117" s="7" t="s">
        <v>23</v>
      </c>
      <c r="D3117" s="7" t="str">
        <f>"李明霞"</f>
        <v>李明霞</v>
      </c>
      <c r="E3117" s="7" t="str">
        <f t="shared" si="132"/>
        <v>女</v>
      </c>
    </row>
    <row r="3118" spans="1:5" ht="30" customHeight="1">
      <c r="A3118" s="6">
        <v>3116</v>
      </c>
      <c r="B3118" s="7" t="str">
        <f>"29802021050918115881562"</f>
        <v>29802021050918115881562</v>
      </c>
      <c r="C3118" s="7" t="s">
        <v>23</v>
      </c>
      <c r="D3118" s="7" t="str">
        <f>"钟海滨"</f>
        <v>钟海滨</v>
      </c>
      <c r="E3118" s="7" t="str">
        <f t="shared" si="132"/>
        <v>女</v>
      </c>
    </row>
    <row r="3119" spans="1:5" ht="30" customHeight="1">
      <c r="A3119" s="6">
        <v>3117</v>
      </c>
      <c r="B3119" s="7" t="str">
        <f>"29802021050918155281571"</f>
        <v>29802021050918155281571</v>
      </c>
      <c r="C3119" s="7" t="s">
        <v>23</v>
      </c>
      <c r="D3119" s="7" t="str">
        <f>"孙芸"</f>
        <v>孙芸</v>
      </c>
      <c r="E3119" s="7" t="str">
        <f t="shared" si="132"/>
        <v>女</v>
      </c>
    </row>
    <row r="3120" spans="1:5" ht="30" customHeight="1">
      <c r="A3120" s="6">
        <v>3118</v>
      </c>
      <c r="B3120" s="7" t="str">
        <f>"29802021050918231381583"</f>
        <v>29802021050918231381583</v>
      </c>
      <c r="C3120" s="7" t="s">
        <v>23</v>
      </c>
      <c r="D3120" s="7" t="str">
        <f>"陈玉珍"</f>
        <v>陈玉珍</v>
      </c>
      <c r="E3120" s="7" t="str">
        <f t="shared" si="132"/>
        <v>女</v>
      </c>
    </row>
    <row r="3121" spans="1:5" ht="30" customHeight="1">
      <c r="A3121" s="6">
        <v>3119</v>
      </c>
      <c r="B3121" s="7" t="str">
        <f>"29802021050918264381589"</f>
        <v>29802021050918264381589</v>
      </c>
      <c r="C3121" s="7" t="s">
        <v>23</v>
      </c>
      <c r="D3121" s="7" t="str">
        <f>"甘玉"</f>
        <v>甘玉</v>
      </c>
      <c r="E3121" s="7" t="str">
        <f t="shared" si="132"/>
        <v>女</v>
      </c>
    </row>
    <row r="3122" spans="1:5" ht="30" customHeight="1">
      <c r="A3122" s="6">
        <v>3120</v>
      </c>
      <c r="B3122" s="7" t="str">
        <f>"29802021050918283081592"</f>
        <v>29802021050918283081592</v>
      </c>
      <c r="C3122" s="7" t="s">
        <v>23</v>
      </c>
      <c r="D3122" s="7" t="str">
        <f>"谢国川"</f>
        <v>谢国川</v>
      </c>
      <c r="E3122" s="7" t="str">
        <f t="shared" si="132"/>
        <v>女</v>
      </c>
    </row>
    <row r="3123" spans="1:5" ht="30" customHeight="1">
      <c r="A3123" s="6">
        <v>3121</v>
      </c>
      <c r="B3123" s="7" t="str">
        <f>"29802021050918340581601"</f>
        <v>29802021050918340581601</v>
      </c>
      <c r="C3123" s="7" t="s">
        <v>23</v>
      </c>
      <c r="D3123" s="7" t="str">
        <f>"李林娟"</f>
        <v>李林娟</v>
      </c>
      <c r="E3123" s="7" t="str">
        <f t="shared" si="132"/>
        <v>女</v>
      </c>
    </row>
    <row r="3124" spans="1:5" ht="30" customHeight="1">
      <c r="A3124" s="6">
        <v>3122</v>
      </c>
      <c r="B3124" s="7" t="str">
        <f>"29802021050918342281602"</f>
        <v>29802021050918342281602</v>
      </c>
      <c r="C3124" s="7" t="s">
        <v>23</v>
      </c>
      <c r="D3124" s="7" t="str">
        <f>"陈天宇"</f>
        <v>陈天宇</v>
      </c>
      <c r="E3124" s="7" t="str">
        <f t="shared" si="132"/>
        <v>女</v>
      </c>
    </row>
    <row r="3125" spans="1:5" ht="30" customHeight="1">
      <c r="A3125" s="6">
        <v>3123</v>
      </c>
      <c r="B3125" s="7" t="str">
        <f>"29802021050918395881611"</f>
        <v>29802021050918395881611</v>
      </c>
      <c r="C3125" s="7" t="s">
        <v>23</v>
      </c>
      <c r="D3125" s="7" t="str">
        <f>"何淑精"</f>
        <v>何淑精</v>
      </c>
      <c r="E3125" s="7" t="str">
        <f t="shared" si="132"/>
        <v>女</v>
      </c>
    </row>
    <row r="3126" spans="1:5" ht="30" customHeight="1">
      <c r="A3126" s="6">
        <v>3124</v>
      </c>
      <c r="B3126" s="7" t="str">
        <f>"29802021050918450981626"</f>
        <v>29802021050918450981626</v>
      </c>
      <c r="C3126" s="7" t="s">
        <v>23</v>
      </c>
      <c r="D3126" s="7" t="str">
        <f>"吴雪娟"</f>
        <v>吴雪娟</v>
      </c>
      <c r="E3126" s="7" t="str">
        <f t="shared" si="132"/>
        <v>女</v>
      </c>
    </row>
    <row r="3127" spans="1:5" ht="30" customHeight="1">
      <c r="A3127" s="6">
        <v>3125</v>
      </c>
      <c r="B3127" s="7" t="str">
        <f>"29802021050918452581627"</f>
        <v>29802021050918452581627</v>
      </c>
      <c r="C3127" s="7" t="s">
        <v>23</v>
      </c>
      <c r="D3127" s="7" t="str">
        <f>"张志霞"</f>
        <v>张志霞</v>
      </c>
      <c r="E3127" s="7" t="str">
        <f t="shared" si="132"/>
        <v>女</v>
      </c>
    </row>
    <row r="3128" spans="1:5" ht="30" customHeight="1">
      <c r="A3128" s="6">
        <v>3126</v>
      </c>
      <c r="B3128" s="7" t="str">
        <f>"29802021050919021581662"</f>
        <v>29802021050919021581662</v>
      </c>
      <c r="C3128" s="7" t="s">
        <v>23</v>
      </c>
      <c r="D3128" s="7" t="str">
        <f>"张丹"</f>
        <v>张丹</v>
      </c>
      <c r="E3128" s="7" t="str">
        <f t="shared" si="132"/>
        <v>女</v>
      </c>
    </row>
    <row r="3129" spans="1:5" ht="30" customHeight="1">
      <c r="A3129" s="6">
        <v>3127</v>
      </c>
      <c r="B3129" s="7" t="str">
        <f>"29802021050919243481696"</f>
        <v>29802021050919243481696</v>
      </c>
      <c r="C3129" s="7" t="s">
        <v>23</v>
      </c>
      <c r="D3129" s="7" t="str">
        <f>"谢元带"</f>
        <v>谢元带</v>
      </c>
      <c r="E3129" s="7" t="str">
        <f t="shared" si="132"/>
        <v>女</v>
      </c>
    </row>
    <row r="3130" spans="1:5" ht="30" customHeight="1">
      <c r="A3130" s="6">
        <v>3128</v>
      </c>
      <c r="B3130" s="7" t="str">
        <f>"29802021050919325981709"</f>
        <v>29802021050919325981709</v>
      </c>
      <c r="C3130" s="7" t="s">
        <v>23</v>
      </c>
      <c r="D3130" s="7" t="str">
        <f>"王秀芬"</f>
        <v>王秀芬</v>
      </c>
      <c r="E3130" s="7" t="str">
        <f t="shared" si="132"/>
        <v>女</v>
      </c>
    </row>
    <row r="3131" spans="1:5" ht="30" customHeight="1">
      <c r="A3131" s="6">
        <v>3129</v>
      </c>
      <c r="B3131" s="7" t="str">
        <f>"29802021050919384081720"</f>
        <v>29802021050919384081720</v>
      </c>
      <c r="C3131" s="7" t="s">
        <v>23</v>
      </c>
      <c r="D3131" s="7" t="str">
        <f>"钟紫藤"</f>
        <v>钟紫藤</v>
      </c>
      <c r="E3131" s="7" t="str">
        <f t="shared" si="132"/>
        <v>女</v>
      </c>
    </row>
    <row r="3132" spans="1:5" ht="30" customHeight="1">
      <c r="A3132" s="6">
        <v>3130</v>
      </c>
      <c r="B3132" s="7" t="str">
        <f>"29802021050919582981756"</f>
        <v>29802021050919582981756</v>
      </c>
      <c r="C3132" s="7" t="s">
        <v>23</v>
      </c>
      <c r="D3132" s="7" t="str">
        <f>"童乐"</f>
        <v>童乐</v>
      </c>
      <c r="E3132" s="7" t="str">
        <f t="shared" si="132"/>
        <v>女</v>
      </c>
    </row>
    <row r="3133" spans="1:5" ht="30" customHeight="1">
      <c r="A3133" s="6">
        <v>3131</v>
      </c>
      <c r="B3133" s="7" t="str">
        <f>"29802021050920062281769"</f>
        <v>29802021050920062281769</v>
      </c>
      <c r="C3133" s="7" t="s">
        <v>23</v>
      </c>
      <c r="D3133" s="7" t="str">
        <f>"高孙芯"</f>
        <v>高孙芯</v>
      </c>
      <c r="E3133" s="7" t="str">
        <f t="shared" si="132"/>
        <v>女</v>
      </c>
    </row>
    <row r="3134" spans="1:5" ht="30" customHeight="1">
      <c r="A3134" s="6">
        <v>3132</v>
      </c>
      <c r="B3134" s="7" t="str">
        <f>"29802021050920333581827"</f>
        <v>29802021050920333581827</v>
      </c>
      <c r="C3134" s="7" t="s">
        <v>23</v>
      </c>
      <c r="D3134" s="7" t="str">
        <f>"尤凤"</f>
        <v>尤凤</v>
      </c>
      <c r="E3134" s="7" t="str">
        <f t="shared" si="132"/>
        <v>女</v>
      </c>
    </row>
    <row r="3135" spans="1:5" ht="30" customHeight="1">
      <c r="A3135" s="6">
        <v>3133</v>
      </c>
      <c r="B3135" s="7" t="str">
        <f>"29802021050920354281835"</f>
        <v>29802021050920354281835</v>
      </c>
      <c r="C3135" s="7" t="s">
        <v>23</v>
      </c>
      <c r="D3135" s="7" t="str">
        <f>"薛伟田"</f>
        <v>薛伟田</v>
      </c>
      <c r="E3135" s="7" t="str">
        <f t="shared" si="132"/>
        <v>女</v>
      </c>
    </row>
    <row r="3136" spans="1:5" ht="30" customHeight="1">
      <c r="A3136" s="6">
        <v>3134</v>
      </c>
      <c r="B3136" s="7" t="str">
        <f>"29802021050920375681840"</f>
        <v>29802021050920375681840</v>
      </c>
      <c r="C3136" s="7" t="s">
        <v>23</v>
      </c>
      <c r="D3136" s="7" t="str">
        <f>"钟茂玲"</f>
        <v>钟茂玲</v>
      </c>
      <c r="E3136" s="7" t="str">
        <f t="shared" si="132"/>
        <v>女</v>
      </c>
    </row>
    <row r="3137" spans="1:5" ht="30" customHeight="1">
      <c r="A3137" s="6">
        <v>3135</v>
      </c>
      <c r="B3137" s="7" t="str">
        <f>"29802021050920544181881"</f>
        <v>29802021050920544181881</v>
      </c>
      <c r="C3137" s="7" t="s">
        <v>23</v>
      </c>
      <c r="D3137" s="7" t="str">
        <f>"高卉"</f>
        <v>高卉</v>
      </c>
      <c r="E3137" s="7" t="str">
        <f t="shared" si="132"/>
        <v>女</v>
      </c>
    </row>
    <row r="3138" spans="1:5" ht="30" customHeight="1">
      <c r="A3138" s="6">
        <v>3136</v>
      </c>
      <c r="B3138" s="7" t="str">
        <f>"29802021050921014781898"</f>
        <v>29802021050921014781898</v>
      </c>
      <c r="C3138" s="7" t="s">
        <v>23</v>
      </c>
      <c r="D3138" s="7" t="str">
        <f>"赵海茵"</f>
        <v>赵海茵</v>
      </c>
      <c r="E3138" s="7" t="str">
        <f t="shared" si="132"/>
        <v>女</v>
      </c>
    </row>
    <row r="3139" spans="1:5" ht="30" customHeight="1">
      <c r="A3139" s="6">
        <v>3137</v>
      </c>
      <c r="B3139" s="7" t="str">
        <f>"29802021050921093081913"</f>
        <v>29802021050921093081913</v>
      </c>
      <c r="C3139" s="7" t="s">
        <v>23</v>
      </c>
      <c r="D3139" s="7" t="str">
        <f>"卢运双"</f>
        <v>卢运双</v>
      </c>
      <c r="E3139" s="7" t="str">
        <f t="shared" si="132"/>
        <v>女</v>
      </c>
    </row>
    <row r="3140" spans="1:5" ht="30" customHeight="1">
      <c r="A3140" s="6">
        <v>3138</v>
      </c>
      <c r="B3140" s="7" t="str">
        <f>"29802021050921110981917"</f>
        <v>29802021050921110981917</v>
      </c>
      <c r="C3140" s="7" t="s">
        <v>23</v>
      </c>
      <c r="D3140" s="7" t="str">
        <f>"钟浪"</f>
        <v>钟浪</v>
      </c>
      <c r="E3140" s="7" t="str">
        <f t="shared" si="132"/>
        <v>女</v>
      </c>
    </row>
    <row r="3141" spans="1:5" ht="30" customHeight="1">
      <c r="A3141" s="6">
        <v>3139</v>
      </c>
      <c r="B3141" s="7" t="str">
        <f>"29802021050921111281918"</f>
        <v>29802021050921111281918</v>
      </c>
      <c r="C3141" s="7" t="s">
        <v>23</v>
      </c>
      <c r="D3141" s="7" t="str">
        <f>"王蕾"</f>
        <v>王蕾</v>
      </c>
      <c r="E3141" s="7" t="str">
        <f t="shared" si="132"/>
        <v>女</v>
      </c>
    </row>
    <row r="3142" spans="1:5" ht="30" customHeight="1">
      <c r="A3142" s="6">
        <v>3140</v>
      </c>
      <c r="B3142" s="7" t="str">
        <f>"29802021050921325081980"</f>
        <v>29802021050921325081980</v>
      </c>
      <c r="C3142" s="7" t="s">
        <v>23</v>
      </c>
      <c r="D3142" s="7" t="str">
        <f>"苏洁"</f>
        <v>苏洁</v>
      </c>
      <c r="E3142" s="7" t="str">
        <f t="shared" si="132"/>
        <v>女</v>
      </c>
    </row>
    <row r="3143" spans="1:5" ht="30" customHeight="1">
      <c r="A3143" s="6">
        <v>3141</v>
      </c>
      <c r="B3143" s="7" t="str">
        <f>"29802021050921523582031"</f>
        <v>29802021050921523582031</v>
      </c>
      <c r="C3143" s="7" t="s">
        <v>23</v>
      </c>
      <c r="D3143" s="7" t="str">
        <f>"李小丽"</f>
        <v>李小丽</v>
      </c>
      <c r="E3143" s="7" t="str">
        <f t="shared" si="132"/>
        <v>女</v>
      </c>
    </row>
    <row r="3144" spans="1:5" ht="30" customHeight="1">
      <c r="A3144" s="6">
        <v>3142</v>
      </c>
      <c r="B3144" s="7" t="str">
        <f>"29802021050921553582038"</f>
        <v>29802021050921553582038</v>
      </c>
      <c r="C3144" s="7" t="s">
        <v>23</v>
      </c>
      <c r="D3144" s="7" t="str">
        <f>"刘红丹"</f>
        <v>刘红丹</v>
      </c>
      <c r="E3144" s="7" t="str">
        <f t="shared" si="132"/>
        <v>女</v>
      </c>
    </row>
    <row r="3145" spans="1:5" ht="30" customHeight="1">
      <c r="A3145" s="6">
        <v>3143</v>
      </c>
      <c r="B3145" s="7" t="str">
        <f>"29802021050921563282044"</f>
        <v>29802021050921563282044</v>
      </c>
      <c r="C3145" s="7" t="s">
        <v>23</v>
      </c>
      <c r="D3145" s="7" t="str">
        <f>"周声芳"</f>
        <v>周声芳</v>
      </c>
      <c r="E3145" s="7" t="str">
        <f t="shared" si="132"/>
        <v>女</v>
      </c>
    </row>
    <row r="3146" spans="1:5" ht="30" customHeight="1">
      <c r="A3146" s="6">
        <v>3144</v>
      </c>
      <c r="B3146" s="7" t="str">
        <f>"29802021050922105782076"</f>
        <v>29802021050922105782076</v>
      </c>
      <c r="C3146" s="7" t="s">
        <v>23</v>
      </c>
      <c r="D3146" s="7" t="str">
        <f>"王廷丽"</f>
        <v>王廷丽</v>
      </c>
      <c r="E3146" s="7" t="str">
        <f t="shared" si="132"/>
        <v>女</v>
      </c>
    </row>
    <row r="3147" spans="1:5" ht="30" customHeight="1">
      <c r="A3147" s="6">
        <v>3145</v>
      </c>
      <c r="B3147" s="7" t="str">
        <f>"29802021050922131482082"</f>
        <v>29802021050922131482082</v>
      </c>
      <c r="C3147" s="7" t="s">
        <v>23</v>
      </c>
      <c r="D3147" s="7" t="str">
        <f>"吴莉花"</f>
        <v>吴莉花</v>
      </c>
      <c r="E3147" s="7" t="str">
        <f t="shared" si="132"/>
        <v>女</v>
      </c>
    </row>
    <row r="3148" spans="1:5" ht="30" customHeight="1">
      <c r="A3148" s="6">
        <v>3146</v>
      </c>
      <c r="B3148" s="7" t="str">
        <f>"29802021050922224182112"</f>
        <v>29802021050922224182112</v>
      </c>
      <c r="C3148" s="7" t="s">
        <v>23</v>
      </c>
      <c r="D3148" s="7" t="str">
        <f>"许永花"</f>
        <v>许永花</v>
      </c>
      <c r="E3148" s="7" t="str">
        <f t="shared" si="132"/>
        <v>女</v>
      </c>
    </row>
    <row r="3149" spans="1:5" ht="30" customHeight="1">
      <c r="A3149" s="6">
        <v>3147</v>
      </c>
      <c r="B3149" s="7" t="str">
        <f>"29802021050922350882143"</f>
        <v>29802021050922350882143</v>
      </c>
      <c r="C3149" s="7" t="s">
        <v>23</v>
      </c>
      <c r="D3149" s="7" t="str">
        <f>"吴华恋"</f>
        <v>吴华恋</v>
      </c>
      <c r="E3149" s="7" t="str">
        <f t="shared" si="132"/>
        <v>女</v>
      </c>
    </row>
    <row r="3150" spans="1:5" ht="30" customHeight="1">
      <c r="A3150" s="6">
        <v>3148</v>
      </c>
      <c r="B3150" s="7" t="str">
        <f>"29802021050922380882151"</f>
        <v>29802021050922380882151</v>
      </c>
      <c r="C3150" s="7" t="s">
        <v>23</v>
      </c>
      <c r="D3150" s="7" t="str">
        <f>"林晓伶"</f>
        <v>林晓伶</v>
      </c>
      <c r="E3150" s="7" t="str">
        <f t="shared" si="132"/>
        <v>女</v>
      </c>
    </row>
    <row r="3151" spans="1:5" ht="30" customHeight="1">
      <c r="A3151" s="6">
        <v>3149</v>
      </c>
      <c r="B3151" s="7" t="str">
        <f>"29802021050922510282178"</f>
        <v>29802021050922510282178</v>
      </c>
      <c r="C3151" s="7" t="s">
        <v>23</v>
      </c>
      <c r="D3151" s="7" t="str">
        <f>"周小明"</f>
        <v>周小明</v>
      </c>
      <c r="E3151" s="7" t="str">
        <f t="shared" si="132"/>
        <v>女</v>
      </c>
    </row>
    <row r="3152" spans="1:5" ht="30" customHeight="1">
      <c r="A3152" s="6">
        <v>3150</v>
      </c>
      <c r="B3152" s="7" t="str">
        <f>"29802021050922513782180"</f>
        <v>29802021050922513782180</v>
      </c>
      <c r="C3152" s="7" t="s">
        <v>23</v>
      </c>
      <c r="D3152" s="7" t="str">
        <f>"王月婧"</f>
        <v>王月婧</v>
      </c>
      <c r="E3152" s="7" t="str">
        <f t="shared" si="132"/>
        <v>女</v>
      </c>
    </row>
    <row r="3153" spans="1:5" ht="30" customHeight="1">
      <c r="A3153" s="6">
        <v>3151</v>
      </c>
      <c r="B3153" s="7" t="str">
        <f>"29802021050922522182183"</f>
        <v>29802021050922522182183</v>
      </c>
      <c r="C3153" s="7" t="s">
        <v>23</v>
      </c>
      <c r="D3153" s="7" t="str">
        <f>"蔡孟丽"</f>
        <v>蔡孟丽</v>
      </c>
      <c r="E3153" s="7" t="str">
        <f t="shared" si="132"/>
        <v>女</v>
      </c>
    </row>
    <row r="3154" spans="1:5" ht="30" customHeight="1">
      <c r="A3154" s="6">
        <v>3152</v>
      </c>
      <c r="B3154" s="7" t="str">
        <f>"29802021050923373682261"</f>
        <v>29802021050923373682261</v>
      </c>
      <c r="C3154" s="7" t="s">
        <v>23</v>
      </c>
      <c r="D3154" s="7" t="str">
        <f>"何尾后"</f>
        <v>何尾后</v>
      </c>
      <c r="E3154" s="7" t="str">
        <f t="shared" si="132"/>
        <v>女</v>
      </c>
    </row>
    <row r="3155" spans="1:5" ht="30" customHeight="1">
      <c r="A3155" s="6">
        <v>3153</v>
      </c>
      <c r="B3155" s="7" t="str">
        <f>"29802021051000170082300"</f>
        <v>29802021051000170082300</v>
      </c>
      <c r="C3155" s="7" t="s">
        <v>23</v>
      </c>
      <c r="D3155" s="7" t="str">
        <f>"钟海麟"</f>
        <v>钟海麟</v>
      </c>
      <c r="E3155" s="7" t="str">
        <f>"男"</f>
        <v>男</v>
      </c>
    </row>
    <row r="3156" spans="1:5" ht="30" customHeight="1">
      <c r="A3156" s="6">
        <v>3154</v>
      </c>
      <c r="B3156" s="7" t="str">
        <f>"29802021051007115582353"</f>
        <v>29802021051007115582353</v>
      </c>
      <c r="C3156" s="7" t="s">
        <v>23</v>
      </c>
      <c r="D3156" s="7" t="str">
        <f>"王意然"</f>
        <v>王意然</v>
      </c>
      <c r="E3156" s="7" t="str">
        <f aca="true" t="shared" si="133" ref="E3156:E3161">"女"</f>
        <v>女</v>
      </c>
    </row>
    <row r="3157" spans="1:5" ht="30" customHeight="1">
      <c r="A3157" s="6">
        <v>3155</v>
      </c>
      <c r="B3157" s="7" t="str">
        <f>"29802021051008381282551"</f>
        <v>29802021051008381282551</v>
      </c>
      <c r="C3157" s="7" t="s">
        <v>23</v>
      </c>
      <c r="D3157" s="7" t="str">
        <f>"王素秋"</f>
        <v>王素秋</v>
      </c>
      <c r="E3157" s="7" t="str">
        <f t="shared" si="133"/>
        <v>女</v>
      </c>
    </row>
    <row r="3158" spans="1:5" ht="30" customHeight="1">
      <c r="A3158" s="6">
        <v>3156</v>
      </c>
      <c r="B3158" s="7" t="str">
        <f>"29802021051009024782760"</f>
        <v>29802021051009024782760</v>
      </c>
      <c r="C3158" s="7" t="s">
        <v>23</v>
      </c>
      <c r="D3158" s="7" t="str">
        <f>"王瑞菊"</f>
        <v>王瑞菊</v>
      </c>
      <c r="E3158" s="7" t="str">
        <f t="shared" si="133"/>
        <v>女</v>
      </c>
    </row>
    <row r="3159" spans="1:5" ht="30" customHeight="1">
      <c r="A3159" s="6">
        <v>3157</v>
      </c>
      <c r="B3159" s="7" t="str">
        <f>"29802021051009175682947"</f>
        <v>29802021051009175682947</v>
      </c>
      <c r="C3159" s="7" t="s">
        <v>23</v>
      </c>
      <c r="D3159" s="7" t="str">
        <f>"何琼翠"</f>
        <v>何琼翠</v>
      </c>
      <c r="E3159" s="7" t="str">
        <f t="shared" si="133"/>
        <v>女</v>
      </c>
    </row>
    <row r="3160" spans="1:5" ht="30" customHeight="1">
      <c r="A3160" s="6">
        <v>3158</v>
      </c>
      <c r="B3160" s="7" t="str">
        <f>"29802021051009181582955"</f>
        <v>29802021051009181582955</v>
      </c>
      <c r="C3160" s="7" t="s">
        <v>23</v>
      </c>
      <c r="D3160" s="7" t="str">
        <f>"李建丹"</f>
        <v>李建丹</v>
      </c>
      <c r="E3160" s="7" t="str">
        <f t="shared" si="133"/>
        <v>女</v>
      </c>
    </row>
    <row r="3161" spans="1:5" ht="30" customHeight="1">
      <c r="A3161" s="6">
        <v>3159</v>
      </c>
      <c r="B3161" s="7" t="str">
        <f>"29802021051009181682957"</f>
        <v>29802021051009181682957</v>
      </c>
      <c r="C3161" s="7" t="s">
        <v>23</v>
      </c>
      <c r="D3161" s="7" t="str">
        <f>"王子欣"</f>
        <v>王子欣</v>
      </c>
      <c r="E3161" s="7" t="str">
        <f t="shared" si="133"/>
        <v>女</v>
      </c>
    </row>
    <row r="3162" spans="1:5" ht="30" customHeight="1">
      <c r="A3162" s="6">
        <v>3160</v>
      </c>
      <c r="B3162" s="7" t="str">
        <f>"29802021051009194882978"</f>
        <v>29802021051009194882978</v>
      </c>
      <c r="C3162" s="7" t="s">
        <v>23</v>
      </c>
      <c r="D3162" s="7" t="str">
        <f>"傅人杰"</f>
        <v>傅人杰</v>
      </c>
      <c r="E3162" s="7" t="str">
        <f>"男"</f>
        <v>男</v>
      </c>
    </row>
    <row r="3163" spans="1:5" ht="30" customHeight="1">
      <c r="A3163" s="6">
        <v>3161</v>
      </c>
      <c r="B3163" s="7" t="str">
        <f>"29802021051009232783025"</f>
        <v>29802021051009232783025</v>
      </c>
      <c r="C3163" s="7" t="s">
        <v>23</v>
      </c>
      <c r="D3163" s="7" t="str">
        <f>"吴灵"</f>
        <v>吴灵</v>
      </c>
      <c r="E3163" s="7" t="str">
        <f aca="true" t="shared" si="134" ref="E3163:E3226">"女"</f>
        <v>女</v>
      </c>
    </row>
    <row r="3164" spans="1:5" ht="30" customHeight="1">
      <c r="A3164" s="6">
        <v>3162</v>
      </c>
      <c r="B3164" s="7" t="str">
        <f>"29802021051009271283063"</f>
        <v>29802021051009271283063</v>
      </c>
      <c r="C3164" s="7" t="s">
        <v>23</v>
      </c>
      <c r="D3164" s="7" t="str">
        <f>"刘娴珺"</f>
        <v>刘娴珺</v>
      </c>
      <c r="E3164" s="7" t="str">
        <f t="shared" si="134"/>
        <v>女</v>
      </c>
    </row>
    <row r="3165" spans="1:5" ht="30" customHeight="1">
      <c r="A3165" s="6">
        <v>3163</v>
      </c>
      <c r="B3165" s="7" t="str">
        <f>"29802021051009390883185"</f>
        <v>29802021051009390883185</v>
      </c>
      <c r="C3165" s="7" t="s">
        <v>23</v>
      </c>
      <c r="D3165" s="7" t="str">
        <f>"符初乾"</f>
        <v>符初乾</v>
      </c>
      <c r="E3165" s="7" t="str">
        <f t="shared" si="134"/>
        <v>女</v>
      </c>
    </row>
    <row r="3166" spans="1:5" ht="30" customHeight="1">
      <c r="A3166" s="6">
        <v>3164</v>
      </c>
      <c r="B3166" s="7" t="str">
        <f>"29802021051009405883207"</f>
        <v>29802021051009405883207</v>
      </c>
      <c r="C3166" s="7" t="s">
        <v>23</v>
      </c>
      <c r="D3166" s="7" t="str">
        <f>"吴小惠"</f>
        <v>吴小惠</v>
      </c>
      <c r="E3166" s="7" t="str">
        <f t="shared" si="134"/>
        <v>女</v>
      </c>
    </row>
    <row r="3167" spans="1:5" ht="30" customHeight="1">
      <c r="A3167" s="6">
        <v>3165</v>
      </c>
      <c r="B3167" s="7" t="str">
        <f>"29802021051009411183209"</f>
        <v>29802021051009411183209</v>
      </c>
      <c r="C3167" s="7" t="s">
        <v>23</v>
      </c>
      <c r="D3167" s="7" t="str">
        <f>"徐海云"</f>
        <v>徐海云</v>
      </c>
      <c r="E3167" s="7" t="str">
        <f t="shared" si="134"/>
        <v>女</v>
      </c>
    </row>
    <row r="3168" spans="1:5" ht="30" customHeight="1">
      <c r="A3168" s="6">
        <v>3166</v>
      </c>
      <c r="B3168" s="7" t="str">
        <f>"29802021051009450983244"</f>
        <v>29802021051009450983244</v>
      </c>
      <c r="C3168" s="7" t="s">
        <v>23</v>
      </c>
      <c r="D3168" s="7" t="str">
        <f>"梁丽颖"</f>
        <v>梁丽颖</v>
      </c>
      <c r="E3168" s="7" t="str">
        <f t="shared" si="134"/>
        <v>女</v>
      </c>
    </row>
    <row r="3169" spans="1:5" ht="30" customHeight="1">
      <c r="A3169" s="6">
        <v>3167</v>
      </c>
      <c r="B3169" s="7" t="str">
        <f>"29802021051009520583318"</f>
        <v>29802021051009520583318</v>
      </c>
      <c r="C3169" s="7" t="s">
        <v>23</v>
      </c>
      <c r="D3169" s="7" t="str">
        <f>"潘朝丽"</f>
        <v>潘朝丽</v>
      </c>
      <c r="E3169" s="7" t="str">
        <f t="shared" si="134"/>
        <v>女</v>
      </c>
    </row>
    <row r="3170" spans="1:5" ht="30" customHeight="1">
      <c r="A3170" s="6">
        <v>3168</v>
      </c>
      <c r="B3170" s="7" t="str">
        <f>"29802021051009534583334"</f>
        <v>29802021051009534583334</v>
      </c>
      <c r="C3170" s="7" t="s">
        <v>23</v>
      </c>
      <c r="D3170" s="7" t="str">
        <f>"王永河"</f>
        <v>王永河</v>
      </c>
      <c r="E3170" s="7" t="str">
        <f t="shared" si="134"/>
        <v>女</v>
      </c>
    </row>
    <row r="3171" spans="1:5" ht="30" customHeight="1">
      <c r="A3171" s="6">
        <v>3169</v>
      </c>
      <c r="B3171" s="7" t="str">
        <f>"29802021051009595683394"</f>
        <v>29802021051009595683394</v>
      </c>
      <c r="C3171" s="7" t="s">
        <v>23</v>
      </c>
      <c r="D3171" s="7" t="str">
        <f>"邱玉波"</f>
        <v>邱玉波</v>
      </c>
      <c r="E3171" s="7" t="str">
        <f t="shared" si="134"/>
        <v>女</v>
      </c>
    </row>
    <row r="3172" spans="1:5" ht="30" customHeight="1">
      <c r="A3172" s="6">
        <v>3170</v>
      </c>
      <c r="B3172" s="7" t="str">
        <f>"29802021051010055483460"</f>
        <v>29802021051010055483460</v>
      </c>
      <c r="C3172" s="7" t="s">
        <v>23</v>
      </c>
      <c r="D3172" s="7" t="str">
        <f>"郑伟兰"</f>
        <v>郑伟兰</v>
      </c>
      <c r="E3172" s="7" t="str">
        <f t="shared" si="134"/>
        <v>女</v>
      </c>
    </row>
    <row r="3173" spans="1:5" ht="30" customHeight="1">
      <c r="A3173" s="6">
        <v>3171</v>
      </c>
      <c r="B3173" s="7" t="str">
        <f>"29802021051010061283466"</f>
        <v>29802021051010061283466</v>
      </c>
      <c r="C3173" s="7" t="s">
        <v>23</v>
      </c>
      <c r="D3173" s="7" t="str">
        <f>"肖瑞"</f>
        <v>肖瑞</v>
      </c>
      <c r="E3173" s="7" t="str">
        <f t="shared" si="134"/>
        <v>女</v>
      </c>
    </row>
    <row r="3174" spans="1:5" ht="30" customHeight="1">
      <c r="A3174" s="6">
        <v>3172</v>
      </c>
      <c r="B3174" s="7" t="str">
        <f>"29802021051010094883512"</f>
        <v>29802021051010094883512</v>
      </c>
      <c r="C3174" s="7" t="s">
        <v>23</v>
      </c>
      <c r="D3174" s="7" t="str">
        <f>"符淑霞"</f>
        <v>符淑霞</v>
      </c>
      <c r="E3174" s="7" t="str">
        <f t="shared" si="134"/>
        <v>女</v>
      </c>
    </row>
    <row r="3175" spans="1:5" ht="30" customHeight="1">
      <c r="A3175" s="6">
        <v>3173</v>
      </c>
      <c r="B3175" s="7" t="str">
        <f>"29802021051010154483605"</f>
        <v>29802021051010154483605</v>
      </c>
      <c r="C3175" s="7" t="s">
        <v>23</v>
      </c>
      <c r="D3175" s="7" t="str">
        <f>"赵彩云"</f>
        <v>赵彩云</v>
      </c>
      <c r="E3175" s="7" t="str">
        <f t="shared" si="134"/>
        <v>女</v>
      </c>
    </row>
    <row r="3176" spans="1:5" ht="30" customHeight="1">
      <c r="A3176" s="6">
        <v>3174</v>
      </c>
      <c r="B3176" s="7" t="str">
        <f>"29802021051010184683646"</f>
        <v>29802021051010184683646</v>
      </c>
      <c r="C3176" s="7" t="s">
        <v>23</v>
      </c>
      <c r="D3176" s="7" t="str">
        <f>"施心怡"</f>
        <v>施心怡</v>
      </c>
      <c r="E3176" s="7" t="str">
        <f t="shared" si="134"/>
        <v>女</v>
      </c>
    </row>
    <row r="3177" spans="1:5" ht="30" customHeight="1">
      <c r="A3177" s="6">
        <v>3175</v>
      </c>
      <c r="B3177" s="7" t="str">
        <f>"29802021051010285283779"</f>
        <v>29802021051010285283779</v>
      </c>
      <c r="C3177" s="7" t="s">
        <v>23</v>
      </c>
      <c r="D3177" s="7" t="str">
        <f>"蔡移"</f>
        <v>蔡移</v>
      </c>
      <c r="E3177" s="7" t="str">
        <f t="shared" si="134"/>
        <v>女</v>
      </c>
    </row>
    <row r="3178" spans="1:5" ht="30" customHeight="1">
      <c r="A3178" s="6">
        <v>3176</v>
      </c>
      <c r="B3178" s="7" t="str">
        <f>"29802021051010324183831"</f>
        <v>29802021051010324183831</v>
      </c>
      <c r="C3178" s="7" t="s">
        <v>23</v>
      </c>
      <c r="D3178" s="7" t="str">
        <f>"蒙萌"</f>
        <v>蒙萌</v>
      </c>
      <c r="E3178" s="7" t="str">
        <f t="shared" si="134"/>
        <v>女</v>
      </c>
    </row>
    <row r="3179" spans="1:5" ht="30" customHeight="1">
      <c r="A3179" s="6">
        <v>3177</v>
      </c>
      <c r="B3179" s="7" t="str">
        <f>"29802021051010343483849"</f>
        <v>29802021051010343483849</v>
      </c>
      <c r="C3179" s="7" t="s">
        <v>23</v>
      </c>
      <c r="D3179" s="7" t="str">
        <f>"洪彩月"</f>
        <v>洪彩月</v>
      </c>
      <c r="E3179" s="7" t="str">
        <f t="shared" si="134"/>
        <v>女</v>
      </c>
    </row>
    <row r="3180" spans="1:5" ht="30" customHeight="1">
      <c r="A3180" s="6">
        <v>3178</v>
      </c>
      <c r="B3180" s="7" t="str">
        <f>"29802021051010371183886"</f>
        <v>29802021051010371183886</v>
      </c>
      <c r="C3180" s="7" t="s">
        <v>23</v>
      </c>
      <c r="D3180" s="7" t="str">
        <f>"潘佳佳"</f>
        <v>潘佳佳</v>
      </c>
      <c r="E3180" s="7" t="str">
        <f t="shared" si="134"/>
        <v>女</v>
      </c>
    </row>
    <row r="3181" spans="1:5" ht="30" customHeight="1">
      <c r="A3181" s="6">
        <v>3179</v>
      </c>
      <c r="B3181" s="7" t="str">
        <f>"29802021051010482284009"</f>
        <v>29802021051010482284009</v>
      </c>
      <c r="C3181" s="7" t="s">
        <v>23</v>
      </c>
      <c r="D3181" s="7" t="str">
        <f>"施艳梅"</f>
        <v>施艳梅</v>
      </c>
      <c r="E3181" s="7" t="str">
        <f t="shared" si="134"/>
        <v>女</v>
      </c>
    </row>
    <row r="3182" spans="1:5" ht="30" customHeight="1">
      <c r="A3182" s="6">
        <v>3180</v>
      </c>
      <c r="B3182" s="7" t="str">
        <f>"29802021051010544584078"</f>
        <v>29802021051010544584078</v>
      </c>
      <c r="C3182" s="7" t="s">
        <v>23</v>
      </c>
      <c r="D3182" s="7" t="str">
        <f>"蔡东凌"</f>
        <v>蔡东凌</v>
      </c>
      <c r="E3182" s="7" t="str">
        <f t="shared" si="134"/>
        <v>女</v>
      </c>
    </row>
    <row r="3183" spans="1:5" ht="30" customHeight="1">
      <c r="A3183" s="6">
        <v>3181</v>
      </c>
      <c r="B3183" s="7" t="str">
        <f>"29802021051011091284208"</f>
        <v>29802021051011091284208</v>
      </c>
      <c r="C3183" s="7" t="s">
        <v>23</v>
      </c>
      <c r="D3183" s="7" t="str">
        <f>"陈少花"</f>
        <v>陈少花</v>
      </c>
      <c r="E3183" s="7" t="str">
        <f t="shared" si="134"/>
        <v>女</v>
      </c>
    </row>
    <row r="3184" spans="1:5" ht="30" customHeight="1">
      <c r="A3184" s="6">
        <v>3182</v>
      </c>
      <c r="B3184" s="7" t="str">
        <f>"29802021051011100284215"</f>
        <v>29802021051011100284215</v>
      </c>
      <c r="C3184" s="7" t="s">
        <v>23</v>
      </c>
      <c r="D3184" s="7" t="str">
        <f>"林艺真"</f>
        <v>林艺真</v>
      </c>
      <c r="E3184" s="7" t="str">
        <f t="shared" si="134"/>
        <v>女</v>
      </c>
    </row>
    <row r="3185" spans="1:5" ht="30" customHeight="1">
      <c r="A3185" s="6">
        <v>3183</v>
      </c>
      <c r="B3185" s="7" t="str">
        <f>"29802021051011202284313"</f>
        <v>29802021051011202284313</v>
      </c>
      <c r="C3185" s="7" t="s">
        <v>23</v>
      </c>
      <c r="D3185" s="7" t="str">
        <f>"符日遵"</f>
        <v>符日遵</v>
      </c>
      <c r="E3185" s="7" t="str">
        <f t="shared" si="134"/>
        <v>女</v>
      </c>
    </row>
    <row r="3186" spans="1:5" ht="30" customHeight="1">
      <c r="A3186" s="6">
        <v>3184</v>
      </c>
      <c r="B3186" s="7" t="str">
        <f>"29802021051011270484362"</f>
        <v>29802021051011270484362</v>
      </c>
      <c r="C3186" s="7" t="s">
        <v>23</v>
      </c>
      <c r="D3186" s="7" t="str">
        <f>"柏平红"</f>
        <v>柏平红</v>
      </c>
      <c r="E3186" s="7" t="str">
        <f t="shared" si="134"/>
        <v>女</v>
      </c>
    </row>
    <row r="3187" spans="1:5" ht="30" customHeight="1">
      <c r="A3187" s="6">
        <v>3185</v>
      </c>
      <c r="B3187" s="7" t="str">
        <f>"29802021051012054584596"</f>
        <v>29802021051012054584596</v>
      </c>
      <c r="C3187" s="7" t="s">
        <v>23</v>
      </c>
      <c r="D3187" s="7" t="str">
        <f>"吴晶女"</f>
        <v>吴晶女</v>
      </c>
      <c r="E3187" s="7" t="str">
        <f t="shared" si="134"/>
        <v>女</v>
      </c>
    </row>
    <row r="3188" spans="1:5" ht="30" customHeight="1">
      <c r="A3188" s="6">
        <v>3186</v>
      </c>
      <c r="B3188" s="7" t="str">
        <f>"29802021051012094484617"</f>
        <v>29802021051012094484617</v>
      </c>
      <c r="C3188" s="7" t="s">
        <v>23</v>
      </c>
      <c r="D3188" s="7" t="str">
        <f>"符静"</f>
        <v>符静</v>
      </c>
      <c r="E3188" s="7" t="str">
        <f t="shared" si="134"/>
        <v>女</v>
      </c>
    </row>
    <row r="3189" spans="1:5" ht="30" customHeight="1">
      <c r="A3189" s="6">
        <v>3187</v>
      </c>
      <c r="B3189" s="7" t="str">
        <f>"29802021051012104784627"</f>
        <v>29802021051012104784627</v>
      </c>
      <c r="C3189" s="7" t="s">
        <v>23</v>
      </c>
      <c r="D3189" s="7" t="str">
        <f>"吴育敏"</f>
        <v>吴育敏</v>
      </c>
      <c r="E3189" s="7" t="str">
        <f t="shared" si="134"/>
        <v>女</v>
      </c>
    </row>
    <row r="3190" spans="1:5" ht="30" customHeight="1">
      <c r="A3190" s="6">
        <v>3188</v>
      </c>
      <c r="B3190" s="7" t="str">
        <f>"29802021051012140184648"</f>
        <v>29802021051012140184648</v>
      </c>
      <c r="C3190" s="7" t="s">
        <v>23</v>
      </c>
      <c r="D3190" s="7" t="str">
        <f>"张金妹"</f>
        <v>张金妹</v>
      </c>
      <c r="E3190" s="7" t="str">
        <f t="shared" si="134"/>
        <v>女</v>
      </c>
    </row>
    <row r="3191" spans="1:5" ht="30" customHeight="1">
      <c r="A3191" s="6">
        <v>3189</v>
      </c>
      <c r="B3191" s="7" t="str">
        <f>"29802021051012210284678"</f>
        <v>29802021051012210284678</v>
      </c>
      <c r="C3191" s="7" t="s">
        <v>23</v>
      </c>
      <c r="D3191" s="7" t="str">
        <f>"李秋幸"</f>
        <v>李秋幸</v>
      </c>
      <c r="E3191" s="7" t="str">
        <f t="shared" si="134"/>
        <v>女</v>
      </c>
    </row>
    <row r="3192" spans="1:5" ht="30" customHeight="1">
      <c r="A3192" s="6">
        <v>3190</v>
      </c>
      <c r="B3192" s="7" t="str">
        <f>"29802021051012223184685"</f>
        <v>29802021051012223184685</v>
      </c>
      <c r="C3192" s="7" t="s">
        <v>23</v>
      </c>
      <c r="D3192" s="7" t="str">
        <f>"朱秀风"</f>
        <v>朱秀风</v>
      </c>
      <c r="E3192" s="7" t="str">
        <f t="shared" si="134"/>
        <v>女</v>
      </c>
    </row>
    <row r="3193" spans="1:5" ht="30" customHeight="1">
      <c r="A3193" s="6">
        <v>3191</v>
      </c>
      <c r="B3193" s="7" t="str">
        <f>"29802021051012225084688"</f>
        <v>29802021051012225084688</v>
      </c>
      <c r="C3193" s="7" t="s">
        <v>23</v>
      </c>
      <c r="D3193" s="7" t="str">
        <f>"韩暖"</f>
        <v>韩暖</v>
      </c>
      <c r="E3193" s="7" t="str">
        <f t="shared" si="134"/>
        <v>女</v>
      </c>
    </row>
    <row r="3194" spans="1:5" ht="30" customHeight="1">
      <c r="A3194" s="6">
        <v>3192</v>
      </c>
      <c r="B3194" s="7" t="str">
        <f>"29802021051012245084704"</f>
        <v>29802021051012245084704</v>
      </c>
      <c r="C3194" s="7" t="s">
        <v>23</v>
      </c>
      <c r="D3194" s="7" t="str">
        <f>"陈是丽"</f>
        <v>陈是丽</v>
      </c>
      <c r="E3194" s="7" t="str">
        <f t="shared" si="134"/>
        <v>女</v>
      </c>
    </row>
    <row r="3195" spans="1:5" ht="30" customHeight="1">
      <c r="A3195" s="6">
        <v>3193</v>
      </c>
      <c r="B3195" s="7" t="str">
        <f>"29802021051012263884715"</f>
        <v>29802021051012263884715</v>
      </c>
      <c r="C3195" s="7" t="s">
        <v>23</v>
      </c>
      <c r="D3195" s="7" t="str">
        <f>"赵晓芳"</f>
        <v>赵晓芳</v>
      </c>
      <c r="E3195" s="7" t="str">
        <f t="shared" si="134"/>
        <v>女</v>
      </c>
    </row>
    <row r="3196" spans="1:5" ht="30" customHeight="1">
      <c r="A3196" s="6">
        <v>3194</v>
      </c>
      <c r="B3196" s="7" t="str">
        <f>"29802021051012441084831"</f>
        <v>29802021051012441084831</v>
      </c>
      <c r="C3196" s="7" t="s">
        <v>23</v>
      </c>
      <c r="D3196" s="7" t="str">
        <f>"李引兰"</f>
        <v>李引兰</v>
      </c>
      <c r="E3196" s="7" t="str">
        <f t="shared" si="134"/>
        <v>女</v>
      </c>
    </row>
    <row r="3197" spans="1:5" ht="30" customHeight="1">
      <c r="A3197" s="6">
        <v>3195</v>
      </c>
      <c r="B3197" s="7" t="str">
        <f>"29802021051012465284846"</f>
        <v>29802021051012465284846</v>
      </c>
      <c r="C3197" s="7" t="s">
        <v>23</v>
      </c>
      <c r="D3197" s="7" t="str">
        <f>"唐秀华"</f>
        <v>唐秀华</v>
      </c>
      <c r="E3197" s="7" t="str">
        <f t="shared" si="134"/>
        <v>女</v>
      </c>
    </row>
    <row r="3198" spans="1:5" ht="30" customHeight="1">
      <c r="A3198" s="6">
        <v>3196</v>
      </c>
      <c r="B3198" s="7" t="str">
        <f>"29802021051012492784866"</f>
        <v>29802021051012492784866</v>
      </c>
      <c r="C3198" s="7" t="s">
        <v>23</v>
      </c>
      <c r="D3198" s="7" t="str">
        <f>"张振丹"</f>
        <v>张振丹</v>
      </c>
      <c r="E3198" s="7" t="str">
        <f t="shared" si="134"/>
        <v>女</v>
      </c>
    </row>
    <row r="3199" spans="1:5" ht="30" customHeight="1">
      <c r="A3199" s="6">
        <v>3197</v>
      </c>
      <c r="B3199" s="7" t="str">
        <f>"29802021051012513584881"</f>
        <v>29802021051012513584881</v>
      </c>
      <c r="C3199" s="7" t="s">
        <v>23</v>
      </c>
      <c r="D3199" s="7" t="str">
        <f>"周林朱"</f>
        <v>周林朱</v>
      </c>
      <c r="E3199" s="7" t="str">
        <f t="shared" si="134"/>
        <v>女</v>
      </c>
    </row>
    <row r="3200" spans="1:5" ht="30" customHeight="1">
      <c r="A3200" s="6">
        <v>3198</v>
      </c>
      <c r="B3200" s="7" t="str">
        <f>"29802021051012594484919"</f>
        <v>29802021051012594484919</v>
      </c>
      <c r="C3200" s="7" t="s">
        <v>23</v>
      </c>
      <c r="D3200" s="7" t="str">
        <f>"符玉秀"</f>
        <v>符玉秀</v>
      </c>
      <c r="E3200" s="7" t="str">
        <f t="shared" si="134"/>
        <v>女</v>
      </c>
    </row>
    <row r="3201" spans="1:5" ht="30" customHeight="1">
      <c r="A3201" s="6">
        <v>3199</v>
      </c>
      <c r="B3201" s="7" t="str">
        <f>"29802021051012595384922"</f>
        <v>29802021051012595384922</v>
      </c>
      <c r="C3201" s="7" t="s">
        <v>23</v>
      </c>
      <c r="D3201" s="7" t="str">
        <f>"吴少敏"</f>
        <v>吴少敏</v>
      </c>
      <c r="E3201" s="7" t="str">
        <f t="shared" si="134"/>
        <v>女</v>
      </c>
    </row>
    <row r="3202" spans="1:5" ht="30" customHeight="1">
      <c r="A3202" s="6">
        <v>3200</v>
      </c>
      <c r="B3202" s="7" t="str">
        <f>"29802021051013082284965"</f>
        <v>29802021051013082284965</v>
      </c>
      <c r="C3202" s="7" t="s">
        <v>23</v>
      </c>
      <c r="D3202" s="7" t="str">
        <f>"吴少钧"</f>
        <v>吴少钧</v>
      </c>
      <c r="E3202" s="7" t="str">
        <f t="shared" si="134"/>
        <v>女</v>
      </c>
    </row>
    <row r="3203" spans="1:5" ht="30" customHeight="1">
      <c r="A3203" s="6">
        <v>3201</v>
      </c>
      <c r="B3203" s="7" t="str">
        <f>"29802021051013140284991"</f>
        <v>29802021051013140284991</v>
      </c>
      <c r="C3203" s="7" t="s">
        <v>23</v>
      </c>
      <c r="D3203" s="7" t="str">
        <f>"徐志英"</f>
        <v>徐志英</v>
      </c>
      <c r="E3203" s="7" t="str">
        <f t="shared" si="134"/>
        <v>女</v>
      </c>
    </row>
    <row r="3204" spans="1:5" ht="30" customHeight="1">
      <c r="A3204" s="6">
        <v>3202</v>
      </c>
      <c r="B3204" s="7" t="str">
        <f>"29802021051013152284996"</f>
        <v>29802021051013152284996</v>
      </c>
      <c r="C3204" s="7" t="s">
        <v>23</v>
      </c>
      <c r="D3204" s="7" t="str">
        <f>"王会莉"</f>
        <v>王会莉</v>
      </c>
      <c r="E3204" s="7" t="str">
        <f t="shared" si="134"/>
        <v>女</v>
      </c>
    </row>
    <row r="3205" spans="1:5" ht="30" customHeight="1">
      <c r="A3205" s="6">
        <v>3203</v>
      </c>
      <c r="B3205" s="7" t="str">
        <f>"29802021051013204085024"</f>
        <v>29802021051013204085024</v>
      </c>
      <c r="C3205" s="7" t="s">
        <v>23</v>
      </c>
      <c r="D3205" s="7" t="str">
        <f>"冯步佑"</f>
        <v>冯步佑</v>
      </c>
      <c r="E3205" s="7" t="str">
        <f t="shared" si="134"/>
        <v>女</v>
      </c>
    </row>
    <row r="3206" spans="1:5" ht="30" customHeight="1">
      <c r="A3206" s="6">
        <v>3204</v>
      </c>
      <c r="B3206" s="7" t="str">
        <f>"29802021051013221385030"</f>
        <v>29802021051013221385030</v>
      </c>
      <c r="C3206" s="7" t="s">
        <v>23</v>
      </c>
      <c r="D3206" s="7" t="str">
        <f>"刘林"</f>
        <v>刘林</v>
      </c>
      <c r="E3206" s="7" t="str">
        <f t="shared" si="134"/>
        <v>女</v>
      </c>
    </row>
    <row r="3207" spans="1:5" ht="30" customHeight="1">
      <c r="A3207" s="6">
        <v>3205</v>
      </c>
      <c r="B3207" s="7" t="str">
        <f>"29802021051013300185067"</f>
        <v>29802021051013300185067</v>
      </c>
      <c r="C3207" s="7" t="s">
        <v>23</v>
      </c>
      <c r="D3207" s="7" t="str">
        <f>"张思琪"</f>
        <v>张思琪</v>
      </c>
      <c r="E3207" s="7" t="str">
        <f t="shared" si="134"/>
        <v>女</v>
      </c>
    </row>
    <row r="3208" spans="1:5" ht="30" customHeight="1">
      <c r="A3208" s="6">
        <v>3206</v>
      </c>
      <c r="B3208" s="7" t="str">
        <f>"29802021051013333685079"</f>
        <v>29802021051013333685079</v>
      </c>
      <c r="C3208" s="7" t="s">
        <v>23</v>
      </c>
      <c r="D3208" s="7" t="str">
        <f>"符江丽"</f>
        <v>符江丽</v>
      </c>
      <c r="E3208" s="7" t="str">
        <f t="shared" si="134"/>
        <v>女</v>
      </c>
    </row>
    <row r="3209" spans="1:5" ht="30" customHeight="1">
      <c r="A3209" s="6">
        <v>3207</v>
      </c>
      <c r="B3209" s="7" t="str">
        <f>"29802021051014305485315"</f>
        <v>29802021051014305485315</v>
      </c>
      <c r="C3209" s="7" t="s">
        <v>23</v>
      </c>
      <c r="D3209" s="7" t="str">
        <f>"杨璐"</f>
        <v>杨璐</v>
      </c>
      <c r="E3209" s="7" t="str">
        <f t="shared" si="134"/>
        <v>女</v>
      </c>
    </row>
    <row r="3210" spans="1:5" ht="30" customHeight="1">
      <c r="A3210" s="6">
        <v>3208</v>
      </c>
      <c r="B3210" s="7" t="str">
        <f>"29802021051014482885416"</f>
        <v>29802021051014482885416</v>
      </c>
      <c r="C3210" s="7" t="s">
        <v>23</v>
      </c>
      <c r="D3210" s="7" t="str">
        <f>"文武真"</f>
        <v>文武真</v>
      </c>
      <c r="E3210" s="7" t="str">
        <f t="shared" si="134"/>
        <v>女</v>
      </c>
    </row>
    <row r="3211" spans="1:5" ht="30" customHeight="1">
      <c r="A3211" s="6">
        <v>3209</v>
      </c>
      <c r="B3211" s="7" t="str">
        <f>"29802021051014584985485"</f>
        <v>29802021051014584985485</v>
      </c>
      <c r="C3211" s="7" t="s">
        <v>23</v>
      </c>
      <c r="D3211" s="7" t="str">
        <f>"关鹏燕"</f>
        <v>关鹏燕</v>
      </c>
      <c r="E3211" s="7" t="str">
        <f t="shared" si="134"/>
        <v>女</v>
      </c>
    </row>
    <row r="3212" spans="1:5" ht="30" customHeight="1">
      <c r="A3212" s="6">
        <v>3210</v>
      </c>
      <c r="B3212" s="7" t="str">
        <f>"29802021051015143985590"</f>
        <v>29802021051015143985590</v>
      </c>
      <c r="C3212" s="7" t="s">
        <v>23</v>
      </c>
      <c r="D3212" s="7" t="str">
        <f>"许引弟"</f>
        <v>许引弟</v>
      </c>
      <c r="E3212" s="7" t="str">
        <f t="shared" si="134"/>
        <v>女</v>
      </c>
    </row>
    <row r="3213" spans="1:5" ht="30" customHeight="1">
      <c r="A3213" s="6">
        <v>3211</v>
      </c>
      <c r="B3213" s="7" t="str">
        <f>"29802021051015220885660"</f>
        <v>29802021051015220885660</v>
      </c>
      <c r="C3213" s="7" t="s">
        <v>23</v>
      </c>
      <c r="D3213" s="7" t="str">
        <f>"符倩瑜"</f>
        <v>符倩瑜</v>
      </c>
      <c r="E3213" s="7" t="str">
        <f t="shared" si="134"/>
        <v>女</v>
      </c>
    </row>
    <row r="3214" spans="1:5" ht="30" customHeight="1">
      <c r="A3214" s="6">
        <v>3212</v>
      </c>
      <c r="B3214" s="7" t="str">
        <f>"29802021051015241485671"</f>
        <v>29802021051015241485671</v>
      </c>
      <c r="C3214" s="7" t="s">
        <v>23</v>
      </c>
      <c r="D3214" s="7" t="str">
        <f>"吴玉红"</f>
        <v>吴玉红</v>
      </c>
      <c r="E3214" s="7" t="str">
        <f t="shared" si="134"/>
        <v>女</v>
      </c>
    </row>
    <row r="3215" spans="1:5" ht="30" customHeight="1">
      <c r="A3215" s="6">
        <v>3213</v>
      </c>
      <c r="B3215" s="7" t="str">
        <f>"29802021051015312785719"</f>
        <v>29802021051015312785719</v>
      </c>
      <c r="C3215" s="7" t="s">
        <v>23</v>
      </c>
      <c r="D3215" s="7" t="str">
        <f>"郑文斯"</f>
        <v>郑文斯</v>
      </c>
      <c r="E3215" s="7" t="str">
        <f t="shared" si="134"/>
        <v>女</v>
      </c>
    </row>
    <row r="3216" spans="1:5" ht="30" customHeight="1">
      <c r="A3216" s="6">
        <v>3214</v>
      </c>
      <c r="B3216" s="7" t="str">
        <f>"29802021051015315585721"</f>
        <v>29802021051015315585721</v>
      </c>
      <c r="C3216" s="7" t="s">
        <v>23</v>
      </c>
      <c r="D3216" s="7" t="str">
        <f>"彭一羚"</f>
        <v>彭一羚</v>
      </c>
      <c r="E3216" s="7" t="str">
        <f t="shared" si="134"/>
        <v>女</v>
      </c>
    </row>
    <row r="3217" spans="1:5" ht="30" customHeight="1">
      <c r="A3217" s="6">
        <v>3215</v>
      </c>
      <c r="B3217" s="7" t="str">
        <f>"29802021051015395885780"</f>
        <v>29802021051015395885780</v>
      </c>
      <c r="C3217" s="7" t="s">
        <v>23</v>
      </c>
      <c r="D3217" s="7" t="str">
        <f>"何倩"</f>
        <v>何倩</v>
      </c>
      <c r="E3217" s="7" t="str">
        <f t="shared" si="134"/>
        <v>女</v>
      </c>
    </row>
    <row r="3218" spans="1:5" ht="30" customHeight="1">
      <c r="A3218" s="6">
        <v>3216</v>
      </c>
      <c r="B3218" s="7" t="str">
        <f>"29802021051015573285912"</f>
        <v>29802021051015573285912</v>
      </c>
      <c r="C3218" s="7" t="s">
        <v>23</v>
      </c>
      <c r="D3218" s="7" t="str">
        <f>"郑雅"</f>
        <v>郑雅</v>
      </c>
      <c r="E3218" s="7" t="str">
        <f t="shared" si="134"/>
        <v>女</v>
      </c>
    </row>
    <row r="3219" spans="1:5" ht="30" customHeight="1">
      <c r="A3219" s="6">
        <v>3217</v>
      </c>
      <c r="B3219" s="7" t="str">
        <f>"29802021051016054185964"</f>
        <v>29802021051016054185964</v>
      </c>
      <c r="C3219" s="7" t="s">
        <v>23</v>
      </c>
      <c r="D3219" s="7" t="str">
        <f>"黄荣仙"</f>
        <v>黄荣仙</v>
      </c>
      <c r="E3219" s="7" t="str">
        <f t="shared" si="134"/>
        <v>女</v>
      </c>
    </row>
    <row r="3220" spans="1:5" ht="30" customHeight="1">
      <c r="A3220" s="6">
        <v>3218</v>
      </c>
      <c r="B3220" s="7" t="str">
        <f>"29802021051016122886008"</f>
        <v>29802021051016122886008</v>
      </c>
      <c r="C3220" s="7" t="s">
        <v>23</v>
      </c>
      <c r="D3220" s="7" t="str">
        <f>"刘奕涵"</f>
        <v>刘奕涵</v>
      </c>
      <c r="E3220" s="7" t="str">
        <f t="shared" si="134"/>
        <v>女</v>
      </c>
    </row>
    <row r="3221" spans="1:5" ht="30" customHeight="1">
      <c r="A3221" s="6">
        <v>3219</v>
      </c>
      <c r="B3221" s="7" t="str">
        <f>"29802021051016235886097"</f>
        <v>29802021051016235886097</v>
      </c>
      <c r="C3221" s="7" t="s">
        <v>23</v>
      </c>
      <c r="D3221" s="7" t="str">
        <f>"王燕媛"</f>
        <v>王燕媛</v>
      </c>
      <c r="E3221" s="7" t="str">
        <f t="shared" si="134"/>
        <v>女</v>
      </c>
    </row>
    <row r="3222" spans="1:5" ht="30" customHeight="1">
      <c r="A3222" s="6">
        <v>3220</v>
      </c>
      <c r="B3222" s="7" t="str">
        <f>"29802021051016252286108"</f>
        <v>29802021051016252286108</v>
      </c>
      <c r="C3222" s="7" t="s">
        <v>23</v>
      </c>
      <c r="D3222" s="7" t="str">
        <f>"卢章虹"</f>
        <v>卢章虹</v>
      </c>
      <c r="E3222" s="7" t="str">
        <f t="shared" si="134"/>
        <v>女</v>
      </c>
    </row>
    <row r="3223" spans="1:5" ht="30" customHeight="1">
      <c r="A3223" s="6">
        <v>3221</v>
      </c>
      <c r="B3223" s="7" t="str">
        <f>"29802021051016512886299"</f>
        <v>29802021051016512886299</v>
      </c>
      <c r="C3223" s="7" t="s">
        <v>23</v>
      </c>
      <c r="D3223" s="7" t="str">
        <f>"吴伸圆"</f>
        <v>吴伸圆</v>
      </c>
      <c r="E3223" s="7" t="str">
        <f t="shared" si="134"/>
        <v>女</v>
      </c>
    </row>
    <row r="3224" spans="1:5" ht="30" customHeight="1">
      <c r="A3224" s="6">
        <v>3222</v>
      </c>
      <c r="B3224" s="7" t="str">
        <f>"29802021051017002686356"</f>
        <v>29802021051017002686356</v>
      </c>
      <c r="C3224" s="7" t="s">
        <v>23</v>
      </c>
      <c r="D3224" s="7" t="str">
        <f>"钟琼雪"</f>
        <v>钟琼雪</v>
      </c>
      <c r="E3224" s="7" t="str">
        <f t="shared" si="134"/>
        <v>女</v>
      </c>
    </row>
    <row r="3225" spans="1:5" ht="30" customHeight="1">
      <c r="A3225" s="6">
        <v>3223</v>
      </c>
      <c r="B3225" s="7" t="str">
        <f>"29802021051017011086358"</f>
        <v>29802021051017011086358</v>
      </c>
      <c r="C3225" s="7" t="s">
        <v>23</v>
      </c>
      <c r="D3225" s="7" t="str">
        <f>"王敏"</f>
        <v>王敏</v>
      </c>
      <c r="E3225" s="7" t="str">
        <f t="shared" si="134"/>
        <v>女</v>
      </c>
    </row>
    <row r="3226" spans="1:5" ht="30" customHeight="1">
      <c r="A3226" s="6">
        <v>3224</v>
      </c>
      <c r="B3226" s="7" t="str">
        <f>"29802021051017051186382"</f>
        <v>29802021051017051186382</v>
      </c>
      <c r="C3226" s="7" t="s">
        <v>23</v>
      </c>
      <c r="D3226" s="7" t="str">
        <f>"唐世天"</f>
        <v>唐世天</v>
      </c>
      <c r="E3226" s="7" t="str">
        <f t="shared" si="134"/>
        <v>女</v>
      </c>
    </row>
    <row r="3227" spans="1:5" ht="30" customHeight="1">
      <c r="A3227" s="6">
        <v>3225</v>
      </c>
      <c r="B3227" s="7" t="str">
        <f>"29802021051017052886383"</f>
        <v>29802021051017052886383</v>
      </c>
      <c r="C3227" s="7" t="s">
        <v>23</v>
      </c>
      <c r="D3227" s="7" t="str">
        <f>"吴晓山"</f>
        <v>吴晓山</v>
      </c>
      <c r="E3227" s="7" t="str">
        <f aca="true" t="shared" si="135" ref="E3227:E3272">"女"</f>
        <v>女</v>
      </c>
    </row>
    <row r="3228" spans="1:5" ht="30" customHeight="1">
      <c r="A3228" s="6">
        <v>3226</v>
      </c>
      <c r="B3228" s="7" t="str">
        <f>"29802021051017080786394"</f>
        <v>29802021051017080786394</v>
      </c>
      <c r="C3228" s="7" t="s">
        <v>23</v>
      </c>
      <c r="D3228" s="7" t="str">
        <f>"张秋香"</f>
        <v>张秋香</v>
      </c>
      <c r="E3228" s="7" t="str">
        <f t="shared" si="135"/>
        <v>女</v>
      </c>
    </row>
    <row r="3229" spans="1:5" ht="30" customHeight="1">
      <c r="A3229" s="6">
        <v>3227</v>
      </c>
      <c r="B3229" s="7" t="str">
        <f>"29802021051017171986453"</f>
        <v>29802021051017171986453</v>
      </c>
      <c r="C3229" s="7" t="s">
        <v>23</v>
      </c>
      <c r="D3229" s="7" t="str">
        <f>"郑优丝"</f>
        <v>郑优丝</v>
      </c>
      <c r="E3229" s="7" t="str">
        <f t="shared" si="135"/>
        <v>女</v>
      </c>
    </row>
    <row r="3230" spans="1:5" ht="30" customHeight="1">
      <c r="A3230" s="6">
        <v>3228</v>
      </c>
      <c r="B3230" s="7" t="str">
        <f>"29802021051017191086459"</f>
        <v>29802021051017191086459</v>
      </c>
      <c r="C3230" s="7" t="s">
        <v>23</v>
      </c>
      <c r="D3230" s="7" t="str">
        <f>"李美菊"</f>
        <v>李美菊</v>
      </c>
      <c r="E3230" s="7" t="str">
        <f t="shared" si="135"/>
        <v>女</v>
      </c>
    </row>
    <row r="3231" spans="1:5" ht="30" customHeight="1">
      <c r="A3231" s="6">
        <v>3229</v>
      </c>
      <c r="B3231" s="7" t="str">
        <f>"29802021051017311786513"</f>
        <v>29802021051017311786513</v>
      </c>
      <c r="C3231" s="7" t="s">
        <v>23</v>
      </c>
      <c r="D3231" s="7" t="str">
        <f>"龙桂妃"</f>
        <v>龙桂妃</v>
      </c>
      <c r="E3231" s="7" t="str">
        <f t="shared" si="135"/>
        <v>女</v>
      </c>
    </row>
    <row r="3232" spans="1:5" ht="30" customHeight="1">
      <c r="A3232" s="6">
        <v>3230</v>
      </c>
      <c r="B3232" s="7" t="str">
        <f>"29802021051017324886522"</f>
        <v>29802021051017324886522</v>
      </c>
      <c r="C3232" s="7" t="s">
        <v>23</v>
      </c>
      <c r="D3232" s="7" t="str">
        <f>"胡惠子"</f>
        <v>胡惠子</v>
      </c>
      <c r="E3232" s="7" t="str">
        <f t="shared" si="135"/>
        <v>女</v>
      </c>
    </row>
    <row r="3233" spans="1:5" ht="30" customHeight="1">
      <c r="A3233" s="6">
        <v>3231</v>
      </c>
      <c r="B3233" s="7" t="str">
        <f>"29802021051017401486564"</f>
        <v>29802021051017401486564</v>
      </c>
      <c r="C3233" s="7" t="s">
        <v>23</v>
      </c>
      <c r="D3233" s="7" t="str">
        <f>"文霞"</f>
        <v>文霞</v>
      </c>
      <c r="E3233" s="7" t="str">
        <f t="shared" si="135"/>
        <v>女</v>
      </c>
    </row>
    <row r="3234" spans="1:5" ht="30" customHeight="1">
      <c r="A3234" s="6">
        <v>3232</v>
      </c>
      <c r="B3234" s="7" t="str">
        <f>"29802021051017552786637"</f>
        <v>29802021051017552786637</v>
      </c>
      <c r="C3234" s="7" t="s">
        <v>23</v>
      </c>
      <c r="D3234" s="7" t="str">
        <f>"林南燕"</f>
        <v>林南燕</v>
      </c>
      <c r="E3234" s="7" t="str">
        <f t="shared" si="135"/>
        <v>女</v>
      </c>
    </row>
    <row r="3235" spans="1:5" ht="30" customHeight="1">
      <c r="A3235" s="6">
        <v>3233</v>
      </c>
      <c r="B3235" s="7" t="str">
        <f>"29802021051018095486696"</f>
        <v>29802021051018095486696</v>
      </c>
      <c r="C3235" s="7" t="s">
        <v>23</v>
      </c>
      <c r="D3235" s="7" t="str">
        <f>"张宽彩"</f>
        <v>张宽彩</v>
      </c>
      <c r="E3235" s="7" t="str">
        <f t="shared" si="135"/>
        <v>女</v>
      </c>
    </row>
    <row r="3236" spans="1:5" ht="30" customHeight="1">
      <c r="A3236" s="6">
        <v>3234</v>
      </c>
      <c r="B3236" s="7" t="str">
        <f>"29802021051018100586697"</f>
        <v>29802021051018100586697</v>
      </c>
      <c r="C3236" s="7" t="s">
        <v>23</v>
      </c>
      <c r="D3236" s="7" t="str">
        <f>"符巧"</f>
        <v>符巧</v>
      </c>
      <c r="E3236" s="7" t="str">
        <f t="shared" si="135"/>
        <v>女</v>
      </c>
    </row>
    <row r="3237" spans="1:5" ht="30" customHeight="1">
      <c r="A3237" s="6">
        <v>3235</v>
      </c>
      <c r="B3237" s="7" t="str">
        <f>"29802021051018281186784"</f>
        <v>29802021051018281186784</v>
      </c>
      <c r="C3237" s="7" t="s">
        <v>23</v>
      </c>
      <c r="D3237" s="7" t="str">
        <f>"曾美玲"</f>
        <v>曾美玲</v>
      </c>
      <c r="E3237" s="7" t="str">
        <f t="shared" si="135"/>
        <v>女</v>
      </c>
    </row>
    <row r="3238" spans="1:5" ht="30" customHeight="1">
      <c r="A3238" s="6">
        <v>3236</v>
      </c>
      <c r="B3238" s="7" t="str">
        <f>"29802021051018284686787"</f>
        <v>29802021051018284686787</v>
      </c>
      <c r="C3238" s="7" t="s">
        <v>23</v>
      </c>
      <c r="D3238" s="7" t="str">
        <f>"金庆坤"</f>
        <v>金庆坤</v>
      </c>
      <c r="E3238" s="7" t="str">
        <f t="shared" si="135"/>
        <v>女</v>
      </c>
    </row>
    <row r="3239" spans="1:5" ht="30" customHeight="1">
      <c r="A3239" s="6">
        <v>3237</v>
      </c>
      <c r="B3239" s="7" t="str">
        <f>"29802021051018321186802"</f>
        <v>29802021051018321186802</v>
      </c>
      <c r="C3239" s="7" t="s">
        <v>23</v>
      </c>
      <c r="D3239" s="7" t="str">
        <f>"陈应秀"</f>
        <v>陈应秀</v>
      </c>
      <c r="E3239" s="7" t="str">
        <f t="shared" si="135"/>
        <v>女</v>
      </c>
    </row>
    <row r="3240" spans="1:5" ht="30" customHeight="1">
      <c r="A3240" s="6">
        <v>3238</v>
      </c>
      <c r="B3240" s="7" t="str">
        <f>"29802021051018473986879"</f>
        <v>29802021051018473986879</v>
      </c>
      <c r="C3240" s="7" t="s">
        <v>23</v>
      </c>
      <c r="D3240" s="7" t="str">
        <f>"林梅"</f>
        <v>林梅</v>
      </c>
      <c r="E3240" s="7" t="str">
        <f t="shared" si="135"/>
        <v>女</v>
      </c>
    </row>
    <row r="3241" spans="1:5" ht="30" customHeight="1">
      <c r="A3241" s="6">
        <v>3239</v>
      </c>
      <c r="B3241" s="7" t="str">
        <f>"29802021051018575286923"</f>
        <v>29802021051018575286923</v>
      </c>
      <c r="C3241" s="7" t="s">
        <v>23</v>
      </c>
      <c r="D3241" s="7" t="str">
        <f>"林梦依"</f>
        <v>林梦依</v>
      </c>
      <c r="E3241" s="7" t="str">
        <f t="shared" si="135"/>
        <v>女</v>
      </c>
    </row>
    <row r="3242" spans="1:5" ht="30" customHeight="1">
      <c r="A3242" s="6">
        <v>3240</v>
      </c>
      <c r="B3242" s="7" t="str">
        <f>"29802021051019024986936"</f>
        <v>29802021051019024986936</v>
      </c>
      <c r="C3242" s="7" t="s">
        <v>23</v>
      </c>
      <c r="D3242" s="7" t="str">
        <f>"罗妹娟"</f>
        <v>罗妹娟</v>
      </c>
      <c r="E3242" s="7" t="str">
        <f t="shared" si="135"/>
        <v>女</v>
      </c>
    </row>
    <row r="3243" spans="1:5" ht="30" customHeight="1">
      <c r="A3243" s="6">
        <v>3241</v>
      </c>
      <c r="B3243" s="7" t="str">
        <f>"29802021051019133286980"</f>
        <v>29802021051019133286980</v>
      </c>
      <c r="C3243" s="7" t="s">
        <v>23</v>
      </c>
      <c r="D3243" s="7" t="str">
        <f>"郑雪颖"</f>
        <v>郑雪颖</v>
      </c>
      <c r="E3243" s="7" t="str">
        <f t="shared" si="135"/>
        <v>女</v>
      </c>
    </row>
    <row r="3244" spans="1:5" ht="30" customHeight="1">
      <c r="A3244" s="6">
        <v>3242</v>
      </c>
      <c r="B3244" s="7" t="str">
        <f>"29802021051019181087000"</f>
        <v>29802021051019181087000</v>
      </c>
      <c r="C3244" s="7" t="s">
        <v>23</v>
      </c>
      <c r="D3244" s="7" t="str">
        <f>"陈来欢"</f>
        <v>陈来欢</v>
      </c>
      <c r="E3244" s="7" t="str">
        <f t="shared" si="135"/>
        <v>女</v>
      </c>
    </row>
    <row r="3245" spans="1:5" ht="30" customHeight="1">
      <c r="A3245" s="6">
        <v>3243</v>
      </c>
      <c r="B3245" s="7" t="str">
        <f>"29802021051019252387027"</f>
        <v>29802021051019252387027</v>
      </c>
      <c r="C3245" s="7" t="s">
        <v>23</v>
      </c>
      <c r="D3245" s="7" t="str">
        <f>"黎英女"</f>
        <v>黎英女</v>
      </c>
      <c r="E3245" s="7" t="str">
        <f t="shared" si="135"/>
        <v>女</v>
      </c>
    </row>
    <row r="3246" spans="1:5" ht="30" customHeight="1">
      <c r="A3246" s="6">
        <v>3244</v>
      </c>
      <c r="B3246" s="7" t="str">
        <f>"29802021051019315887053"</f>
        <v>29802021051019315887053</v>
      </c>
      <c r="C3246" s="7" t="s">
        <v>23</v>
      </c>
      <c r="D3246" s="7" t="str">
        <f>"王雪霞"</f>
        <v>王雪霞</v>
      </c>
      <c r="E3246" s="7" t="str">
        <f t="shared" si="135"/>
        <v>女</v>
      </c>
    </row>
    <row r="3247" spans="1:5" ht="30" customHeight="1">
      <c r="A3247" s="6">
        <v>3245</v>
      </c>
      <c r="B3247" s="7" t="str">
        <f>"29802021051019365987066"</f>
        <v>29802021051019365987066</v>
      </c>
      <c r="C3247" s="7" t="s">
        <v>23</v>
      </c>
      <c r="D3247" s="7" t="str">
        <f>"符彩玲"</f>
        <v>符彩玲</v>
      </c>
      <c r="E3247" s="7" t="str">
        <f t="shared" si="135"/>
        <v>女</v>
      </c>
    </row>
    <row r="3248" spans="1:5" ht="30" customHeight="1">
      <c r="A3248" s="6">
        <v>3246</v>
      </c>
      <c r="B3248" s="7" t="str">
        <f>"29802021051019392587074"</f>
        <v>29802021051019392587074</v>
      </c>
      <c r="C3248" s="7" t="s">
        <v>23</v>
      </c>
      <c r="D3248" s="7" t="str">
        <f>"韩启玲"</f>
        <v>韩启玲</v>
      </c>
      <c r="E3248" s="7" t="str">
        <f t="shared" si="135"/>
        <v>女</v>
      </c>
    </row>
    <row r="3249" spans="1:5" ht="30" customHeight="1">
      <c r="A3249" s="6">
        <v>3247</v>
      </c>
      <c r="B3249" s="7" t="str">
        <f>"29802021051019413987086"</f>
        <v>29802021051019413987086</v>
      </c>
      <c r="C3249" s="7" t="s">
        <v>23</v>
      </c>
      <c r="D3249" s="7" t="str">
        <f>"徐梅女"</f>
        <v>徐梅女</v>
      </c>
      <c r="E3249" s="7" t="str">
        <f t="shared" si="135"/>
        <v>女</v>
      </c>
    </row>
    <row r="3250" spans="1:5" ht="30" customHeight="1">
      <c r="A3250" s="6">
        <v>3248</v>
      </c>
      <c r="B3250" s="7" t="str">
        <f>"29802021051019425687093"</f>
        <v>29802021051019425687093</v>
      </c>
      <c r="C3250" s="7" t="s">
        <v>23</v>
      </c>
      <c r="D3250" s="7" t="str">
        <f>"李晶晶"</f>
        <v>李晶晶</v>
      </c>
      <c r="E3250" s="7" t="str">
        <f t="shared" si="135"/>
        <v>女</v>
      </c>
    </row>
    <row r="3251" spans="1:5" ht="30" customHeight="1">
      <c r="A3251" s="6">
        <v>3249</v>
      </c>
      <c r="B3251" s="7" t="str">
        <f>"29802021051019461587110"</f>
        <v>29802021051019461587110</v>
      </c>
      <c r="C3251" s="7" t="s">
        <v>23</v>
      </c>
      <c r="D3251" s="7" t="str">
        <f>"林咪咪"</f>
        <v>林咪咪</v>
      </c>
      <c r="E3251" s="7" t="str">
        <f t="shared" si="135"/>
        <v>女</v>
      </c>
    </row>
    <row r="3252" spans="1:5" ht="30" customHeight="1">
      <c r="A3252" s="6">
        <v>3250</v>
      </c>
      <c r="B3252" s="7" t="str">
        <f>"29802021051019465887112"</f>
        <v>29802021051019465887112</v>
      </c>
      <c r="C3252" s="7" t="s">
        <v>23</v>
      </c>
      <c r="D3252" s="7" t="str">
        <f>"蒋惠妮"</f>
        <v>蒋惠妮</v>
      </c>
      <c r="E3252" s="7" t="str">
        <f t="shared" si="135"/>
        <v>女</v>
      </c>
    </row>
    <row r="3253" spans="1:5" ht="30" customHeight="1">
      <c r="A3253" s="6">
        <v>3251</v>
      </c>
      <c r="B3253" s="7" t="str">
        <f>"29802021051019584187171"</f>
        <v>29802021051019584187171</v>
      </c>
      <c r="C3253" s="7" t="s">
        <v>23</v>
      </c>
      <c r="D3253" s="7" t="str">
        <f>"符春苗"</f>
        <v>符春苗</v>
      </c>
      <c r="E3253" s="7" t="str">
        <f t="shared" si="135"/>
        <v>女</v>
      </c>
    </row>
    <row r="3254" spans="1:5" ht="30" customHeight="1">
      <c r="A3254" s="6">
        <v>3252</v>
      </c>
      <c r="B3254" s="7" t="str">
        <f>"29802021051019590587175"</f>
        <v>29802021051019590587175</v>
      </c>
      <c r="C3254" s="7" t="s">
        <v>23</v>
      </c>
      <c r="D3254" s="7" t="str">
        <f>"顾小玲"</f>
        <v>顾小玲</v>
      </c>
      <c r="E3254" s="7" t="str">
        <f t="shared" si="135"/>
        <v>女</v>
      </c>
    </row>
    <row r="3255" spans="1:5" ht="30" customHeight="1">
      <c r="A3255" s="6">
        <v>3253</v>
      </c>
      <c r="B3255" s="7" t="str">
        <f>"29802021051020101687231"</f>
        <v>29802021051020101687231</v>
      </c>
      <c r="C3255" s="7" t="s">
        <v>23</v>
      </c>
      <c r="D3255" s="7" t="str">
        <f>"黄衡"</f>
        <v>黄衡</v>
      </c>
      <c r="E3255" s="7" t="str">
        <f t="shared" si="135"/>
        <v>女</v>
      </c>
    </row>
    <row r="3256" spans="1:5" ht="30" customHeight="1">
      <c r="A3256" s="6">
        <v>3254</v>
      </c>
      <c r="B3256" s="7" t="str">
        <f>"29802021051020122587240"</f>
        <v>29802021051020122587240</v>
      </c>
      <c r="C3256" s="7" t="s">
        <v>23</v>
      </c>
      <c r="D3256" s="7" t="str">
        <f>"郑小丹"</f>
        <v>郑小丹</v>
      </c>
      <c r="E3256" s="7" t="str">
        <f t="shared" si="135"/>
        <v>女</v>
      </c>
    </row>
    <row r="3257" spans="1:5" ht="30" customHeight="1">
      <c r="A3257" s="6">
        <v>3255</v>
      </c>
      <c r="B3257" s="7" t="str">
        <f>"29802021051020124887244"</f>
        <v>29802021051020124887244</v>
      </c>
      <c r="C3257" s="7" t="s">
        <v>23</v>
      </c>
      <c r="D3257" s="7" t="str">
        <f>"余璀琳"</f>
        <v>余璀琳</v>
      </c>
      <c r="E3257" s="7" t="str">
        <f t="shared" si="135"/>
        <v>女</v>
      </c>
    </row>
    <row r="3258" spans="1:5" ht="30" customHeight="1">
      <c r="A3258" s="6">
        <v>3256</v>
      </c>
      <c r="B3258" s="7" t="str">
        <f>"29802021051020222787283"</f>
        <v>29802021051020222787283</v>
      </c>
      <c r="C3258" s="7" t="s">
        <v>23</v>
      </c>
      <c r="D3258" s="7" t="str">
        <f>"卢双霞"</f>
        <v>卢双霞</v>
      </c>
      <c r="E3258" s="7" t="str">
        <f t="shared" si="135"/>
        <v>女</v>
      </c>
    </row>
    <row r="3259" spans="1:5" ht="30" customHeight="1">
      <c r="A3259" s="6">
        <v>3257</v>
      </c>
      <c r="B3259" s="7" t="str">
        <f>"29802021051020470987381"</f>
        <v>29802021051020470987381</v>
      </c>
      <c r="C3259" s="7" t="s">
        <v>23</v>
      </c>
      <c r="D3259" s="7" t="str">
        <f>"麦其丽"</f>
        <v>麦其丽</v>
      </c>
      <c r="E3259" s="7" t="str">
        <f t="shared" si="135"/>
        <v>女</v>
      </c>
    </row>
    <row r="3260" spans="1:5" ht="30" customHeight="1">
      <c r="A3260" s="6">
        <v>3258</v>
      </c>
      <c r="B3260" s="7" t="str">
        <f>"29802021051020525587411"</f>
        <v>29802021051020525587411</v>
      </c>
      <c r="C3260" s="7" t="s">
        <v>23</v>
      </c>
      <c r="D3260" s="7" t="str">
        <f>"陈祖捷"</f>
        <v>陈祖捷</v>
      </c>
      <c r="E3260" s="7" t="str">
        <f t="shared" si="135"/>
        <v>女</v>
      </c>
    </row>
    <row r="3261" spans="1:5" ht="30" customHeight="1">
      <c r="A3261" s="6">
        <v>3259</v>
      </c>
      <c r="B3261" s="7" t="str">
        <f>"29802021051020554987422"</f>
        <v>29802021051020554987422</v>
      </c>
      <c r="C3261" s="7" t="s">
        <v>23</v>
      </c>
      <c r="D3261" s="7" t="str">
        <f>"胡妮娜"</f>
        <v>胡妮娜</v>
      </c>
      <c r="E3261" s="7" t="str">
        <f t="shared" si="135"/>
        <v>女</v>
      </c>
    </row>
    <row r="3262" spans="1:5" ht="30" customHeight="1">
      <c r="A3262" s="6">
        <v>3260</v>
      </c>
      <c r="B3262" s="7" t="str">
        <f>"29802021051020571787426"</f>
        <v>29802021051020571787426</v>
      </c>
      <c r="C3262" s="7" t="s">
        <v>23</v>
      </c>
      <c r="D3262" s="7" t="str">
        <f>"冯琼燕"</f>
        <v>冯琼燕</v>
      </c>
      <c r="E3262" s="7" t="str">
        <f t="shared" si="135"/>
        <v>女</v>
      </c>
    </row>
    <row r="3263" spans="1:5" ht="30" customHeight="1">
      <c r="A3263" s="6">
        <v>3261</v>
      </c>
      <c r="B3263" s="7" t="str">
        <f>"29802021051021285487550"</f>
        <v>29802021051021285487550</v>
      </c>
      <c r="C3263" s="7" t="s">
        <v>23</v>
      </c>
      <c r="D3263" s="7" t="str">
        <f>"陈凯莉"</f>
        <v>陈凯莉</v>
      </c>
      <c r="E3263" s="7" t="str">
        <f t="shared" si="135"/>
        <v>女</v>
      </c>
    </row>
    <row r="3264" spans="1:5" ht="30" customHeight="1">
      <c r="A3264" s="6">
        <v>3262</v>
      </c>
      <c r="B3264" s="7" t="str">
        <f>"29802021051021365887602"</f>
        <v>29802021051021365887602</v>
      </c>
      <c r="C3264" s="7" t="s">
        <v>23</v>
      </c>
      <c r="D3264" s="7" t="str">
        <f>"李士香"</f>
        <v>李士香</v>
      </c>
      <c r="E3264" s="7" t="str">
        <f t="shared" si="135"/>
        <v>女</v>
      </c>
    </row>
    <row r="3265" spans="1:5" ht="30" customHeight="1">
      <c r="A3265" s="6">
        <v>3263</v>
      </c>
      <c r="B3265" s="7" t="str">
        <f>"29802021051021415787634"</f>
        <v>29802021051021415787634</v>
      </c>
      <c r="C3265" s="7" t="s">
        <v>23</v>
      </c>
      <c r="D3265" s="7" t="str">
        <f>"蔡青云"</f>
        <v>蔡青云</v>
      </c>
      <c r="E3265" s="7" t="str">
        <f t="shared" si="135"/>
        <v>女</v>
      </c>
    </row>
    <row r="3266" spans="1:5" ht="30" customHeight="1">
      <c r="A3266" s="6">
        <v>3264</v>
      </c>
      <c r="B3266" s="7" t="str">
        <f>"29802021051021474787667"</f>
        <v>29802021051021474787667</v>
      </c>
      <c r="C3266" s="7" t="s">
        <v>23</v>
      </c>
      <c r="D3266" s="7" t="str">
        <f>"杨俊英"</f>
        <v>杨俊英</v>
      </c>
      <c r="E3266" s="7" t="str">
        <f t="shared" si="135"/>
        <v>女</v>
      </c>
    </row>
    <row r="3267" spans="1:5" ht="30" customHeight="1">
      <c r="A3267" s="6">
        <v>3265</v>
      </c>
      <c r="B3267" s="7" t="str">
        <f>"29802021051021581987711"</f>
        <v>29802021051021581987711</v>
      </c>
      <c r="C3267" s="7" t="s">
        <v>23</v>
      </c>
      <c r="D3267" s="7" t="str">
        <f>"陆干恩"</f>
        <v>陆干恩</v>
      </c>
      <c r="E3267" s="7" t="str">
        <f t="shared" si="135"/>
        <v>女</v>
      </c>
    </row>
    <row r="3268" spans="1:5" ht="30" customHeight="1">
      <c r="A3268" s="6">
        <v>3266</v>
      </c>
      <c r="B3268" s="7" t="str">
        <f>"29802021051021585887716"</f>
        <v>29802021051021585887716</v>
      </c>
      <c r="C3268" s="7" t="s">
        <v>23</v>
      </c>
      <c r="D3268" s="7" t="str">
        <f>"李春兰"</f>
        <v>李春兰</v>
      </c>
      <c r="E3268" s="7" t="str">
        <f t="shared" si="135"/>
        <v>女</v>
      </c>
    </row>
    <row r="3269" spans="1:5" ht="30" customHeight="1">
      <c r="A3269" s="6">
        <v>3267</v>
      </c>
      <c r="B3269" s="7" t="str">
        <f>"29802021051022021487727"</f>
        <v>29802021051022021487727</v>
      </c>
      <c r="C3269" s="7" t="s">
        <v>23</v>
      </c>
      <c r="D3269" s="7" t="str">
        <f>"赵承素"</f>
        <v>赵承素</v>
      </c>
      <c r="E3269" s="7" t="str">
        <f t="shared" si="135"/>
        <v>女</v>
      </c>
    </row>
    <row r="3270" spans="1:5" ht="30" customHeight="1">
      <c r="A3270" s="6">
        <v>3268</v>
      </c>
      <c r="B3270" s="7" t="str">
        <f>"29802021051022084587758"</f>
        <v>29802021051022084587758</v>
      </c>
      <c r="C3270" s="7" t="s">
        <v>23</v>
      </c>
      <c r="D3270" s="7" t="str">
        <f>"陈燕妮"</f>
        <v>陈燕妮</v>
      </c>
      <c r="E3270" s="7" t="str">
        <f t="shared" si="135"/>
        <v>女</v>
      </c>
    </row>
    <row r="3271" spans="1:5" ht="30" customHeight="1">
      <c r="A3271" s="6">
        <v>3269</v>
      </c>
      <c r="B3271" s="7" t="str">
        <f>"29802021051022105587770"</f>
        <v>29802021051022105587770</v>
      </c>
      <c r="C3271" s="7" t="s">
        <v>23</v>
      </c>
      <c r="D3271" s="7" t="str">
        <f>"胡亚丹"</f>
        <v>胡亚丹</v>
      </c>
      <c r="E3271" s="7" t="str">
        <f t="shared" si="135"/>
        <v>女</v>
      </c>
    </row>
    <row r="3272" spans="1:5" ht="30" customHeight="1">
      <c r="A3272" s="6">
        <v>3270</v>
      </c>
      <c r="B3272" s="7" t="str">
        <f>"29802021051022124187781"</f>
        <v>29802021051022124187781</v>
      </c>
      <c r="C3272" s="7" t="s">
        <v>23</v>
      </c>
      <c r="D3272" s="7" t="str">
        <f>"郑乐乐"</f>
        <v>郑乐乐</v>
      </c>
      <c r="E3272" s="7" t="str">
        <f t="shared" si="135"/>
        <v>女</v>
      </c>
    </row>
    <row r="3273" spans="1:5" ht="30" customHeight="1">
      <c r="A3273" s="6">
        <v>3271</v>
      </c>
      <c r="B3273" s="7" t="str">
        <f>"29802021051022165087804"</f>
        <v>29802021051022165087804</v>
      </c>
      <c r="C3273" s="7" t="s">
        <v>23</v>
      </c>
      <c r="D3273" s="7" t="str">
        <f>"谢博"</f>
        <v>谢博</v>
      </c>
      <c r="E3273" s="7" t="str">
        <f>"男"</f>
        <v>男</v>
      </c>
    </row>
    <row r="3274" spans="1:5" ht="30" customHeight="1">
      <c r="A3274" s="6">
        <v>3272</v>
      </c>
      <c r="B3274" s="7" t="str">
        <f>"29802021051022283387854"</f>
        <v>29802021051022283387854</v>
      </c>
      <c r="C3274" s="7" t="s">
        <v>23</v>
      </c>
      <c r="D3274" s="7" t="str">
        <f>"陈燕芳"</f>
        <v>陈燕芳</v>
      </c>
      <c r="E3274" s="7" t="str">
        <f aca="true" t="shared" si="136" ref="E3274:E3318">"女"</f>
        <v>女</v>
      </c>
    </row>
    <row r="3275" spans="1:5" ht="30" customHeight="1">
      <c r="A3275" s="6">
        <v>3273</v>
      </c>
      <c r="B3275" s="7" t="str">
        <f>"29802021051022313487866"</f>
        <v>29802021051022313487866</v>
      </c>
      <c r="C3275" s="7" t="s">
        <v>23</v>
      </c>
      <c r="D3275" s="7" t="str">
        <f>"李二秋"</f>
        <v>李二秋</v>
      </c>
      <c r="E3275" s="7" t="str">
        <f t="shared" si="136"/>
        <v>女</v>
      </c>
    </row>
    <row r="3276" spans="1:5" ht="30" customHeight="1">
      <c r="A3276" s="6">
        <v>3274</v>
      </c>
      <c r="B3276" s="7" t="str">
        <f>"29802021051022331587872"</f>
        <v>29802021051022331587872</v>
      </c>
      <c r="C3276" s="7" t="s">
        <v>23</v>
      </c>
      <c r="D3276" s="7" t="str">
        <f>"王微"</f>
        <v>王微</v>
      </c>
      <c r="E3276" s="7" t="str">
        <f t="shared" si="136"/>
        <v>女</v>
      </c>
    </row>
    <row r="3277" spans="1:5" ht="30" customHeight="1">
      <c r="A3277" s="6">
        <v>3275</v>
      </c>
      <c r="B3277" s="7" t="str">
        <f>"29802021051022351587879"</f>
        <v>29802021051022351587879</v>
      </c>
      <c r="C3277" s="7" t="s">
        <v>23</v>
      </c>
      <c r="D3277" s="7" t="str">
        <f>"黄春明"</f>
        <v>黄春明</v>
      </c>
      <c r="E3277" s="7" t="str">
        <f t="shared" si="136"/>
        <v>女</v>
      </c>
    </row>
    <row r="3278" spans="1:5" ht="30" customHeight="1">
      <c r="A3278" s="6">
        <v>3276</v>
      </c>
      <c r="B3278" s="7" t="str">
        <f>"29802021051022420287903"</f>
        <v>29802021051022420287903</v>
      </c>
      <c r="C3278" s="7" t="s">
        <v>23</v>
      </c>
      <c r="D3278" s="7" t="str">
        <f>"方舒怡"</f>
        <v>方舒怡</v>
      </c>
      <c r="E3278" s="7" t="str">
        <f t="shared" si="136"/>
        <v>女</v>
      </c>
    </row>
    <row r="3279" spans="1:5" ht="30" customHeight="1">
      <c r="A3279" s="6">
        <v>3277</v>
      </c>
      <c r="B3279" s="7" t="str">
        <f>"29802021051022453687917"</f>
        <v>29802021051022453687917</v>
      </c>
      <c r="C3279" s="7" t="s">
        <v>23</v>
      </c>
      <c r="D3279" s="7" t="str">
        <f>"庞建萍"</f>
        <v>庞建萍</v>
      </c>
      <c r="E3279" s="7" t="str">
        <f t="shared" si="136"/>
        <v>女</v>
      </c>
    </row>
    <row r="3280" spans="1:5" ht="30" customHeight="1">
      <c r="A3280" s="6">
        <v>3278</v>
      </c>
      <c r="B3280" s="7" t="str">
        <f>"29802021051022471487925"</f>
        <v>29802021051022471487925</v>
      </c>
      <c r="C3280" s="7" t="s">
        <v>23</v>
      </c>
      <c r="D3280" s="7" t="str">
        <f>"林慧"</f>
        <v>林慧</v>
      </c>
      <c r="E3280" s="7" t="str">
        <f t="shared" si="136"/>
        <v>女</v>
      </c>
    </row>
    <row r="3281" spans="1:5" ht="30" customHeight="1">
      <c r="A3281" s="6">
        <v>3279</v>
      </c>
      <c r="B3281" s="7" t="str">
        <f>"29802021051022574487961"</f>
        <v>29802021051022574487961</v>
      </c>
      <c r="C3281" s="7" t="s">
        <v>23</v>
      </c>
      <c r="D3281" s="7" t="str">
        <f>"郭仁晶"</f>
        <v>郭仁晶</v>
      </c>
      <c r="E3281" s="7" t="str">
        <f t="shared" si="136"/>
        <v>女</v>
      </c>
    </row>
    <row r="3282" spans="1:5" ht="30" customHeight="1">
      <c r="A3282" s="6">
        <v>3280</v>
      </c>
      <c r="B3282" s="7" t="str">
        <f>"29802021051022575387962"</f>
        <v>29802021051022575387962</v>
      </c>
      <c r="C3282" s="7" t="s">
        <v>23</v>
      </c>
      <c r="D3282" s="7" t="str">
        <f>"金玉荣"</f>
        <v>金玉荣</v>
      </c>
      <c r="E3282" s="7" t="str">
        <f t="shared" si="136"/>
        <v>女</v>
      </c>
    </row>
    <row r="3283" spans="1:5" ht="30" customHeight="1">
      <c r="A3283" s="6">
        <v>3281</v>
      </c>
      <c r="B3283" s="7" t="str">
        <f>"29802021051022584587966"</f>
        <v>29802021051022584587966</v>
      </c>
      <c r="C3283" s="7" t="s">
        <v>23</v>
      </c>
      <c r="D3283" s="7" t="str">
        <f>"苏婧"</f>
        <v>苏婧</v>
      </c>
      <c r="E3283" s="7" t="str">
        <f t="shared" si="136"/>
        <v>女</v>
      </c>
    </row>
    <row r="3284" spans="1:5" ht="30" customHeight="1">
      <c r="A3284" s="6">
        <v>3282</v>
      </c>
      <c r="B3284" s="7" t="str">
        <f>"29802021051023154388017"</f>
        <v>29802021051023154388017</v>
      </c>
      <c r="C3284" s="7" t="s">
        <v>23</v>
      </c>
      <c r="D3284" s="7" t="str">
        <f>"王明禧"</f>
        <v>王明禧</v>
      </c>
      <c r="E3284" s="7" t="str">
        <f t="shared" si="136"/>
        <v>女</v>
      </c>
    </row>
    <row r="3285" spans="1:5" ht="30" customHeight="1">
      <c r="A3285" s="6">
        <v>3283</v>
      </c>
      <c r="B3285" s="7" t="str">
        <f>"29802021051023243188044"</f>
        <v>29802021051023243188044</v>
      </c>
      <c r="C3285" s="7" t="s">
        <v>23</v>
      </c>
      <c r="D3285" s="7" t="str">
        <f>"王娇"</f>
        <v>王娇</v>
      </c>
      <c r="E3285" s="7" t="str">
        <f t="shared" si="136"/>
        <v>女</v>
      </c>
    </row>
    <row r="3286" spans="1:5" ht="30" customHeight="1">
      <c r="A3286" s="6">
        <v>3284</v>
      </c>
      <c r="B3286" s="7" t="str">
        <f>"29802021051023264388047"</f>
        <v>29802021051023264388047</v>
      </c>
      <c r="C3286" s="7" t="s">
        <v>23</v>
      </c>
      <c r="D3286" s="7" t="str">
        <f>"孟春爽"</f>
        <v>孟春爽</v>
      </c>
      <c r="E3286" s="7" t="str">
        <f t="shared" si="136"/>
        <v>女</v>
      </c>
    </row>
    <row r="3287" spans="1:5" ht="30" customHeight="1">
      <c r="A3287" s="6">
        <v>3285</v>
      </c>
      <c r="B3287" s="7" t="str">
        <f>"29802021051023275388052"</f>
        <v>29802021051023275388052</v>
      </c>
      <c r="C3287" s="7" t="s">
        <v>23</v>
      </c>
      <c r="D3287" s="7" t="str">
        <f>"方惠雪"</f>
        <v>方惠雪</v>
      </c>
      <c r="E3287" s="7" t="str">
        <f t="shared" si="136"/>
        <v>女</v>
      </c>
    </row>
    <row r="3288" spans="1:5" ht="30" customHeight="1">
      <c r="A3288" s="6">
        <v>3286</v>
      </c>
      <c r="B3288" s="7" t="str">
        <f>"29802021051023311688061"</f>
        <v>29802021051023311688061</v>
      </c>
      <c r="C3288" s="7" t="s">
        <v>23</v>
      </c>
      <c r="D3288" s="7" t="str">
        <f>"梁甜"</f>
        <v>梁甜</v>
      </c>
      <c r="E3288" s="7" t="str">
        <f t="shared" si="136"/>
        <v>女</v>
      </c>
    </row>
    <row r="3289" spans="1:5" ht="30" customHeight="1">
      <c r="A3289" s="6">
        <v>3287</v>
      </c>
      <c r="B3289" s="7" t="str">
        <f>"29802021051023430288082"</f>
        <v>29802021051023430288082</v>
      </c>
      <c r="C3289" s="7" t="s">
        <v>23</v>
      </c>
      <c r="D3289" s="7" t="str">
        <f>"韦小方"</f>
        <v>韦小方</v>
      </c>
      <c r="E3289" s="7" t="str">
        <f t="shared" si="136"/>
        <v>女</v>
      </c>
    </row>
    <row r="3290" spans="1:5" ht="30" customHeight="1">
      <c r="A3290" s="6">
        <v>3288</v>
      </c>
      <c r="B3290" s="7" t="str">
        <f>"29802021051023502688097"</f>
        <v>29802021051023502688097</v>
      </c>
      <c r="C3290" s="7" t="s">
        <v>23</v>
      </c>
      <c r="D3290" s="7" t="str">
        <f>"宋晓丽"</f>
        <v>宋晓丽</v>
      </c>
      <c r="E3290" s="7" t="str">
        <f t="shared" si="136"/>
        <v>女</v>
      </c>
    </row>
    <row r="3291" spans="1:5" ht="30" customHeight="1">
      <c r="A3291" s="6">
        <v>3289</v>
      </c>
      <c r="B3291" s="7" t="str">
        <f>"29802021051107455988219"</f>
        <v>29802021051107455988219</v>
      </c>
      <c r="C3291" s="7" t="s">
        <v>23</v>
      </c>
      <c r="D3291" s="7" t="str">
        <f>"苏丽玲"</f>
        <v>苏丽玲</v>
      </c>
      <c r="E3291" s="7" t="str">
        <f t="shared" si="136"/>
        <v>女</v>
      </c>
    </row>
    <row r="3292" spans="1:5" ht="30" customHeight="1">
      <c r="A3292" s="6">
        <v>3290</v>
      </c>
      <c r="B3292" s="7" t="str">
        <f>"29802021051107524988225"</f>
        <v>29802021051107524988225</v>
      </c>
      <c r="C3292" s="7" t="s">
        <v>23</v>
      </c>
      <c r="D3292" s="7" t="str">
        <f>"陈玉翠"</f>
        <v>陈玉翠</v>
      </c>
      <c r="E3292" s="7" t="str">
        <f t="shared" si="136"/>
        <v>女</v>
      </c>
    </row>
    <row r="3293" spans="1:5" ht="30" customHeight="1">
      <c r="A3293" s="6">
        <v>3291</v>
      </c>
      <c r="B3293" s="7" t="str">
        <f>"29802021051108204588261"</f>
        <v>29802021051108204588261</v>
      </c>
      <c r="C3293" s="7" t="s">
        <v>23</v>
      </c>
      <c r="D3293" s="7" t="str">
        <f>"吴冬梅"</f>
        <v>吴冬梅</v>
      </c>
      <c r="E3293" s="7" t="str">
        <f t="shared" si="136"/>
        <v>女</v>
      </c>
    </row>
    <row r="3294" spans="1:5" ht="30" customHeight="1">
      <c r="A3294" s="6">
        <v>3292</v>
      </c>
      <c r="B3294" s="7" t="str">
        <f>"29802021051109014488418"</f>
        <v>29802021051109014488418</v>
      </c>
      <c r="C3294" s="7" t="s">
        <v>23</v>
      </c>
      <c r="D3294" s="7" t="str">
        <f>"李沐杍"</f>
        <v>李沐杍</v>
      </c>
      <c r="E3294" s="7" t="str">
        <f t="shared" si="136"/>
        <v>女</v>
      </c>
    </row>
    <row r="3295" spans="1:5" ht="30" customHeight="1">
      <c r="A3295" s="6">
        <v>3293</v>
      </c>
      <c r="B3295" s="7" t="str">
        <f>"29802021051109123888474"</f>
        <v>29802021051109123888474</v>
      </c>
      <c r="C3295" s="7" t="s">
        <v>23</v>
      </c>
      <c r="D3295" s="7" t="str">
        <f>"江盼盼"</f>
        <v>江盼盼</v>
      </c>
      <c r="E3295" s="7" t="str">
        <f t="shared" si="136"/>
        <v>女</v>
      </c>
    </row>
    <row r="3296" spans="1:5" ht="30" customHeight="1">
      <c r="A3296" s="6">
        <v>3294</v>
      </c>
      <c r="B3296" s="7" t="str">
        <f>"29802021051109223588516"</f>
        <v>29802021051109223588516</v>
      </c>
      <c r="C3296" s="7" t="s">
        <v>23</v>
      </c>
      <c r="D3296" s="7" t="str">
        <f>"方建芬"</f>
        <v>方建芬</v>
      </c>
      <c r="E3296" s="7" t="str">
        <f t="shared" si="136"/>
        <v>女</v>
      </c>
    </row>
    <row r="3297" spans="1:5" ht="30" customHeight="1">
      <c r="A3297" s="6">
        <v>3295</v>
      </c>
      <c r="B3297" s="7" t="str">
        <f>"29802021051109330888559"</f>
        <v>29802021051109330888559</v>
      </c>
      <c r="C3297" s="7" t="s">
        <v>23</v>
      </c>
      <c r="D3297" s="7" t="str">
        <f>"孙淑麟"</f>
        <v>孙淑麟</v>
      </c>
      <c r="E3297" s="7" t="str">
        <f t="shared" si="136"/>
        <v>女</v>
      </c>
    </row>
    <row r="3298" spans="1:5" ht="30" customHeight="1">
      <c r="A3298" s="6">
        <v>3296</v>
      </c>
      <c r="B3298" s="7" t="str">
        <f>"29802021051109334788563"</f>
        <v>29802021051109334788563</v>
      </c>
      <c r="C3298" s="7" t="s">
        <v>23</v>
      </c>
      <c r="D3298" s="7" t="str">
        <f>"方资粹"</f>
        <v>方资粹</v>
      </c>
      <c r="E3298" s="7" t="str">
        <f t="shared" si="136"/>
        <v>女</v>
      </c>
    </row>
    <row r="3299" spans="1:5" ht="30" customHeight="1">
      <c r="A3299" s="6">
        <v>3297</v>
      </c>
      <c r="B3299" s="7" t="str">
        <f>"29802021051109423688611"</f>
        <v>29802021051109423688611</v>
      </c>
      <c r="C3299" s="7" t="s">
        <v>23</v>
      </c>
      <c r="D3299" s="7" t="str">
        <f>"王吉南"</f>
        <v>王吉南</v>
      </c>
      <c r="E3299" s="7" t="str">
        <f t="shared" si="136"/>
        <v>女</v>
      </c>
    </row>
    <row r="3300" spans="1:5" ht="30" customHeight="1">
      <c r="A3300" s="6">
        <v>3298</v>
      </c>
      <c r="B3300" s="7" t="str">
        <f>"29802021051109471088629"</f>
        <v>29802021051109471088629</v>
      </c>
      <c r="C3300" s="7" t="s">
        <v>23</v>
      </c>
      <c r="D3300" s="7" t="str">
        <f>"吴秋扬"</f>
        <v>吴秋扬</v>
      </c>
      <c r="E3300" s="7" t="str">
        <f t="shared" si="136"/>
        <v>女</v>
      </c>
    </row>
    <row r="3301" spans="1:5" ht="30" customHeight="1">
      <c r="A3301" s="6">
        <v>3299</v>
      </c>
      <c r="B3301" s="7" t="str">
        <f>"29802021051109485188637"</f>
        <v>29802021051109485188637</v>
      </c>
      <c r="C3301" s="7" t="s">
        <v>23</v>
      </c>
      <c r="D3301" s="7" t="str">
        <f>"蔡亚会"</f>
        <v>蔡亚会</v>
      </c>
      <c r="E3301" s="7" t="str">
        <f t="shared" si="136"/>
        <v>女</v>
      </c>
    </row>
    <row r="3302" spans="1:5" ht="30" customHeight="1">
      <c r="A3302" s="6">
        <v>3300</v>
      </c>
      <c r="B3302" s="7" t="str">
        <f>"29802021051109520988655"</f>
        <v>29802021051109520988655</v>
      </c>
      <c r="C3302" s="7" t="s">
        <v>23</v>
      </c>
      <c r="D3302" s="7" t="str">
        <f>"邢丽满"</f>
        <v>邢丽满</v>
      </c>
      <c r="E3302" s="7" t="str">
        <f t="shared" si="136"/>
        <v>女</v>
      </c>
    </row>
    <row r="3303" spans="1:5" ht="30" customHeight="1">
      <c r="A3303" s="6">
        <v>3301</v>
      </c>
      <c r="B3303" s="7" t="str">
        <f>"29802021051109534788664"</f>
        <v>29802021051109534788664</v>
      </c>
      <c r="C3303" s="7" t="s">
        <v>23</v>
      </c>
      <c r="D3303" s="7" t="str">
        <f>"何贤香"</f>
        <v>何贤香</v>
      </c>
      <c r="E3303" s="7" t="str">
        <f t="shared" si="136"/>
        <v>女</v>
      </c>
    </row>
    <row r="3304" spans="1:5" ht="30" customHeight="1">
      <c r="A3304" s="6">
        <v>3302</v>
      </c>
      <c r="B3304" s="7" t="str">
        <f>"29802021051110092388741"</f>
        <v>29802021051110092388741</v>
      </c>
      <c r="C3304" s="7" t="s">
        <v>23</v>
      </c>
      <c r="D3304" s="7" t="str">
        <f>"陈丽梅"</f>
        <v>陈丽梅</v>
      </c>
      <c r="E3304" s="7" t="str">
        <f t="shared" si="136"/>
        <v>女</v>
      </c>
    </row>
    <row r="3305" spans="1:5" ht="30" customHeight="1">
      <c r="A3305" s="6">
        <v>3303</v>
      </c>
      <c r="B3305" s="7" t="str">
        <f>"29802021051110095688742"</f>
        <v>29802021051110095688742</v>
      </c>
      <c r="C3305" s="7" t="s">
        <v>23</v>
      </c>
      <c r="D3305" s="7" t="str">
        <f>"吴小花"</f>
        <v>吴小花</v>
      </c>
      <c r="E3305" s="7" t="str">
        <f t="shared" si="136"/>
        <v>女</v>
      </c>
    </row>
    <row r="3306" spans="1:5" ht="30" customHeight="1">
      <c r="A3306" s="6">
        <v>3304</v>
      </c>
      <c r="B3306" s="7" t="str">
        <f>"29802021051110494388951"</f>
        <v>29802021051110494388951</v>
      </c>
      <c r="C3306" s="7" t="s">
        <v>23</v>
      </c>
      <c r="D3306" s="7" t="str">
        <f>"蒙柔烨"</f>
        <v>蒙柔烨</v>
      </c>
      <c r="E3306" s="7" t="str">
        <f t="shared" si="136"/>
        <v>女</v>
      </c>
    </row>
    <row r="3307" spans="1:5" ht="30" customHeight="1">
      <c r="A3307" s="6">
        <v>3305</v>
      </c>
      <c r="B3307" s="7" t="str">
        <f>"29802021051111001889017"</f>
        <v>29802021051111001889017</v>
      </c>
      <c r="C3307" s="7" t="s">
        <v>23</v>
      </c>
      <c r="D3307" s="7" t="str">
        <f>"陈春宇"</f>
        <v>陈春宇</v>
      </c>
      <c r="E3307" s="7" t="str">
        <f t="shared" si="136"/>
        <v>女</v>
      </c>
    </row>
    <row r="3308" spans="1:5" ht="30" customHeight="1">
      <c r="A3308" s="6">
        <v>3306</v>
      </c>
      <c r="B3308" s="7" t="str">
        <f>"29802021051111523489209"</f>
        <v>29802021051111523489209</v>
      </c>
      <c r="C3308" s="7" t="s">
        <v>23</v>
      </c>
      <c r="D3308" s="7" t="str">
        <f>"覃小幸"</f>
        <v>覃小幸</v>
      </c>
      <c r="E3308" s="7" t="str">
        <f t="shared" si="136"/>
        <v>女</v>
      </c>
    </row>
    <row r="3309" spans="1:5" ht="30" customHeight="1">
      <c r="A3309" s="6">
        <v>3307</v>
      </c>
      <c r="B3309" s="7" t="str">
        <f>"29802021051112255389302"</f>
        <v>29802021051112255389302</v>
      </c>
      <c r="C3309" s="7" t="s">
        <v>23</v>
      </c>
      <c r="D3309" s="7" t="str">
        <f>"姜婉萍"</f>
        <v>姜婉萍</v>
      </c>
      <c r="E3309" s="7" t="str">
        <f t="shared" si="136"/>
        <v>女</v>
      </c>
    </row>
    <row r="3310" spans="1:5" ht="30" customHeight="1">
      <c r="A3310" s="6">
        <v>3308</v>
      </c>
      <c r="B3310" s="7" t="str">
        <f>"29802021051112264089307"</f>
        <v>29802021051112264089307</v>
      </c>
      <c r="C3310" s="7" t="s">
        <v>23</v>
      </c>
      <c r="D3310" s="7" t="str">
        <f>"欧哲玲"</f>
        <v>欧哲玲</v>
      </c>
      <c r="E3310" s="7" t="str">
        <f t="shared" si="136"/>
        <v>女</v>
      </c>
    </row>
    <row r="3311" spans="1:5" ht="30" customHeight="1">
      <c r="A3311" s="6">
        <v>3309</v>
      </c>
      <c r="B3311" s="7" t="str">
        <f>"29802021051112285989318"</f>
        <v>29802021051112285989318</v>
      </c>
      <c r="C3311" s="7" t="s">
        <v>23</v>
      </c>
      <c r="D3311" s="7" t="str">
        <f>"莫艳菲"</f>
        <v>莫艳菲</v>
      </c>
      <c r="E3311" s="7" t="str">
        <f t="shared" si="136"/>
        <v>女</v>
      </c>
    </row>
    <row r="3312" spans="1:5" ht="30" customHeight="1">
      <c r="A3312" s="6">
        <v>3310</v>
      </c>
      <c r="B3312" s="7" t="str">
        <f>"29802021051112423789362"</f>
        <v>29802021051112423789362</v>
      </c>
      <c r="C3312" s="7" t="s">
        <v>23</v>
      </c>
      <c r="D3312" s="7" t="str">
        <f>"武文（曾用名：武婧）"</f>
        <v>武文（曾用名：武婧）</v>
      </c>
      <c r="E3312" s="7" t="str">
        <f t="shared" si="136"/>
        <v>女</v>
      </c>
    </row>
    <row r="3313" spans="1:5" ht="30" customHeight="1">
      <c r="A3313" s="6">
        <v>3311</v>
      </c>
      <c r="B3313" s="7" t="str">
        <f>"29802021051112442589368"</f>
        <v>29802021051112442589368</v>
      </c>
      <c r="C3313" s="7" t="s">
        <v>23</v>
      </c>
      <c r="D3313" s="7" t="str">
        <f>"周晶"</f>
        <v>周晶</v>
      </c>
      <c r="E3313" s="7" t="str">
        <f t="shared" si="136"/>
        <v>女</v>
      </c>
    </row>
    <row r="3314" spans="1:5" ht="30" customHeight="1">
      <c r="A3314" s="6">
        <v>3312</v>
      </c>
      <c r="B3314" s="7" t="str">
        <f>"29802021051112515789390"</f>
        <v>29802021051112515789390</v>
      </c>
      <c r="C3314" s="7" t="s">
        <v>23</v>
      </c>
      <c r="D3314" s="7" t="str">
        <f>"吴燕"</f>
        <v>吴燕</v>
      </c>
      <c r="E3314" s="7" t="str">
        <f t="shared" si="136"/>
        <v>女</v>
      </c>
    </row>
    <row r="3315" spans="1:5" ht="30" customHeight="1">
      <c r="A3315" s="6">
        <v>3313</v>
      </c>
      <c r="B3315" s="7" t="str">
        <f>"29802021051113191789444"</f>
        <v>29802021051113191789444</v>
      </c>
      <c r="C3315" s="7" t="s">
        <v>23</v>
      </c>
      <c r="D3315" s="7" t="str">
        <f>"程彩云"</f>
        <v>程彩云</v>
      </c>
      <c r="E3315" s="7" t="str">
        <f t="shared" si="136"/>
        <v>女</v>
      </c>
    </row>
    <row r="3316" spans="1:5" ht="30" customHeight="1">
      <c r="A3316" s="6">
        <v>3314</v>
      </c>
      <c r="B3316" s="7" t="str">
        <f>"29802021051113300789464"</f>
        <v>29802021051113300789464</v>
      </c>
      <c r="C3316" s="7" t="s">
        <v>23</v>
      </c>
      <c r="D3316" s="7" t="str">
        <f>"符昌熙"</f>
        <v>符昌熙</v>
      </c>
      <c r="E3316" s="7" t="str">
        <f t="shared" si="136"/>
        <v>女</v>
      </c>
    </row>
    <row r="3317" spans="1:5" ht="30" customHeight="1">
      <c r="A3317" s="6">
        <v>3315</v>
      </c>
      <c r="B3317" s="7" t="str">
        <f>"29802021051113304489466"</f>
        <v>29802021051113304489466</v>
      </c>
      <c r="C3317" s="7" t="s">
        <v>23</v>
      </c>
      <c r="D3317" s="7" t="str">
        <f>"林志娴"</f>
        <v>林志娴</v>
      </c>
      <c r="E3317" s="7" t="str">
        <f t="shared" si="136"/>
        <v>女</v>
      </c>
    </row>
    <row r="3318" spans="1:5" ht="30" customHeight="1">
      <c r="A3318" s="6">
        <v>3316</v>
      </c>
      <c r="B3318" s="7" t="str">
        <f>"29802021051114261689575"</f>
        <v>29802021051114261689575</v>
      </c>
      <c r="C3318" s="7" t="s">
        <v>23</v>
      </c>
      <c r="D3318" s="7" t="str">
        <f>"吴晶晶"</f>
        <v>吴晶晶</v>
      </c>
      <c r="E3318" s="7" t="str">
        <f t="shared" si="136"/>
        <v>女</v>
      </c>
    </row>
    <row r="3319" spans="1:5" ht="30" customHeight="1">
      <c r="A3319" s="6">
        <v>3317</v>
      </c>
      <c r="B3319" s="7" t="str">
        <f>"29802021051115110489736"</f>
        <v>29802021051115110489736</v>
      </c>
      <c r="C3319" s="7" t="s">
        <v>23</v>
      </c>
      <c r="D3319" s="7" t="str">
        <f>"洪德岸"</f>
        <v>洪德岸</v>
      </c>
      <c r="E3319" s="7" t="str">
        <f>"男"</f>
        <v>男</v>
      </c>
    </row>
    <row r="3320" spans="1:5" ht="30" customHeight="1">
      <c r="A3320" s="6">
        <v>3318</v>
      </c>
      <c r="B3320" s="7" t="str">
        <f>"29802021051115232189801"</f>
        <v>29802021051115232189801</v>
      </c>
      <c r="C3320" s="7" t="s">
        <v>23</v>
      </c>
      <c r="D3320" s="7" t="str">
        <f>"文宠艳"</f>
        <v>文宠艳</v>
      </c>
      <c r="E3320" s="7" t="str">
        <f aca="true" t="shared" si="137" ref="E3320:E3326">"女"</f>
        <v>女</v>
      </c>
    </row>
    <row r="3321" spans="1:5" ht="30" customHeight="1">
      <c r="A3321" s="6">
        <v>3319</v>
      </c>
      <c r="B3321" s="7" t="str">
        <f>"29802021051115260189816"</f>
        <v>29802021051115260189816</v>
      </c>
      <c r="C3321" s="7" t="s">
        <v>23</v>
      </c>
      <c r="D3321" s="7" t="str">
        <f>"李梦花"</f>
        <v>李梦花</v>
      </c>
      <c r="E3321" s="7" t="str">
        <f t="shared" si="137"/>
        <v>女</v>
      </c>
    </row>
    <row r="3322" spans="1:5" ht="30" customHeight="1">
      <c r="A3322" s="6">
        <v>3320</v>
      </c>
      <c r="B3322" s="7" t="str">
        <f>"29802021051115271289821"</f>
        <v>29802021051115271289821</v>
      </c>
      <c r="C3322" s="7" t="s">
        <v>23</v>
      </c>
      <c r="D3322" s="7" t="str">
        <f>"周良鸳"</f>
        <v>周良鸳</v>
      </c>
      <c r="E3322" s="7" t="str">
        <f t="shared" si="137"/>
        <v>女</v>
      </c>
    </row>
    <row r="3323" spans="1:5" ht="30" customHeight="1">
      <c r="A3323" s="6">
        <v>3321</v>
      </c>
      <c r="B3323" s="7" t="str">
        <f>"29802021051115284289827"</f>
        <v>29802021051115284289827</v>
      </c>
      <c r="C3323" s="7" t="s">
        <v>23</v>
      </c>
      <c r="D3323" s="7" t="str">
        <f>"古彩玉"</f>
        <v>古彩玉</v>
      </c>
      <c r="E3323" s="7" t="str">
        <f t="shared" si="137"/>
        <v>女</v>
      </c>
    </row>
    <row r="3324" spans="1:5" ht="30" customHeight="1">
      <c r="A3324" s="6">
        <v>3322</v>
      </c>
      <c r="B3324" s="7" t="str">
        <f>"29802021051116182390045"</f>
        <v>29802021051116182390045</v>
      </c>
      <c r="C3324" s="7" t="s">
        <v>23</v>
      </c>
      <c r="D3324" s="7" t="str">
        <f>"洪文妃"</f>
        <v>洪文妃</v>
      </c>
      <c r="E3324" s="7" t="str">
        <f t="shared" si="137"/>
        <v>女</v>
      </c>
    </row>
    <row r="3325" spans="1:5" ht="30" customHeight="1">
      <c r="A3325" s="6">
        <v>3323</v>
      </c>
      <c r="B3325" s="7" t="str">
        <f>"29802021051116210990056"</f>
        <v>29802021051116210990056</v>
      </c>
      <c r="C3325" s="7" t="s">
        <v>23</v>
      </c>
      <c r="D3325" s="7" t="str">
        <f>"唐淑娴"</f>
        <v>唐淑娴</v>
      </c>
      <c r="E3325" s="7" t="str">
        <f t="shared" si="137"/>
        <v>女</v>
      </c>
    </row>
    <row r="3326" spans="1:5" ht="30" customHeight="1">
      <c r="A3326" s="6">
        <v>3324</v>
      </c>
      <c r="B3326" s="7" t="str">
        <f>"29802021051117070890220"</f>
        <v>29802021051117070890220</v>
      </c>
      <c r="C3326" s="7" t="s">
        <v>23</v>
      </c>
      <c r="D3326" s="7" t="str">
        <f>"盛天赐"</f>
        <v>盛天赐</v>
      </c>
      <c r="E3326" s="7" t="str">
        <f t="shared" si="137"/>
        <v>女</v>
      </c>
    </row>
    <row r="3327" spans="1:5" ht="30" customHeight="1">
      <c r="A3327" s="6">
        <v>3325</v>
      </c>
      <c r="B3327" s="7" t="str">
        <f>"29802021051117120290234"</f>
        <v>29802021051117120290234</v>
      </c>
      <c r="C3327" s="7" t="s">
        <v>23</v>
      </c>
      <c r="D3327" s="7" t="str">
        <f>"章家诚"</f>
        <v>章家诚</v>
      </c>
      <c r="E3327" s="7" t="str">
        <f>"男"</f>
        <v>男</v>
      </c>
    </row>
    <row r="3328" spans="1:5" ht="30" customHeight="1">
      <c r="A3328" s="6">
        <v>3326</v>
      </c>
      <c r="B3328" s="7" t="str">
        <f>"29802021051117151590245"</f>
        <v>29802021051117151590245</v>
      </c>
      <c r="C3328" s="7" t="s">
        <v>23</v>
      </c>
      <c r="D3328" s="7" t="str">
        <f>"叶亚妹"</f>
        <v>叶亚妹</v>
      </c>
      <c r="E3328" s="7" t="str">
        <f aca="true" t="shared" si="138" ref="E3328:E3368">"女"</f>
        <v>女</v>
      </c>
    </row>
    <row r="3329" spans="1:5" ht="30" customHeight="1">
      <c r="A3329" s="6">
        <v>3327</v>
      </c>
      <c r="B3329" s="7" t="str">
        <f>"29802021051117465890342"</f>
        <v>29802021051117465890342</v>
      </c>
      <c r="C3329" s="7" t="s">
        <v>23</v>
      </c>
      <c r="D3329" s="7" t="str">
        <f>"王春琼"</f>
        <v>王春琼</v>
      </c>
      <c r="E3329" s="7" t="str">
        <f t="shared" si="138"/>
        <v>女</v>
      </c>
    </row>
    <row r="3330" spans="1:5" ht="30" customHeight="1">
      <c r="A3330" s="6">
        <v>3328</v>
      </c>
      <c r="B3330" s="7" t="str">
        <f>"29802021051117562890370"</f>
        <v>29802021051117562890370</v>
      </c>
      <c r="C3330" s="7" t="s">
        <v>23</v>
      </c>
      <c r="D3330" s="7" t="str">
        <f>"林柳桃"</f>
        <v>林柳桃</v>
      </c>
      <c r="E3330" s="7" t="str">
        <f t="shared" si="138"/>
        <v>女</v>
      </c>
    </row>
    <row r="3331" spans="1:5" ht="30" customHeight="1">
      <c r="A3331" s="6">
        <v>3329</v>
      </c>
      <c r="B3331" s="7" t="str">
        <f>"29802021051117570690372"</f>
        <v>29802021051117570690372</v>
      </c>
      <c r="C3331" s="7" t="s">
        <v>23</v>
      </c>
      <c r="D3331" s="7" t="str">
        <f>"蒋上珠"</f>
        <v>蒋上珠</v>
      </c>
      <c r="E3331" s="7" t="str">
        <f t="shared" si="138"/>
        <v>女</v>
      </c>
    </row>
    <row r="3332" spans="1:5" ht="30" customHeight="1">
      <c r="A3332" s="6">
        <v>3330</v>
      </c>
      <c r="B3332" s="7" t="str">
        <f>"29802021051118183790435"</f>
        <v>29802021051118183790435</v>
      </c>
      <c r="C3332" s="7" t="s">
        <v>23</v>
      </c>
      <c r="D3332" s="7" t="str">
        <f>"胡钰琳"</f>
        <v>胡钰琳</v>
      </c>
      <c r="E3332" s="7" t="str">
        <f t="shared" si="138"/>
        <v>女</v>
      </c>
    </row>
    <row r="3333" spans="1:5" ht="30" customHeight="1">
      <c r="A3333" s="6">
        <v>3331</v>
      </c>
      <c r="B3333" s="7" t="str">
        <f>"29802021051118230790453"</f>
        <v>29802021051118230790453</v>
      </c>
      <c r="C3333" s="7" t="s">
        <v>23</v>
      </c>
      <c r="D3333" s="7" t="str">
        <f>"王木春"</f>
        <v>王木春</v>
      </c>
      <c r="E3333" s="7" t="str">
        <f t="shared" si="138"/>
        <v>女</v>
      </c>
    </row>
    <row r="3334" spans="1:5" ht="30" customHeight="1">
      <c r="A3334" s="6">
        <v>3332</v>
      </c>
      <c r="B3334" s="7" t="str">
        <f>"29802021051118264590463"</f>
        <v>29802021051118264590463</v>
      </c>
      <c r="C3334" s="7" t="s">
        <v>23</v>
      </c>
      <c r="D3334" s="7" t="str">
        <f>"羊精玲"</f>
        <v>羊精玲</v>
      </c>
      <c r="E3334" s="7" t="str">
        <f t="shared" si="138"/>
        <v>女</v>
      </c>
    </row>
    <row r="3335" spans="1:5" ht="30" customHeight="1">
      <c r="A3335" s="6">
        <v>3333</v>
      </c>
      <c r="B3335" s="7" t="str">
        <f>"29802021051118531490532"</f>
        <v>29802021051118531490532</v>
      </c>
      <c r="C3335" s="7" t="s">
        <v>23</v>
      </c>
      <c r="D3335" s="7" t="str">
        <f>"王小莉"</f>
        <v>王小莉</v>
      </c>
      <c r="E3335" s="7" t="str">
        <f t="shared" si="138"/>
        <v>女</v>
      </c>
    </row>
    <row r="3336" spans="1:5" ht="30" customHeight="1">
      <c r="A3336" s="6">
        <v>3334</v>
      </c>
      <c r="B3336" s="7" t="str">
        <f>"29802021051118565190542"</f>
        <v>29802021051118565190542</v>
      </c>
      <c r="C3336" s="7" t="s">
        <v>23</v>
      </c>
      <c r="D3336" s="7" t="str">
        <f>"林金香"</f>
        <v>林金香</v>
      </c>
      <c r="E3336" s="7" t="str">
        <f t="shared" si="138"/>
        <v>女</v>
      </c>
    </row>
    <row r="3337" spans="1:5" ht="30" customHeight="1">
      <c r="A3337" s="6">
        <v>3335</v>
      </c>
      <c r="B3337" s="7" t="str">
        <f>"29802021051118595390548"</f>
        <v>29802021051118595390548</v>
      </c>
      <c r="C3337" s="7" t="s">
        <v>23</v>
      </c>
      <c r="D3337" s="7" t="str">
        <f>"符思丽"</f>
        <v>符思丽</v>
      </c>
      <c r="E3337" s="7" t="str">
        <f t="shared" si="138"/>
        <v>女</v>
      </c>
    </row>
    <row r="3338" spans="1:5" ht="30" customHeight="1">
      <c r="A3338" s="6">
        <v>3336</v>
      </c>
      <c r="B3338" s="7" t="str">
        <f>"29802021051119262890618"</f>
        <v>29802021051119262890618</v>
      </c>
      <c r="C3338" s="7" t="s">
        <v>23</v>
      </c>
      <c r="D3338" s="7" t="str">
        <f>"谢明达"</f>
        <v>谢明达</v>
      </c>
      <c r="E3338" s="7" t="str">
        <f t="shared" si="138"/>
        <v>女</v>
      </c>
    </row>
    <row r="3339" spans="1:5" ht="30" customHeight="1">
      <c r="A3339" s="6">
        <v>3337</v>
      </c>
      <c r="B3339" s="7" t="str">
        <f>"29802021051119450090670"</f>
        <v>29802021051119450090670</v>
      </c>
      <c r="C3339" s="7" t="s">
        <v>23</v>
      </c>
      <c r="D3339" s="7" t="str">
        <f>"柳美婷"</f>
        <v>柳美婷</v>
      </c>
      <c r="E3339" s="7" t="str">
        <f t="shared" si="138"/>
        <v>女</v>
      </c>
    </row>
    <row r="3340" spans="1:5" ht="30" customHeight="1">
      <c r="A3340" s="6">
        <v>3338</v>
      </c>
      <c r="B3340" s="7" t="str">
        <f>"29802021051119483490685"</f>
        <v>29802021051119483490685</v>
      </c>
      <c r="C3340" s="7" t="s">
        <v>23</v>
      </c>
      <c r="D3340" s="7" t="str">
        <f>"魏秀珠"</f>
        <v>魏秀珠</v>
      </c>
      <c r="E3340" s="7" t="str">
        <f t="shared" si="138"/>
        <v>女</v>
      </c>
    </row>
    <row r="3341" spans="1:5" ht="30" customHeight="1">
      <c r="A3341" s="6">
        <v>3339</v>
      </c>
      <c r="B3341" s="7" t="str">
        <f>"29802021051120071490738"</f>
        <v>29802021051120071490738</v>
      </c>
      <c r="C3341" s="7" t="s">
        <v>23</v>
      </c>
      <c r="D3341" s="7" t="str">
        <f>"林星岚"</f>
        <v>林星岚</v>
      </c>
      <c r="E3341" s="7" t="str">
        <f t="shared" si="138"/>
        <v>女</v>
      </c>
    </row>
    <row r="3342" spans="1:5" ht="30" customHeight="1">
      <c r="A3342" s="6">
        <v>3340</v>
      </c>
      <c r="B3342" s="7" t="str">
        <f>"29802021051120072090739"</f>
        <v>29802021051120072090739</v>
      </c>
      <c r="C3342" s="7" t="s">
        <v>23</v>
      </c>
      <c r="D3342" s="7" t="str">
        <f>"符宁宁"</f>
        <v>符宁宁</v>
      </c>
      <c r="E3342" s="7" t="str">
        <f t="shared" si="138"/>
        <v>女</v>
      </c>
    </row>
    <row r="3343" spans="1:5" ht="30" customHeight="1">
      <c r="A3343" s="6">
        <v>3341</v>
      </c>
      <c r="B3343" s="7" t="str">
        <f>"29802021051120123890750"</f>
        <v>29802021051120123890750</v>
      </c>
      <c r="C3343" s="7" t="s">
        <v>23</v>
      </c>
      <c r="D3343" s="7" t="str">
        <f>"周海琳"</f>
        <v>周海琳</v>
      </c>
      <c r="E3343" s="7" t="str">
        <f t="shared" si="138"/>
        <v>女</v>
      </c>
    </row>
    <row r="3344" spans="1:5" ht="30" customHeight="1">
      <c r="A3344" s="6">
        <v>3342</v>
      </c>
      <c r="B3344" s="7" t="str">
        <f>"29802021051120311490812"</f>
        <v>29802021051120311490812</v>
      </c>
      <c r="C3344" s="7" t="s">
        <v>23</v>
      </c>
      <c r="D3344" s="7" t="str">
        <f>"韩璐"</f>
        <v>韩璐</v>
      </c>
      <c r="E3344" s="7" t="str">
        <f t="shared" si="138"/>
        <v>女</v>
      </c>
    </row>
    <row r="3345" spans="1:5" ht="30" customHeight="1">
      <c r="A3345" s="6">
        <v>3343</v>
      </c>
      <c r="B3345" s="7" t="str">
        <f>"29802021051120415690845"</f>
        <v>29802021051120415690845</v>
      </c>
      <c r="C3345" s="7" t="s">
        <v>23</v>
      </c>
      <c r="D3345" s="7" t="str">
        <f>"麦桂月"</f>
        <v>麦桂月</v>
      </c>
      <c r="E3345" s="7" t="str">
        <f t="shared" si="138"/>
        <v>女</v>
      </c>
    </row>
    <row r="3346" spans="1:5" ht="30" customHeight="1">
      <c r="A3346" s="6">
        <v>3344</v>
      </c>
      <c r="B3346" s="7" t="str">
        <f>"29802021051120450890854"</f>
        <v>29802021051120450890854</v>
      </c>
      <c r="C3346" s="7" t="s">
        <v>23</v>
      </c>
      <c r="D3346" s="7" t="str">
        <f>"林小青"</f>
        <v>林小青</v>
      </c>
      <c r="E3346" s="7" t="str">
        <f t="shared" si="138"/>
        <v>女</v>
      </c>
    </row>
    <row r="3347" spans="1:5" ht="30" customHeight="1">
      <c r="A3347" s="6">
        <v>3345</v>
      </c>
      <c r="B3347" s="7" t="str">
        <f>"29802021051120463590860"</f>
        <v>29802021051120463590860</v>
      </c>
      <c r="C3347" s="7" t="s">
        <v>23</v>
      </c>
      <c r="D3347" s="7" t="str">
        <f>"李小妹"</f>
        <v>李小妹</v>
      </c>
      <c r="E3347" s="7" t="str">
        <f t="shared" si="138"/>
        <v>女</v>
      </c>
    </row>
    <row r="3348" spans="1:5" ht="30" customHeight="1">
      <c r="A3348" s="6">
        <v>3346</v>
      </c>
      <c r="B3348" s="7" t="str">
        <f>"29802021051120521790875"</f>
        <v>29802021051120521790875</v>
      </c>
      <c r="C3348" s="7" t="s">
        <v>23</v>
      </c>
      <c r="D3348" s="7" t="str">
        <f>"张珍"</f>
        <v>张珍</v>
      </c>
      <c r="E3348" s="7" t="str">
        <f t="shared" si="138"/>
        <v>女</v>
      </c>
    </row>
    <row r="3349" spans="1:5" ht="30" customHeight="1">
      <c r="A3349" s="6">
        <v>3347</v>
      </c>
      <c r="B3349" s="7" t="str">
        <f>"29802021051120570290893"</f>
        <v>29802021051120570290893</v>
      </c>
      <c r="C3349" s="7" t="s">
        <v>23</v>
      </c>
      <c r="D3349" s="7" t="str">
        <f>"梁露文"</f>
        <v>梁露文</v>
      </c>
      <c r="E3349" s="7" t="str">
        <f t="shared" si="138"/>
        <v>女</v>
      </c>
    </row>
    <row r="3350" spans="1:5" ht="30" customHeight="1">
      <c r="A3350" s="6">
        <v>3348</v>
      </c>
      <c r="B3350" s="7" t="str">
        <f>"29802021051120595490904"</f>
        <v>29802021051120595490904</v>
      </c>
      <c r="C3350" s="7" t="s">
        <v>23</v>
      </c>
      <c r="D3350" s="7" t="str">
        <f>"林秀妹"</f>
        <v>林秀妹</v>
      </c>
      <c r="E3350" s="7" t="str">
        <f t="shared" si="138"/>
        <v>女</v>
      </c>
    </row>
    <row r="3351" spans="1:5" ht="30" customHeight="1">
      <c r="A3351" s="6">
        <v>3349</v>
      </c>
      <c r="B3351" s="7" t="str">
        <f>"29802021051121025090907"</f>
        <v>29802021051121025090907</v>
      </c>
      <c r="C3351" s="7" t="s">
        <v>23</v>
      </c>
      <c r="D3351" s="7" t="str">
        <f>"钟虹"</f>
        <v>钟虹</v>
      </c>
      <c r="E3351" s="7" t="str">
        <f t="shared" si="138"/>
        <v>女</v>
      </c>
    </row>
    <row r="3352" spans="1:5" ht="30" customHeight="1">
      <c r="A3352" s="6">
        <v>3350</v>
      </c>
      <c r="B3352" s="7" t="str">
        <f>"29802021051121102290934"</f>
        <v>29802021051121102290934</v>
      </c>
      <c r="C3352" s="7" t="s">
        <v>23</v>
      </c>
      <c r="D3352" s="7" t="str">
        <f>"符多占"</f>
        <v>符多占</v>
      </c>
      <c r="E3352" s="7" t="str">
        <f t="shared" si="138"/>
        <v>女</v>
      </c>
    </row>
    <row r="3353" spans="1:5" ht="30" customHeight="1">
      <c r="A3353" s="6">
        <v>3351</v>
      </c>
      <c r="B3353" s="7" t="str">
        <f>"29802021051121175590960"</f>
        <v>29802021051121175590960</v>
      </c>
      <c r="C3353" s="7" t="s">
        <v>23</v>
      </c>
      <c r="D3353" s="7" t="str">
        <f>"叶倩"</f>
        <v>叶倩</v>
      </c>
      <c r="E3353" s="7" t="str">
        <f t="shared" si="138"/>
        <v>女</v>
      </c>
    </row>
    <row r="3354" spans="1:5" ht="30" customHeight="1">
      <c r="A3354" s="6">
        <v>3352</v>
      </c>
      <c r="B3354" s="7" t="str">
        <f>"29802021051121193390964"</f>
        <v>29802021051121193390964</v>
      </c>
      <c r="C3354" s="7" t="s">
        <v>23</v>
      </c>
      <c r="D3354" s="7" t="str">
        <f>"陈小娜"</f>
        <v>陈小娜</v>
      </c>
      <c r="E3354" s="7" t="str">
        <f t="shared" si="138"/>
        <v>女</v>
      </c>
    </row>
    <row r="3355" spans="1:5" ht="30" customHeight="1">
      <c r="A3355" s="6">
        <v>3353</v>
      </c>
      <c r="B3355" s="7" t="str">
        <f>"29802021051121451791046"</f>
        <v>29802021051121451791046</v>
      </c>
      <c r="C3355" s="7" t="s">
        <v>23</v>
      </c>
      <c r="D3355" s="7" t="str">
        <f>"高桂祉"</f>
        <v>高桂祉</v>
      </c>
      <c r="E3355" s="7" t="str">
        <f t="shared" si="138"/>
        <v>女</v>
      </c>
    </row>
    <row r="3356" spans="1:5" ht="30" customHeight="1">
      <c r="A3356" s="6">
        <v>3354</v>
      </c>
      <c r="B3356" s="7" t="str">
        <f>"29802021051122122191118"</f>
        <v>29802021051122122191118</v>
      </c>
      <c r="C3356" s="7" t="s">
        <v>23</v>
      </c>
      <c r="D3356" s="7" t="str">
        <f>"陈艳莹"</f>
        <v>陈艳莹</v>
      </c>
      <c r="E3356" s="7" t="str">
        <f t="shared" si="138"/>
        <v>女</v>
      </c>
    </row>
    <row r="3357" spans="1:5" ht="30" customHeight="1">
      <c r="A3357" s="6">
        <v>3355</v>
      </c>
      <c r="B3357" s="7" t="str">
        <f>"29802021051122124991120"</f>
        <v>29802021051122124991120</v>
      </c>
      <c r="C3357" s="7" t="s">
        <v>23</v>
      </c>
      <c r="D3357" s="7" t="str">
        <f>"孙小雅"</f>
        <v>孙小雅</v>
      </c>
      <c r="E3357" s="7" t="str">
        <f t="shared" si="138"/>
        <v>女</v>
      </c>
    </row>
    <row r="3358" spans="1:5" ht="30" customHeight="1">
      <c r="A3358" s="6">
        <v>3356</v>
      </c>
      <c r="B3358" s="7" t="str">
        <f>"29802021051122161991131"</f>
        <v>29802021051122161991131</v>
      </c>
      <c r="C3358" s="7" t="s">
        <v>23</v>
      </c>
      <c r="D3358" s="7" t="str">
        <f>"陈家花"</f>
        <v>陈家花</v>
      </c>
      <c r="E3358" s="7" t="str">
        <f t="shared" si="138"/>
        <v>女</v>
      </c>
    </row>
    <row r="3359" spans="1:5" ht="30" customHeight="1">
      <c r="A3359" s="6">
        <v>3357</v>
      </c>
      <c r="B3359" s="7" t="str">
        <f>"29802021051122182491141"</f>
        <v>29802021051122182491141</v>
      </c>
      <c r="C3359" s="7" t="s">
        <v>23</v>
      </c>
      <c r="D3359" s="7" t="str">
        <f>"林娟"</f>
        <v>林娟</v>
      </c>
      <c r="E3359" s="7" t="str">
        <f t="shared" si="138"/>
        <v>女</v>
      </c>
    </row>
    <row r="3360" spans="1:5" ht="30" customHeight="1">
      <c r="A3360" s="6">
        <v>3358</v>
      </c>
      <c r="B3360" s="7" t="str">
        <f>"29802021051122281391172"</f>
        <v>29802021051122281391172</v>
      </c>
      <c r="C3360" s="7" t="s">
        <v>23</v>
      </c>
      <c r="D3360" s="7" t="str">
        <f>"丁永玲"</f>
        <v>丁永玲</v>
      </c>
      <c r="E3360" s="7" t="str">
        <f t="shared" si="138"/>
        <v>女</v>
      </c>
    </row>
    <row r="3361" spans="1:5" ht="30" customHeight="1">
      <c r="A3361" s="6">
        <v>3359</v>
      </c>
      <c r="B3361" s="7" t="str">
        <f>"29802021051122345191200"</f>
        <v>29802021051122345191200</v>
      </c>
      <c r="C3361" s="7" t="s">
        <v>23</v>
      </c>
      <c r="D3361" s="7" t="str">
        <f>"张凯丽"</f>
        <v>张凯丽</v>
      </c>
      <c r="E3361" s="7" t="str">
        <f t="shared" si="138"/>
        <v>女</v>
      </c>
    </row>
    <row r="3362" spans="1:5" ht="30" customHeight="1">
      <c r="A3362" s="6">
        <v>3360</v>
      </c>
      <c r="B3362" s="7" t="str">
        <f>"29802021051122461091230"</f>
        <v>29802021051122461091230</v>
      </c>
      <c r="C3362" s="7" t="s">
        <v>23</v>
      </c>
      <c r="D3362" s="7" t="str">
        <f>"莫秀新"</f>
        <v>莫秀新</v>
      </c>
      <c r="E3362" s="7" t="str">
        <f t="shared" si="138"/>
        <v>女</v>
      </c>
    </row>
    <row r="3363" spans="1:5" ht="30" customHeight="1">
      <c r="A3363" s="6">
        <v>3361</v>
      </c>
      <c r="B3363" s="7" t="str">
        <f>"29802021051123100891280"</f>
        <v>29802021051123100891280</v>
      </c>
      <c r="C3363" s="7" t="s">
        <v>23</v>
      </c>
      <c r="D3363" s="7" t="str">
        <f>"陈桂焕"</f>
        <v>陈桂焕</v>
      </c>
      <c r="E3363" s="7" t="str">
        <f t="shared" si="138"/>
        <v>女</v>
      </c>
    </row>
    <row r="3364" spans="1:5" ht="30" customHeight="1">
      <c r="A3364" s="6">
        <v>3362</v>
      </c>
      <c r="B3364" s="7" t="str">
        <f>"29802021051123121791286"</f>
        <v>29802021051123121791286</v>
      </c>
      <c r="C3364" s="7" t="s">
        <v>23</v>
      </c>
      <c r="D3364" s="7" t="str">
        <f>"许丽英"</f>
        <v>许丽英</v>
      </c>
      <c r="E3364" s="7" t="str">
        <f t="shared" si="138"/>
        <v>女</v>
      </c>
    </row>
    <row r="3365" spans="1:5" ht="30" customHeight="1">
      <c r="A3365" s="6">
        <v>3363</v>
      </c>
      <c r="B3365" s="7" t="str">
        <f>"29802021051123254491311"</f>
        <v>29802021051123254491311</v>
      </c>
      <c r="C3365" s="7" t="s">
        <v>23</v>
      </c>
      <c r="D3365" s="7" t="str">
        <f>"许莲妹"</f>
        <v>许莲妹</v>
      </c>
      <c r="E3365" s="7" t="str">
        <f t="shared" si="138"/>
        <v>女</v>
      </c>
    </row>
    <row r="3366" spans="1:5" ht="30" customHeight="1">
      <c r="A3366" s="6">
        <v>3364</v>
      </c>
      <c r="B3366" s="7" t="str">
        <f>"29802021051123473891335"</f>
        <v>29802021051123473891335</v>
      </c>
      <c r="C3366" s="7" t="s">
        <v>23</v>
      </c>
      <c r="D3366" s="7" t="str">
        <f>"胡秀妃"</f>
        <v>胡秀妃</v>
      </c>
      <c r="E3366" s="7" t="str">
        <f t="shared" si="138"/>
        <v>女</v>
      </c>
    </row>
    <row r="3367" spans="1:5" ht="30" customHeight="1">
      <c r="A3367" s="6">
        <v>3365</v>
      </c>
      <c r="B3367" s="7" t="str">
        <f>"29802021051123543991343"</f>
        <v>29802021051123543991343</v>
      </c>
      <c r="C3367" s="7" t="s">
        <v>23</v>
      </c>
      <c r="D3367" s="7" t="str">
        <f>"赵春娜"</f>
        <v>赵春娜</v>
      </c>
      <c r="E3367" s="7" t="str">
        <f t="shared" si="138"/>
        <v>女</v>
      </c>
    </row>
    <row r="3368" spans="1:5" ht="30" customHeight="1">
      <c r="A3368" s="6">
        <v>3366</v>
      </c>
      <c r="B3368" s="7" t="str">
        <f>"29802021051123583191347"</f>
        <v>29802021051123583191347</v>
      </c>
      <c r="C3368" s="7" t="s">
        <v>23</v>
      </c>
      <c r="D3368" s="7" t="str">
        <f>"羊气育"</f>
        <v>羊气育</v>
      </c>
      <c r="E3368" s="7" t="str">
        <f t="shared" si="138"/>
        <v>女</v>
      </c>
    </row>
    <row r="3369" spans="1:5" ht="30" customHeight="1">
      <c r="A3369" s="6">
        <v>3367</v>
      </c>
      <c r="B3369" s="7" t="str">
        <f>"29802021051200391091373"</f>
        <v>29802021051200391091373</v>
      </c>
      <c r="C3369" s="7" t="s">
        <v>23</v>
      </c>
      <c r="D3369" s="7" t="str">
        <f>"阮高亮"</f>
        <v>阮高亮</v>
      </c>
      <c r="E3369" s="7" t="str">
        <f>"男"</f>
        <v>男</v>
      </c>
    </row>
    <row r="3370" spans="1:5" ht="30" customHeight="1">
      <c r="A3370" s="6">
        <v>3368</v>
      </c>
      <c r="B3370" s="7" t="str">
        <f>"29802021051200591391384"</f>
        <v>29802021051200591391384</v>
      </c>
      <c r="C3370" s="7" t="s">
        <v>23</v>
      </c>
      <c r="D3370" s="7" t="str">
        <f>"周水玲"</f>
        <v>周水玲</v>
      </c>
      <c r="E3370" s="7" t="str">
        <f aca="true" t="shared" si="139" ref="E3370:E3387">"女"</f>
        <v>女</v>
      </c>
    </row>
    <row r="3371" spans="1:5" ht="30" customHeight="1">
      <c r="A3371" s="6">
        <v>3369</v>
      </c>
      <c r="B3371" s="7" t="str">
        <f>"29802021051209153891615"</f>
        <v>29802021051209153891615</v>
      </c>
      <c r="C3371" s="7" t="s">
        <v>23</v>
      </c>
      <c r="D3371" s="7" t="str">
        <f>"吴迷妹"</f>
        <v>吴迷妹</v>
      </c>
      <c r="E3371" s="7" t="str">
        <f t="shared" si="139"/>
        <v>女</v>
      </c>
    </row>
    <row r="3372" spans="1:5" ht="30" customHeight="1">
      <c r="A3372" s="6">
        <v>3370</v>
      </c>
      <c r="B3372" s="7" t="str">
        <f>"29802021051209313691676"</f>
        <v>29802021051209313691676</v>
      </c>
      <c r="C3372" s="7" t="s">
        <v>23</v>
      </c>
      <c r="D3372" s="7" t="str">
        <f>"董淑玲"</f>
        <v>董淑玲</v>
      </c>
      <c r="E3372" s="7" t="str">
        <f t="shared" si="139"/>
        <v>女</v>
      </c>
    </row>
    <row r="3373" spans="1:5" ht="30" customHeight="1">
      <c r="A3373" s="6">
        <v>3371</v>
      </c>
      <c r="B3373" s="7" t="str">
        <f>"29802021051210023691816"</f>
        <v>29802021051210023691816</v>
      </c>
      <c r="C3373" s="7" t="s">
        <v>23</v>
      </c>
      <c r="D3373" s="7" t="str">
        <f>"王文燕"</f>
        <v>王文燕</v>
      </c>
      <c r="E3373" s="7" t="str">
        <f t="shared" si="139"/>
        <v>女</v>
      </c>
    </row>
    <row r="3374" spans="1:5" ht="30" customHeight="1">
      <c r="A3374" s="6">
        <v>3372</v>
      </c>
      <c r="B3374" s="7" t="str">
        <f>"29802021051210055691836"</f>
        <v>29802021051210055691836</v>
      </c>
      <c r="C3374" s="7" t="s">
        <v>23</v>
      </c>
      <c r="D3374" s="7" t="str">
        <f>"何业雅"</f>
        <v>何业雅</v>
      </c>
      <c r="E3374" s="7" t="str">
        <f t="shared" si="139"/>
        <v>女</v>
      </c>
    </row>
    <row r="3375" spans="1:5" ht="30" customHeight="1">
      <c r="A3375" s="6">
        <v>3373</v>
      </c>
      <c r="B3375" s="7" t="str">
        <f>"29802021051210155391881"</f>
        <v>29802021051210155391881</v>
      </c>
      <c r="C3375" s="7" t="s">
        <v>23</v>
      </c>
      <c r="D3375" s="7" t="str">
        <f>"罗丁微"</f>
        <v>罗丁微</v>
      </c>
      <c r="E3375" s="7" t="str">
        <f t="shared" si="139"/>
        <v>女</v>
      </c>
    </row>
    <row r="3376" spans="1:5" ht="30" customHeight="1">
      <c r="A3376" s="6">
        <v>3374</v>
      </c>
      <c r="B3376" s="7" t="str">
        <f>"29802021051210442792028"</f>
        <v>29802021051210442792028</v>
      </c>
      <c r="C3376" s="7" t="s">
        <v>23</v>
      </c>
      <c r="D3376" s="7" t="str">
        <f>"陈薇薇"</f>
        <v>陈薇薇</v>
      </c>
      <c r="E3376" s="7" t="str">
        <f t="shared" si="139"/>
        <v>女</v>
      </c>
    </row>
    <row r="3377" spans="1:5" ht="30" customHeight="1">
      <c r="A3377" s="6">
        <v>3375</v>
      </c>
      <c r="B3377" s="7" t="str">
        <f>"29802021051210480292056"</f>
        <v>29802021051210480292056</v>
      </c>
      <c r="C3377" s="7" t="s">
        <v>23</v>
      </c>
      <c r="D3377" s="7" t="str">
        <f>"林初芬"</f>
        <v>林初芬</v>
      </c>
      <c r="E3377" s="7" t="str">
        <f t="shared" si="139"/>
        <v>女</v>
      </c>
    </row>
    <row r="3378" spans="1:5" ht="30" customHeight="1">
      <c r="A3378" s="6">
        <v>3376</v>
      </c>
      <c r="B3378" s="7" t="str">
        <f>"29802021051211252092223"</f>
        <v>29802021051211252092223</v>
      </c>
      <c r="C3378" s="7" t="s">
        <v>23</v>
      </c>
      <c r="D3378" s="7" t="str">
        <f>"陈虹"</f>
        <v>陈虹</v>
      </c>
      <c r="E3378" s="7" t="str">
        <f t="shared" si="139"/>
        <v>女</v>
      </c>
    </row>
    <row r="3379" spans="1:5" ht="30" customHeight="1">
      <c r="A3379" s="6">
        <v>3377</v>
      </c>
      <c r="B3379" s="7" t="str">
        <f>"29802021051211290092245"</f>
        <v>29802021051211290092245</v>
      </c>
      <c r="C3379" s="7" t="s">
        <v>23</v>
      </c>
      <c r="D3379" s="7" t="str">
        <f>"邢孔立"</f>
        <v>邢孔立</v>
      </c>
      <c r="E3379" s="7" t="str">
        <f t="shared" si="139"/>
        <v>女</v>
      </c>
    </row>
    <row r="3380" spans="1:5" ht="30" customHeight="1">
      <c r="A3380" s="6">
        <v>3378</v>
      </c>
      <c r="B3380" s="7" t="str">
        <f>"29802021051212192492395"</f>
        <v>29802021051212192492395</v>
      </c>
      <c r="C3380" s="7" t="s">
        <v>23</v>
      </c>
      <c r="D3380" s="7" t="str">
        <f>"唐佳丽"</f>
        <v>唐佳丽</v>
      </c>
      <c r="E3380" s="7" t="str">
        <f t="shared" si="139"/>
        <v>女</v>
      </c>
    </row>
    <row r="3381" spans="1:5" ht="30" customHeight="1">
      <c r="A3381" s="6">
        <v>3379</v>
      </c>
      <c r="B3381" s="7" t="str">
        <f>"29802021051212262892418"</f>
        <v>29802021051212262892418</v>
      </c>
      <c r="C3381" s="7" t="s">
        <v>23</v>
      </c>
      <c r="D3381" s="7" t="str">
        <f>"李燕婷"</f>
        <v>李燕婷</v>
      </c>
      <c r="E3381" s="7" t="str">
        <f t="shared" si="139"/>
        <v>女</v>
      </c>
    </row>
    <row r="3382" spans="1:5" ht="30" customHeight="1">
      <c r="A3382" s="6">
        <v>3380</v>
      </c>
      <c r="B3382" s="7" t="str">
        <f>"29802021051212314992433"</f>
        <v>29802021051212314992433</v>
      </c>
      <c r="C3382" s="7" t="s">
        <v>23</v>
      </c>
      <c r="D3382" s="7" t="str">
        <f>"杨玉娇"</f>
        <v>杨玉娇</v>
      </c>
      <c r="E3382" s="7" t="str">
        <f t="shared" si="139"/>
        <v>女</v>
      </c>
    </row>
    <row r="3383" spans="1:5" ht="30" customHeight="1">
      <c r="A3383" s="6">
        <v>3381</v>
      </c>
      <c r="B3383" s="7" t="str">
        <f>"29802021051212362492445"</f>
        <v>29802021051212362492445</v>
      </c>
      <c r="C3383" s="7" t="s">
        <v>23</v>
      </c>
      <c r="D3383" s="7" t="str">
        <f>"许春娜"</f>
        <v>许春娜</v>
      </c>
      <c r="E3383" s="7" t="str">
        <f t="shared" si="139"/>
        <v>女</v>
      </c>
    </row>
    <row r="3384" spans="1:5" ht="30" customHeight="1">
      <c r="A3384" s="6">
        <v>3382</v>
      </c>
      <c r="B3384" s="7" t="str">
        <f>"29802021051212521592494"</f>
        <v>29802021051212521592494</v>
      </c>
      <c r="C3384" s="7" t="s">
        <v>23</v>
      </c>
      <c r="D3384" s="7" t="str">
        <f>"李婧丰"</f>
        <v>李婧丰</v>
      </c>
      <c r="E3384" s="7" t="str">
        <f t="shared" si="139"/>
        <v>女</v>
      </c>
    </row>
    <row r="3385" spans="1:5" ht="30" customHeight="1">
      <c r="A3385" s="6">
        <v>3383</v>
      </c>
      <c r="B3385" s="7" t="str">
        <f>"29802021051212522492495"</f>
        <v>29802021051212522492495</v>
      </c>
      <c r="C3385" s="7" t="s">
        <v>23</v>
      </c>
      <c r="D3385" s="7" t="str">
        <f>"李艺虹"</f>
        <v>李艺虹</v>
      </c>
      <c r="E3385" s="7" t="str">
        <f t="shared" si="139"/>
        <v>女</v>
      </c>
    </row>
    <row r="3386" spans="1:5" ht="30" customHeight="1">
      <c r="A3386" s="6">
        <v>3384</v>
      </c>
      <c r="B3386" s="7" t="str">
        <f>"29802021051212534292502"</f>
        <v>29802021051212534292502</v>
      </c>
      <c r="C3386" s="7" t="s">
        <v>23</v>
      </c>
      <c r="D3386" s="7" t="str">
        <f>"王小琴"</f>
        <v>王小琴</v>
      </c>
      <c r="E3386" s="7" t="str">
        <f t="shared" si="139"/>
        <v>女</v>
      </c>
    </row>
    <row r="3387" spans="1:5" ht="30" customHeight="1">
      <c r="A3387" s="6">
        <v>3385</v>
      </c>
      <c r="B3387" s="7" t="str">
        <f>"29802021051213015592537"</f>
        <v>29802021051213015592537</v>
      </c>
      <c r="C3387" s="7" t="s">
        <v>23</v>
      </c>
      <c r="D3387" s="7" t="str">
        <f>"李娉婷"</f>
        <v>李娉婷</v>
      </c>
      <c r="E3387" s="7" t="str">
        <f t="shared" si="139"/>
        <v>女</v>
      </c>
    </row>
    <row r="3388" spans="1:5" ht="30" customHeight="1">
      <c r="A3388" s="6">
        <v>3386</v>
      </c>
      <c r="B3388" s="7" t="str">
        <f>"29802021051213305292614"</f>
        <v>29802021051213305292614</v>
      </c>
      <c r="C3388" s="7" t="s">
        <v>23</v>
      </c>
      <c r="D3388" s="7" t="str">
        <f>"潘中璧"</f>
        <v>潘中璧</v>
      </c>
      <c r="E3388" s="7" t="str">
        <f>"男"</f>
        <v>男</v>
      </c>
    </row>
    <row r="3389" spans="1:5" ht="30" customHeight="1">
      <c r="A3389" s="6">
        <v>3387</v>
      </c>
      <c r="B3389" s="7" t="str">
        <f>"29802021051215165992872"</f>
        <v>29802021051215165992872</v>
      </c>
      <c r="C3389" s="7" t="s">
        <v>23</v>
      </c>
      <c r="D3389" s="7" t="str">
        <f>"孙云娜"</f>
        <v>孙云娜</v>
      </c>
      <c r="E3389" s="7" t="str">
        <f aca="true" t="shared" si="140" ref="E3389:E3452">"女"</f>
        <v>女</v>
      </c>
    </row>
    <row r="3390" spans="1:5" ht="30" customHeight="1">
      <c r="A3390" s="6">
        <v>3388</v>
      </c>
      <c r="B3390" s="7" t="str">
        <f>"29802021051215325892944"</f>
        <v>29802021051215325892944</v>
      </c>
      <c r="C3390" s="7" t="s">
        <v>23</v>
      </c>
      <c r="D3390" s="7" t="str">
        <f>"符壮丽"</f>
        <v>符壮丽</v>
      </c>
      <c r="E3390" s="7" t="str">
        <f t="shared" si="140"/>
        <v>女</v>
      </c>
    </row>
    <row r="3391" spans="1:5" ht="30" customHeight="1">
      <c r="A3391" s="6">
        <v>3389</v>
      </c>
      <c r="B3391" s="7" t="str">
        <f>"29802021051215532993030"</f>
        <v>29802021051215532993030</v>
      </c>
      <c r="C3391" s="7" t="s">
        <v>23</v>
      </c>
      <c r="D3391" s="7" t="str">
        <f>"吉秀玉"</f>
        <v>吉秀玉</v>
      </c>
      <c r="E3391" s="7" t="str">
        <f t="shared" si="140"/>
        <v>女</v>
      </c>
    </row>
    <row r="3392" spans="1:5" ht="30" customHeight="1">
      <c r="A3392" s="6">
        <v>3390</v>
      </c>
      <c r="B3392" s="7" t="str">
        <f>"29802021051216205993129"</f>
        <v>29802021051216205993129</v>
      </c>
      <c r="C3392" s="7" t="s">
        <v>23</v>
      </c>
      <c r="D3392" s="7" t="str">
        <f>"潘奕亦"</f>
        <v>潘奕亦</v>
      </c>
      <c r="E3392" s="7" t="str">
        <f t="shared" si="140"/>
        <v>女</v>
      </c>
    </row>
    <row r="3393" spans="1:5" ht="30" customHeight="1">
      <c r="A3393" s="6">
        <v>3391</v>
      </c>
      <c r="B3393" s="7" t="str">
        <f>"29802021051216315693170"</f>
        <v>29802021051216315693170</v>
      </c>
      <c r="C3393" s="7" t="s">
        <v>23</v>
      </c>
      <c r="D3393" s="7" t="str">
        <f>"朱萍"</f>
        <v>朱萍</v>
      </c>
      <c r="E3393" s="7" t="str">
        <f t="shared" si="140"/>
        <v>女</v>
      </c>
    </row>
    <row r="3394" spans="1:5" ht="30" customHeight="1">
      <c r="A3394" s="6">
        <v>3392</v>
      </c>
      <c r="B3394" s="7" t="str">
        <f>"29802021051217322393419"</f>
        <v>29802021051217322393419</v>
      </c>
      <c r="C3394" s="7" t="s">
        <v>23</v>
      </c>
      <c r="D3394" s="7" t="str">
        <f>"何思敏"</f>
        <v>何思敏</v>
      </c>
      <c r="E3394" s="7" t="str">
        <f t="shared" si="140"/>
        <v>女</v>
      </c>
    </row>
    <row r="3395" spans="1:5" ht="30" customHeight="1">
      <c r="A3395" s="6">
        <v>3393</v>
      </c>
      <c r="B3395" s="7" t="str">
        <f>"29802021051217332293422"</f>
        <v>29802021051217332293422</v>
      </c>
      <c r="C3395" s="7" t="s">
        <v>23</v>
      </c>
      <c r="D3395" s="7" t="str">
        <f>"陈初菊"</f>
        <v>陈初菊</v>
      </c>
      <c r="E3395" s="7" t="str">
        <f t="shared" si="140"/>
        <v>女</v>
      </c>
    </row>
    <row r="3396" spans="1:5" ht="30" customHeight="1">
      <c r="A3396" s="6">
        <v>3394</v>
      </c>
      <c r="B3396" s="7" t="str">
        <f>"29802021051217460893452"</f>
        <v>29802021051217460893452</v>
      </c>
      <c r="C3396" s="7" t="s">
        <v>23</v>
      </c>
      <c r="D3396" s="7" t="str">
        <f>"麦祖妃"</f>
        <v>麦祖妃</v>
      </c>
      <c r="E3396" s="7" t="str">
        <f t="shared" si="140"/>
        <v>女</v>
      </c>
    </row>
    <row r="3397" spans="1:5" ht="30" customHeight="1">
      <c r="A3397" s="6">
        <v>3395</v>
      </c>
      <c r="B3397" s="7" t="str">
        <f>"29802021051217553693470"</f>
        <v>29802021051217553693470</v>
      </c>
      <c r="C3397" s="7" t="s">
        <v>23</v>
      </c>
      <c r="D3397" s="7" t="str">
        <f>"吴彩虹"</f>
        <v>吴彩虹</v>
      </c>
      <c r="E3397" s="7" t="str">
        <f t="shared" si="140"/>
        <v>女</v>
      </c>
    </row>
    <row r="3398" spans="1:5" ht="30" customHeight="1">
      <c r="A3398" s="6">
        <v>3396</v>
      </c>
      <c r="B3398" s="7" t="str">
        <f>"29802021051218023693487"</f>
        <v>29802021051218023693487</v>
      </c>
      <c r="C3398" s="7" t="s">
        <v>23</v>
      </c>
      <c r="D3398" s="7" t="str">
        <f>"陈娜"</f>
        <v>陈娜</v>
      </c>
      <c r="E3398" s="7" t="str">
        <f t="shared" si="140"/>
        <v>女</v>
      </c>
    </row>
    <row r="3399" spans="1:5" ht="30" customHeight="1">
      <c r="A3399" s="6">
        <v>3397</v>
      </c>
      <c r="B3399" s="7" t="str">
        <f>"29802021051218054593491"</f>
        <v>29802021051218054593491</v>
      </c>
      <c r="C3399" s="7" t="s">
        <v>23</v>
      </c>
      <c r="D3399" s="7" t="str">
        <f>"余少欢"</f>
        <v>余少欢</v>
      </c>
      <c r="E3399" s="7" t="str">
        <f t="shared" si="140"/>
        <v>女</v>
      </c>
    </row>
    <row r="3400" spans="1:5" ht="30" customHeight="1">
      <c r="A3400" s="6">
        <v>3398</v>
      </c>
      <c r="B3400" s="7" t="str">
        <f>"29802021051218252693527"</f>
        <v>29802021051218252693527</v>
      </c>
      <c r="C3400" s="7" t="s">
        <v>23</v>
      </c>
      <c r="D3400" s="7" t="str">
        <f>"王慧转"</f>
        <v>王慧转</v>
      </c>
      <c r="E3400" s="7" t="str">
        <f t="shared" si="140"/>
        <v>女</v>
      </c>
    </row>
    <row r="3401" spans="1:5" ht="30" customHeight="1">
      <c r="A3401" s="6">
        <v>3399</v>
      </c>
      <c r="B3401" s="7" t="str">
        <f>"29802021051219003493591"</f>
        <v>29802021051219003493591</v>
      </c>
      <c r="C3401" s="7" t="s">
        <v>23</v>
      </c>
      <c r="D3401" s="7" t="str">
        <f>"陈婆保"</f>
        <v>陈婆保</v>
      </c>
      <c r="E3401" s="7" t="str">
        <f t="shared" si="140"/>
        <v>女</v>
      </c>
    </row>
    <row r="3402" spans="1:5" ht="30" customHeight="1">
      <c r="A3402" s="6">
        <v>3400</v>
      </c>
      <c r="B3402" s="7" t="str">
        <f>"29802021051219194193626"</f>
        <v>29802021051219194193626</v>
      </c>
      <c r="C3402" s="7" t="s">
        <v>23</v>
      </c>
      <c r="D3402" s="7" t="str">
        <f>"钟海转"</f>
        <v>钟海转</v>
      </c>
      <c r="E3402" s="7" t="str">
        <f t="shared" si="140"/>
        <v>女</v>
      </c>
    </row>
    <row r="3403" spans="1:5" ht="30" customHeight="1">
      <c r="A3403" s="6">
        <v>3401</v>
      </c>
      <c r="B3403" s="7" t="str">
        <f>"29802021051219525293683"</f>
        <v>29802021051219525293683</v>
      </c>
      <c r="C3403" s="7" t="s">
        <v>23</v>
      </c>
      <c r="D3403" s="7" t="str">
        <f>"谢春"</f>
        <v>谢春</v>
      </c>
      <c r="E3403" s="7" t="str">
        <f t="shared" si="140"/>
        <v>女</v>
      </c>
    </row>
    <row r="3404" spans="1:5" ht="30" customHeight="1">
      <c r="A3404" s="6">
        <v>3402</v>
      </c>
      <c r="B3404" s="7" t="str">
        <f>"29802021051220323493773"</f>
        <v>29802021051220323493773</v>
      </c>
      <c r="C3404" s="7" t="s">
        <v>23</v>
      </c>
      <c r="D3404" s="7" t="str">
        <f>"黄小洁"</f>
        <v>黄小洁</v>
      </c>
      <c r="E3404" s="7" t="str">
        <f t="shared" si="140"/>
        <v>女</v>
      </c>
    </row>
    <row r="3405" spans="1:5" ht="30" customHeight="1">
      <c r="A3405" s="6">
        <v>3403</v>
      </c>
      <c r="B3405" s="7" t="str">
        <f>"29802021051220385193786"</f>
        <v>29802021051220385193786</v>
      </c>
      <c r="C3405" s="7" t="s">
        <v>23</v>
      </c>
      <c r="D3405" s="7" t="str">
        <f>"梁玉"</f>
        <v>梁玉</v>
      </c>
      <c r="E3405" s="7" t="str">
        <f t="shared" si="140"/>
        <v>女</v>
      </c>
    </row>
    <row r="3406" spans="1:5" ht="30" customHeight="1">
      <c r="A3406" s="6">
        <v>3404</v>
      </c>
      <c r="B3406" s="7" t="str">
        <f>"29802021051220534893817"</f>
        <v>29802021051220534893817</v>
      </c>
      <c r="C3406" s="7" t="s">
        <v>23</v>
      </c>
      <c r="D3406" s="7" t="str">
        <f>"麦海丽"</f>
        <v>麦海丽</v>
      </c>
      <c r="E3406" s="7" t="str">
        <f t="shared" si="140"/>
        <v>女</v>
      </c>
    </row>
    <row r="3407" spans="1:5" ht="30" customHeight="1">
      <c r="A3407" s="6">
        <v>3405</v>
      </c>
      <c r="B3407" s="7" t="str">
        <f>"29802021051221063593851"</f>
        <v>29802021051221063593851</v>
      </c>
      <c r="C3407" s="7" t="s">
        <v>23</v>
      </c>
      <c r="D3407" s="7" t="str">
        <f>"符玉联"</f>
        <v>符玉联</v>
      </c>
      <c r="E3407" s="7" t="str">
        <f t="shared" si="140"/>
        <v>女</v>
      </c>
    </row>
    <row r="3408" spans="1:5" ht="30" customHeight="1">
      <c r="A3408" s="6">
        <v>3406</v>
      </c>
      <c r="B3408" s="7" t="str">
        <f>"29802021051221090693856"</f>
        <v>29802021051221090693856</v>
      </c>
      <c r="C3408" s="7" t="s">
        <v>23</v>
      </c>
      <c r="D3408" s="7" t="str">
        <f>"羊爱妍"</f>
        <v>羊爱妍</v>
      </c>
      <c r="E3408" s="7" t="str">
        <f t="shared" si="140"/>
        <v>女</v>
      </c>
    </row>
    <row r="3409" spans="1:5" ht="30" customHeight="1">
      <c r="A3409" s="6">
        <v>3407</v>
      </c>
      <c r="B3409" s="7" t="str">
        <f>"29802021051221122293867"</f>
        <v>29802021051221122293867</v>
      </c>
      <c r="C3409" s="7" t="s">
        <v>23</v>
      </c>
      <c r="D3409" s="7" t="str">
        <f>"黄秀霞"</f>
        <v>黄秀霞</v>
      </c>
      <c r="E3409" s="7" t="str">
        <f t="shared" si="140"/>
        <v>女</v>
      </c>
    </row>
    <row r="3410" spans="1:5" ht="30" customHeight="1">
      <c r="A3410" s="6">
        <v>3408</v>
      </c>
      <c r="B3410" s="7" t="str">
        <f>"29802021051221153593875"</f>
        <v>29802021051221153593875</v>
      </c>
      <c r="C3410" s="7" t="s">
        <v>23</v>
      </c>
      <c r="D3410" s="7" t="str">
        <f>"吴清慧"</f>
        <v>吴清慧</v>
      </c>
      <c r="E3410" s="7" t="str">
        <f t="shared" si="140"/>
        <v>女</v>
      </c>
    </row>
    <row r="3411" spans="1:5" ht="30" customHeight="1">
      <c r="A3411" s="6">
        <v>3409</v>
      </c>
      <c r="B3411" s="7" t="str">
        <f>"29802021051221224193895"</f>
        <v>29802021051221224193895</v>
      </c>
      <c r="C3411" s="7" t="s">
        <v>23</v>
      </c>
      <c r="D3411" s="7" t="str">
        <f>"农叮当"</f>
        <v>农叮当</v>
      </c>
      <c r="E3411" s="7" t="str">
        <f t="shared" si="140"/>
        <v>女</v>
      </c>
    </row>
    <row r="3412" spans="1:5" ht="30" customHeight="1">
      <c r="A3412" s="6">
        <v>3410</v>
      </c>
      <c r="B3412" s="7" t="str">
        <f>"29802021051221284593912"</f>
        <v>29802021051221284593912</v>
      </c>
      <c r="C3412" s="7" t="s">
        <v>23</v>
      </c>
      <c r="D3412" s="7" t="str">
        <f>"郑丽"</f>
        <v>郑丽</v>
      </c>
      <c r="E3412" s="7" t="str">
        <f t="shared" si="140"/>
        <v>女</v>
      </c>
    </row>
    <row r="3413" spans="1:5" ht="30" customHeight="1">
      <c r="A3413" s="6">
        <v>3411</v>
      </c>
      <c r="B3413" s="7" t="str">
        <f>"29802021051221284893913"</f>
        <v>29802021051221284893913</v>
      </c>
      <c r="C3413" s="7" t="s">
        <v>23</v>
      </c>
      <c r="D3413" s="7" t="str">
        <f>"吴晓莉"</f>
        <v>吴晓莉</v>
      </c>
      <c r="E3413" s="7" t="str">
        <f t="shared" si="140"/>
        <v>女</v>
      </c>
    </row>
    <row r="3414" spans="1:5" ht="30" customHeight="1">
      <c r="A3414" s="6">
        <v>3412</v>
      </c>
      <c r="B3414" s="7" t="str">
        <f>"29802021051221350393925"</f>
        <v>29802021051221350393925</v>
      </c>
      <c r="C3414" s="7" t="s">
        <v>23</v>
      </c>
      <c r="D3414" s="7" t="str">
        <f>"韦琼馨"</f>
        <v>韦琼馨</v>
      </c>
      <c r="E3414" s="7" t="str">
        <f t="shared" si="140"/>
        <v>女</v>
      </c>
    </row>
    <row r="3415" spans="1:5" ht="30" customHeight="1">
      <c r="A3415" s="6">
        <v>3413</v>
      </c>
      <c r="B3415" s="7" t="str">
        <f>"29802021051221353093926"</f>
        <v>29802021051221353093926</v>
      </c>
      <c r="C3415" s="7" t="s">
        <v>23</v>
      </c>
      <c r="D3415" s="7" t="str">
        <f>"李广娟"</f>
        <v>李广娟</v>
      </c>
      <c r="E3415" s="7" t="str">
        <f t="shared" si="140"/>
        <v>女</v>
      </c>
    </row>
    <row r="3416" spans="1:5" ht="30" customHeight="1">
      <c r="A3416" s="6">
        <v>3414</v>
      </c>
      <c r="B3416" s="7" t="str">
        <f>"29802021051221371193934"</f>
        <v>29802021051221371193934</v>
      </c>
      <c r="C3416" s="7" t="s">
        <v>23</v>
      </c>
      <c r="D3416" s="7" t="str">
        <f>"郭小柳"</f>
        <v>郭小柳</v>
      </c>
      <c r="E3416" s="7" t="str">
        <f t="shared" si="140"/>
        <v>女</v>
      </c>
    </row>
    <row r="3417" spans="1:5" ht="30" customHeight="1">
      <c r="A3417" s="6">
        <v>3415</v>
      </c>
      <c r="B3417" s="7" t="str">
        <f>"29802021051221592793993"</f>
        <v>29802021051221592793993</v>
      </c>
      <c r="C3417" s="7" t="s">
        <v>23</v>
      </c>
      <c r="D3417" s="7" t="str">
        <f>"陈世风"</f>
        <v>陈世风</v>
      </c>
      <c r="E3417" s="7" t="str">
        <f t="shared" si="140"/>
        <v>女</v>
      </c>
    </row>
    <row r="3418" spans="1:5" ht="30" customHeight="1">
      <c r="A3418" s="6">
        <v>3416</v>
      </c>
      <c r="B3418" s="7" t="str">
        <f>"29802021051222072294009"</f>
        <v>29802021051222072294009</v>
      </c>
      <c r="C3418" s="7" t="s">
        <v>23</v>
      </c>
      <c r="D3418" s="7" t="str">
        <f>"陈德香"</f>
        <v>陈德香</v>
      </c>
      <c r="E3418" s="7" t="str">
        <f t="shared" si="140"/>
        <v>女</v>
      </c>
    </row>
    <row r="3419" spans="1:5" ht="30" customHeight="1">
      <c r="A3419" s="6">
        <v>3417</v>
      </c>
      <c r="B3419" s="7" t="str">
        <f>"29802021051222165394040"</f>
        <v>29802021051222165394040</v>
      </c>
      <c r="C3419" s="7" t="s">
        <v>23</v>
      </c>
      <c r="D3419" s="7" t="str">
        <f>"梁井爱"</f>
        <v>梁井爱</v>
      </c>
      <c r="E3419" s="7" t="str">
        <f t="shared" si="140"/>
        <v>女</v>
      </c>
    </row>
    <row r="3420" spans="1:5" ht="30" customHeight="1">
      <c r="A3420" s="6">
        <v>3418</v>
      </c>
      <c r="B3420" s="7" t="str">
        <f>"29802021051222345894071"</f>
        <v>29802021051222345894071</v>
      </c>
      <c r="C3420" s="7" t="s">
        <v>23</v>
      </c>
      <c r="D3420" s="7" t="str">
        <f>"朱彩玲"</f>
        <v>朱彩玲</v>
      </c>
      <c r="E3420" s="7" t="str">
        <f t="shared" si="140"/>
        <v>女</v>
      </c>
    </row>
    <row r="3421" spans="1:5" ht="30" customHeight="1">
      <c r="A3421" s="6">
        <v>3419</v>
      </c>
      <c r="B3421" s="7" t="str">
        <f>"29802021051222441194091"</f>
        <v>29802021051222441194091</v>
      </c>
      <c r="C3421" s="7" t="s">
        <v>23</v>
      </c>
      <c r="D3421" s="7" t="str">
        <f>"黄和庆"</f>
        <v>黄和庆</v>
      </c>
      <c r="E3421" s="7" t="str">
        <f t="shared" si="140"/>
        <v>女</v>
      </c>
    </row>
    <row r="3422" spans="1:5" ht="30" customHeight="1">
      <c r="A3422" s="6">
        <v>3420</v>
      </c>
      <c r="B3422" s="7" t="str">
        <f>"29802021051222473994100"</f>
        <v>29802021051222473994100</v>
      </c>
      <c r="C3422" s="7" t="s">
        <v>23</v>
      </c>
      <c r="D3422" s="7" t="str">
        <f>"郑珍珍"</f>
        <v>郑珍珍</v>
      </c>
      <c r="E3422" s="7" t="str">
        <f t="shared" si="140"/>
        <v>女</v>
      </c>
    </row>
    <row r="3423" spans="1:5" ht="30" customHeight="1">
      <c r="A3423" s="6">
        <v>3421</v>
      </c>
      <c r="B3423" s="7" t="str">
        <f>"29802021051222483194103"</f>
        <v>29802021051222483194103</v>
      </c>
      <c r="C3423" s="7" t="s">
        <v>23</v>
      </c>
      <c r="D3423" s="7" t="str">
        <f>"张舒靖"</f>
        <v>张舒靖</v>
      </c>
      <c r="E3423" s="7" t="str">
        <f t="shared" si="140"/>
        <v>女</v>
      </c>
    </row>
    <row r="3424" spans="1:5" ht="30" customHeight="1">
      <c r="A3424" s="6">
        <v>3422</v>
      </c>
      <c r="B3424" s="7" t="str">
        <f>"29802021051222485894104"</f>
        <v>29802021051222485894104</v>
      </c>
      <c r="C3424" s="7" t="s">
        <v>23</v>
      </c>
      <c r="D3424" s="7" t="str">
        <f>"刘丹"</f>
        <v>刘丹</v>
      </c>
      <c r="E3424" s="7" t="str">
        <f t="shared" si="140"/>
        <v>女</v>
      </c>
    </row>
    <row r="3425" spans="1:5" ht="30" customHeight="1">
      <c r="A3425" s="6">
        <v>3423</v>
      </c>
      <c r="B3425" s="7" t="str">
        <f>"29802021051223003894133"</f>
        <v>29802021051223003894133</v>
      </c>
      <c r="C3425" s="7" t="s">
        <v>23</v>
      </c>
      <c r="D3425" s="7" t="str">
        <f>"高菊梅"</f>
        <v>高菊梅</v>
      </c>
      <c r="E3425" s="7" t="str">
        <f t="shared" si="140"/>
        <v>女</v>
      </c>
    </row>
    <row r="3426" spans="1:5" ht="30" customHeight="1">
      <c r="A3426" s="6">
        <v>3424</v>
      </c>
      <c r="B3426" s="7" t="str">
        <f>"29802021051223024494138"</f>
        <v>29802021051223024494138</v>
      </c>
      <c r="C3426" s="7" t="s">
        <v>23</v>
      </c>
      <c r="D3426" s="7" t="str">
        <f>"张秋爱"</f>
        <v>张秋爱</v>
      </c>
      <c r="E3426" s="7" t="str">
        <f t="shared" si="140"/>
        <v>女</v>
      </c>
    </row>
    <row r="3427" spans="1:5" ht="30" customHeight="1">
      <c r="A3427" s="6">
        <v>3425</v>
      </c>
      <c r="B3427" s="7" t="str">
        <f>"29802021051223233194177"</f>
        <v>29802021051223233194177</v>
      </c>
      <c r="C3427" s="7" t="s">
        <v>23</v>
      </c>
      <c r="D3427" s="7" t="str">
        <f>"沈雅雅"</f>
        <v>沈雅雅</v>
      </c>
      <c r="E3427" s="7" t="str">
        <f t="shared" si="140"/>
        <v>女</v>
      </c>
    </row>
    <row r="3428" spans="1:5" ht="30" customHeight="1">
      <c r="A3428" s="6">
        <v>3426</v>
      </c>
      <c r="B3428" s="7" t="str">
        <f>"29802021051223273994182"</f>
        <v>29802021051223273994182</v>
      </c>
      <c r="C3428" s="7" t="s">
        <v>23</v>
      </c>
      <c r="D3428" s="7" t="str">
        <f>"陈其凤"</f>
        <v>陈其凤</v>
      </c>
      <c r="E3428" s="7" t="str">
        <f t="shared" si="140"/>
        <v>女</v>
      </c>
    </row>
    <row r="3429" spans="1:5" ht="30" customHeight="1">
      <c r="A3429" s="6">
        <v>3427</v>
      </c>
      <c r="B3429" s="7" t="str">
        <f>"29802021051223275394184"</f>
        <v>29802021051223275394184</v>
      </c>
      <c r="C3429" s="7" t="s">
        <v>23</v>
      </c>
      <c r="D3429" s="7" t="str">
        <f>"关远倩"</f>
        <v>关远倩</v>
      </c>
      <c r="E3429" s="7" t="str">
        <f t="shared" si="140"/>
        <v>女</v>
      </c>
    </row>
    <row r="3430" spans="1:5" ht="30" customHeight="1">
      <c r="A3430" s="6">
        <v>3428</v>
      </c>
      <c r="B3430" s="7" t="str">
        <f>"29802021051223564594211"</f>
        <v>29802021051223564594211</v>
      </c>
      <c r="C3430" s="7" t="s">
        <v>23</v>
      </c>
      <c r="D3430" s="7" t="str">
        <f>"吴丽娟"</f>
        <v>吴丽娟</v>
      </c>
      <c r="E3430" s="7" t="str">
        <f t="shared" si="140"/>
        <v>女</v>
      </c>
    </row>
    <row r="3431" spans="1:5" ht="30" customHeight="1">
      <c r="A3431" s="6">
        <v>3429</v>
      </c>
      <c r="B3431" s="7" t="str">
        <f>"29802021051300065194221"</f>
        <v>29802021051300065194221</v>
      </c>
      <c r="C3431" s="7" t="s">
        <v>23</v>
      </c>
      <c r="D3431" s="7" t="str">
        <f>"邱康丽"</f>
        <v>邱康丽</v>
      </c>
      <c r="E3431" s="7" t="str">
        <f t="shared" si="140"/>
        <v>女</v>
      </c>
    </row>
    <row r="3432" spans="1:5" ht="30" customHeight="1">
      <c r="A3432" s="6">
        <v>3430</v>
      </c>
      <c r="B3432" s="7" t="str">
        <f>"29802021051300090694223"</f>
        <v>29802021051300090694223</v>
      </c>
      <c r="C3432" s="7" t="s">
        <v>23</v>
      </c>
      <c r="D3432" s="7" t="str">
        <f>"何元桃"</f>
        <v>何元桃</v>
      </c>
      <c r="E3432" s="7" t="str">
        <f t="shared" si="140"/>
        <v>女</v>
      </c>
    </row>
    <row r="3433" spans="1:5" ht="30" customHeight="1">
      <c r="A3433" s="6">
        <v>3431</v>
      </c>
      <c r="B3433" s="7" t="str">
        <f>"29802021051308475494358"</f>
        <v>29802021051308475494358</v>
      </c>
      <c r="C3433" s="7" t="s">
        <v>23</v>
      </c>
      <c r="D3433" s="7" t="str">
        <f>"王国郑"</f>
        <v>王国郑</v>
      </c>
      <c r="E3433" s="7" t="str">
        <f t="shared" si="140"/>
        <v>女</v>
      </c>
    </row>
    <row r="3434" spans="1:5" ht="30" customHeight="1">
      <c r="A3434" s="6">
        <v>3432</v>
      </c>
      <c r="B3434" s="7" t="str">
        <f>"29802021051308590294387"</f>
        <v>29802021051308590294387</v>
      </c>
      <c r="C3434" s="7" t="s">
        <v>23</v>
      </c>
      <c r="D3434" s="7" t="str">
        <f>"许引妃"</f>
        <v>许引妃</v>
      </c>
      <c r="E3434" s="7" t="str">
        <f t="shared" si="140"/>
        <v>女</v>
      </c>
    </row>
    <row r="3435" spans="1:5" ht="30" customHeight="1">
      <c r="A3435" s="6">
        <v>3433</v>
      </c>
      <c r="B3435" s="7" t="str">
        <f>"29802021051309153794431"</f>
        <v>29802021051309153794431</v>
      </c>
      <c r="C3435" s="7" t="s">
        <v>23</v>
      </c>
      <c r="D3435" s="7" t="str">
        <f>"王珊珊"</f>
        <v>王珊珊</v>
      </c>
      <c r="E3435" s="7" t="str">
        <f t="shared" si="140"/>
        <v>女</v>
      </c>
    </row>
    <row r="3436" spans="1:5" ht="30" customHeight="1">
      <c r="A3436" s="6">
        <v>3434</v>
      </c>
      <c r="B3436" s="7" t="str">
        <f>"29802021051310214394629"</f>
        <v>29802021051310214394629</v>
      </c>
      <c r="C3436" s="7" t="s">
        <v>23</v>
      </c>
      <c r="D3436" s="7" t="str">
        <f>"符锡萱"</f>
        <v>符锡萱</v>
      </c>
      <c r="E3436" s="7" t="str">
        <f t="shared" si="140"/>
        <v>女</v>
      </c>
    </row>
    <row r="3437" spans="1:5" ht="30" customHeight="1">
      <c r="A3437" s="6">
        <v>3435</v>
      </c>
      <c r="B3437" s="7" t="str">
        <f>"29802021051310253194641"</f>
        <v>29802021051310253194641</v>
      </c>
      <c r="C3437" s="7" t="s">
        <v>23</v>
      </c>
      <c r="D3437" s="7" t="str">
        <f>"蔡曼雅"</f>
        <v>蔡曼雅</v>
      </c>
      <c r="E3437" s="7" t="str">
        <f t="shared" si="140"/>
        <v>女</v>
      </c>
    </row>
    <row r="3438" spans="1:5" ht="30" customHeight="1">
      <c r="A3438" s="6">
        <v>3436</v>
      </c>
      <c r="B3438" s="7" t="str">
        <f>"29802021051310571594752"</f>
        <v>29802021051310571594752</v>
      </c>
      <c r="C3438" s="7" t="s">
        <v>23</v>
      </c>
      <c r="D3438" s="7" t="str">
        <f>"陈月英"</f>
        <v>陈月英</v>
      </c>
      <c r="E3438" s="7" t="str">
        <f t="shared" si="140"/>
        <v>女</v>
      </c>
    </row>
    <row r="3439" spans="1:5" ht="30" customHeight="1">
      <c r="A3439" s="6">
        <v>3437</v>
      </c>
      <c r="B3439" s="7" t="str">
        <f>"29802021051311235194851"</f>
        <v>29802021051311235194851</v>
      </c>
      <c r="C3439" s="7" t="s">
        <v>23</v>
      </c>
      <c r="D3439" s="7" t="str">
        <f>"熊琼丽"</f>
        <v>熊琼丽</v>
      </c>
      <c r="E3439" s="7" t="str">
        <f t="shared" si="140"/>
        <v>女</v>
      </c>
    </row>
    <row r="3440" spans="1:5" ht="30" customHeight="1">
      <c r="A3440" s="6">
        <v>3438</v>
      </c>
      <c r="B3440" s="7" t="str">
        <f>"29802021051311271994865"</f>
        <v>29802021051311271994865</v>
      </c>
      <c r="C3440" s="7" t="s">
        <v>23</v>
      </c>
      <c r="D3440" s="7" t="str">
        <f>"邢日随"</f>
        <v>邢日随</v>
      </c>
      <c r="E3440" s="7" t="str">
        <f t="shared" si="140"/>
        <v>女</v>
      </c>
    </row>
    <row r="3441" spans="1:5" ht="30" customHeight="1">
      <c r="A3441" s="6">
        <v>3439</v>
      </c>
      <c r="B3441" s="7" t="str">
        <f>"29802021051311474594913"</f>
        <v>29802021051311474594913</v>
      </c>
      <c r="C3441" s="7" t="s">
        <v>23</v>
      </c>
      <c r="D3441" s="7" t="str">
        <f>"潘德莎"</f>
        <v>潘德莎</v>
      </c>
      <c r="E3441" s="7" t="str">
        <f t="shared" si="140"/>
        <v>女</v>
      </c>
    </row>
    <row r="3442" spans="1:5" ht="30" customHeight="1">
      <c r="A3442" s="6">
        <v>3440</v>
      </c>
      <c r="B3442" s="7" t="str">
        <f>"29802021051312065294951"</f>
        <v>29802021051312065294951</v>
      </c>
      <c r="C3442" s="7" t="s">
        <v>23</v>
      </c>
      <c r="D3442" s="7" t="str">
        <f>"陈怡君"</f>
        <v>陈怡君</v>
      </c>
      <c r="E3442" s="7" t="str">
        <f t="shared" si="140"/>
        <v>女</v>
      </c>
    </row>
    <row r="3443" spans="1:5" ht="30" customHeight="1">
      <c r="A3443" s="6">
        <v>3441</v>
      </c>
      <c r="B3443" s="7" t="str">
        <f>"29802021051312280494986"</f>
        <v>29802021051312280494986</v>
      </c>
      <c r="C3443" s="7" t="s">
        <v>23</v>
      </c>
      <c r="D3443" s="7" t="str">
        <f>"吉婷"</f>
        <v>吉婷</v>
      </c>
      <c r="E3443" s="7" t="str">
        <f t="shared" si="140"/>
        <v>女</v>
      </c>
    </row>
    <row r="3444" spans="1:5" ht="30" customHeight="1">
      <c r="A3444" s="6">
        <v>3442</v>
      </c>
      <c r="B3444" s="7" t="str">
        <f>"29802021051313035395045"</f>
        <v>29802021051313035395045</v>
      </c>
      <c r="C3444" s="7" t="s">
        <v>23</v>
      </c>
      <c r="D3444" s="7" t="str">
        <f>"梁雅丽"</f>
        <v>梁雅丽</v>
      </c>
      <c r="E3444" s="7" t="str">
        <f t="shared" si="140"/>
        <v>女</v>
      </c>
    </row>
    <row r="3445" spans="1:5" ht="30" customHeight="1">
      <c r="A3445" s="6">
        <v>3443</v>
      </c>
      <c r="B3445" s="7" t="str">
        <f>"29802021051313510495116"</f>
        <v>29802021051313510495116</v>
      </c>
      <c r="C3445" s="7" t="s">
        <v>23</v>
      </c>
      <c r="D3445" s="7" t="str">
        <f>"范文颖"</f>
        <v>范文颖</v>
      </c>
      <c r="E3445" s="7" t="str">
        <f t="shared" si="140"/>
        <v>女</v>
      </c>
    </row>
    <row r="3446" spans="1:5" ht="30" customHeight="1">
      <c r="A3446" s="6">
        <v>3444</v>
      </c>
      <c r="B3446" s="7" t="str">
        <f>"29802021051313584595126"</f>
        <v>29802021051313584595126</v>
      </c>
      <c r="C3446" s="7" t="s">
        <v>23</v>
      </c>
      <c r="D3446" s="7" t="str">
        <f>"王晶"</f>
        <v>王晶</v>
      </c>
      <c r="E3446" s="7" t="str">
        <f t="shared" si="140"/>
        <v>女</v>
      </c>
    </row>
    <row r="3447" spans="1:5" ht="30" customHeight="1">
      <c r="A3447" s="6">
        <v>3445</v>
      </c>
      <c r="B3447" s="7" t="str">
        <f>"29802021051314170995158"</f>
        <v>29802021051314170995158</v>
      </c>
      <c r="C3447" s="7" t="s">
        <v>23</v>
      </c>
      <c r="D3447" s="7" t="str">
        <f>"陈婷婷"</f>
        <v>陈婷婷</v>
      </c>
      <c r="E3447" s="7" t="str">
        <f t="shared" si="140"/>
        <v>女</v>
      </c>
    </row>
    <row r="3448" spans="1:5" ht="30" customHeight="1">
      <c r="A3448" s="6">
        <v>3446</v>
      </c>
      <c r="B3448" s="7" t="str">
        <f>"29802021051314392195202"</f>
        <v>29802021051314392195202</v>
      </c>
      <c r="C3448" s="7" t="s">
        <v>23</v>
      </c>
      <c r="D3448" s="7" t="str">
        <f>"陈朝圆"</f>
        <v>陈朝圆</v>
      </c>
      <c r="E3448" s="7" t="str">
        <f t="shared" si="140"/>
        <v>女</v>
      </c>
    </row>
    <row r="3449" spans="1:5" ht="30" customHeight="1">
      <c r="A3449" s="6">
        <v>3447</v>
      </c>
      <c r="B3449" s="7" t="str">
        <f>"29802021051314501495224"</f>
        <v>29802021051314501495224</v>
      </c>
      <c r="C3449" s="7" t="s">
        <v>23</v>
      </c>
      <c r="D3449" s="7" t="str">
        <f>"何丽花"</f>
        <v>何丽花</v>
      </c>
      <c r="E3449" s="7" t="str">
        <f t="shared" si="140"/>
        <v>女</v>
      </c>
    </row>
    <row r="3450" spans="1:5" ht="30" customHeight="1">
      <c r="A3450" s="6">
        <v>3448</v>
      </c>
      <c r="B3450" s="7" t="str">
        <f>"29802021051315451695358"</f>
        <v>29802021051315451695358</v>
      </c>
      <c r="C3450" s="7" t="s">
        <v>23</v>
      </c>
      <c r="D3450" s="7" t="str">
        <f>"张雯亿"</f>
        <v>张雯亿</v>
      </c>
      <c r="E3450" s="7" t="str">
        <f t="shared" si="140"/>
        <v>女</v>
      </c>
    </row>
    <row r="3451" spans="1:5" ht="30" customHeight="1">
      <c r="A3451" s="6">
        <v>3449</v>
      </c>
      <c r="B3451" s="7" t="str">
        <f>"29802021051315582395393"</f>
        <v>29802021051315582395393</v>
      </c>
      <c r="C3451" s="7" t="s">
        <v>23</v>
      </c>
      <c r="D3451" s="7" t="str">
        <f>"骆春美"</f>
        <v>骆春美</v>
      </c>
      <c r="E3451" s="7" t="str">
        <f t="shared" si="140"/>
        <v>女</v>
      </c>
    </row>
    <row r="3452" spans="1:5" ht="30" customHeight="1">
      <c r="A3452" s="6">
        <v>3450</v>
      </c>
      <c r="B3452" s="7" t="str">
        <f>"29802021051316540195528"</f>
        <v>29802021051316540195528</v>
      </c>
      <c r="C3452" s="7" t="s">
        <v>23</v>
      </c>
      <c r="D3452" s="7" t="str">
        <f>"黄燕慧"</f>
        <v>黄燕慧</v>
      </c>
      <c r="E3452" s="7" t="str">
        <f t="shared" si="140"/>
        <v>女</v>
      </c>
    </row>
    <row r="3453" spans="1:5" ht="30" customHeight="1">
      <c r="A3453" s="6">
        <v>3451</v>
      </c>
      <c r="B3453" s="7" t="str">
        <f>"29802021051317044095558"</f>
        <v>29802021051317044095558</v>
      </c>
      <c r="C3453" s="7" t="s">
        <v>23</v>
      </c>
      <c r="D3453" s="7" t="str">
        <f>"邹倩倩"</f>
        <v>邹倩倩</v>
      </c>
      <c r="E3453" s="7" t="str">
        <f aca="true" t="shared" si="141" ref="E3453:E3516">"女"</f>
        <v>女</v>
      </c>
    </row>
    <row r="3454" spans="1:5" ht="30" customHeight="1">
      <c r="A3454" s="6">
        <v>3452</v>
      </c>
      <c r="B3454" s="7" t="str">
        <f>"29802021051317224895609"</f>
        <v>29802021051317224895609</v>
      </c>
      <c r="C3454" s="7" t="s">
        <v>23</v>
      </c>
      <c r="D3454" s="7" t="str">
        <f>"吴梅霞"</f>
        <v>吴梅霞</v>
      </c>
      <c r="E3454" s="7" t="str">
        <f t="shared" si="141"/>
        <v>女</v>
      </c>
    </row>
    <row r="3455" spans="1:5" ht="30" customHeight="1">
      <c r="A3455" s="6">
        <v>3453</v>
      </c>
      <c r="B3455" s="7" t="str">
        <f>"29802021051317312595624"</f>
        <v>29802021051317312595624</v>
      </c>
      <c r="C3455" s="7" t="s">
        <v>23</v>
      </c>
      <c r="D3455" s="7" t="str">
        <f>"黄晓丽"</f>
        <v>黄晓丽</v>
      </c>
      <c r="E3455" s="7" t="str">
        <f t="shared" si="141"/>
        <v>女</v>
      </c>
    </row>
    <row r="3456" spans="1:5" ht="30" customHeight="1">
      <c r="A3456" s="6">
        <v>3454</v>
      </c>
      <c r="B3456" s="7" t="str">
        <f>"29802021051318005495684"</f>
        <v>29802021051318005495684</v>
      </c>
      <c r="C3456" s="7" t="s">
        <v>23</v>
      </c>
      <c r="D3456" s="7" t="str">
        <f>"李海莲"</f>
        <v>李海莲</v>
      </c>
      <c r="E3456" s="7" t="str">
        <f t="shared" si="141"/>
        <v>女</v>
      </c>
    </row>
    <row r="3457" spans="1:5" ht="30" customHeight="1">
      <c r="A3457" s="6">
        <v>3455</v>
      </c>
      <c r="B3457" s="7" t="str">
        <f>"29802021051318313195748"</f>
        <v>29802021051318313195748</v>
      </c>
      <c r="C3457" s="7" t="s">
        <v>23</v>
      </c>
      <c r="D3457" s="7" t="str">
        <f>"蔡杨帆"</f>
        <v>蔡杨帆</v>
      </c>
      <c r="E3457" s="7" t="str">
        <f t="shared" si="141"/>
        <v>女</v>
      </c>
    </row>
    <row r="3458" spans="1:5" ht="30" customHeight="1">
      <c r="A3458" s="6">
        <v>3456</v>
      </c>
      <c r="B3458" s="7" t="str">
        <f>"29802021051318395195768"</f>
        <v>29802021051318395195768</v>
      </c>
      <c r="C3458" s="7" t="s">
        <v>23</v>
      </c>
      <c r="D3458" s="7" t="str">
        <f>"邱美娟"</f>
        <v>邱美娟</v>
      </c>
      <c r="E3458" s="7" t="str">
        <f t="shared" si="141"/>
        <v>女</v>
      </c>
    </row>
    <row r="3459" spans="1:5" ht="30" customHeight="1">
      <c r="A3459" s="6">
        <v>3457</v>
      </c>
      <c r="B3459" s="7" t="str">
        <f>"29802021051318541295789"</f>
        <v>29802021051318541295789</v>
      </c>
      <c r="C3459" s="7" t="s">
        <v>23</v>
      </c>
      <c r="D3459" s="7" t="str">
        <f>"李健丽"</f>
        <v>李健丽</v>
      </c>
      <c r="E3459" s="7" t="str">
        <f t="shared" si="141"/>
        <v>女</v>
      </c>
    </row>
    <row r="3460" spans="1:5" ht="30" customHeight="1">
      <c r="A3460" s="6">
        <v>3458</v>
      </c>
      <c r="B3460" s="7" t="str">
        <f>"29802021051319454595884"</f>
        <v>29802021051319454595884</v>
      </c>
      <c r="C3460" s="7" t="s">
        <v>23</v>
      </c>
      <c r="D3460" s="7" t="str">
        <f>"吴赞乾"</f>
        <v>吴赞乾</v>
      </c>
      <c r="E3460" s="7" t="str">
        <f t="shared" si="141"/>
        <v>女</v>
      </c>
    </row>
    <row r="3461" spans="1:5" ht="30" customHeight="1">
      <c r="A3461" s="6">
        <v>3459</v>
      </c>
      <c r="B3461" s="7" t="str">
        <f>"29802021051319561495904"</f>
        <v>29802021051319561495904</v>
      </c>
      <c r="C3461" s="7" t="s">
        <v>23</v>
      </c>
      <c r="D3461" s="7" t="str">
        <f>"何井保"</f>
        <v>何井保</v>
      </c>
      <c r="E3461" s="7" t="str">
        <f t="shared" si="141"/>
        <v>女</v>
      </c>
    </row>
    <row r="3462" spans="1:5" ht="30" customHeight="1">
      <c r="A3462" s="6">
        <v>3460</v>
      </c>
      <c r="B3462" s="7" t="str">
        <f>"29802021051320051395919"</f>
        <v>29802021051320051395919</v>
      </c>
      <c r="C3462" s="7" t="s">
        <v>23</v>
      </c>
      <c r="D3462" s="7" t="str">
        <f>"f符丹慧"</f>
        <v>f符丹慧</v>
      </c>
      <c r="E3462" s="7" t="str">
        <f t="shared" si="141"/>
        <v>女</v>
      </c>
    </row>
    <row r="3463" spans="1:5" ht="30" customHeight="1">
      <c r="A3463" s="6">
        <v>3461</v>
      </c>
      <c r="B3463" s="7" t="str">
        <f>"29802021051320214095946"</f>
        <v>29802021051320214095946</v>
      </c>
      <c r="C3463" s="7" t="s">
        <v>23</v>
      </c>
      <c r="D3463" s="7" t="str">
        <f>"吴多美"</f>
        <v>吴多美</v>
      </c>
      <c r="E3463" s="7" t="str">
        <f t="shared" si="141"/>
        <v>女</v>
      </c>
    </row>
    <row r="3464" spans="1:5" ht="30" customHeight="1">
      <c r="A3464" s="6">
        <v>3462</v>
      </c>
      <c r="B3464" s="7" t="str">
        <f>"29802021051320234195951"</f>
        <v>29802021051320234195951</v>
      </c>
      <c r="C3464" s="7" t="s">
        <v>23</v>
      </c>
      <c r="D3464" s="7" t="str">
        <f>"周小玲"</f>
        <v>周小玲</v>
      </c>
      <c r="E3464" s="7" t="str">
        <f t="shared" si="141"/>
        <v>女</v>
      </c>
    </row>
    <row r="3465" spans="1:5" ht="30" customHeight="1">
      <c r="A3465" s="6">
        <v>3463</v>
      </c>
      <c r="B3465" s="7" t="str">
        <f>"29802021051320292495965"</f>
        <v>29802021051320292495965</v>
      </c>
      <c r="C3465" s="7" t="s">
        <v>23</v>
      </c>
      <c r="D3465" s="7" t="str">
        <f>"杜海波"</f>
        <v>杜海波</v>
      </c>
      <c r="E3465" s="7" t="str">
        <f t="shared" si="141"/>
        <v>女</v>
      </c>
    </row>
    <row r="3466" spans="1:5" ht="30" customHeight="1">
      <c r="A3466" s="6">
        <v>3464</v>
      </c>
      <c r="B3466" s="7" t="str">
        <f>"29802021051320302495967"</f>
        <v>29802021051320302495967</v>
      </c>
      <c r="C3466" s="7" t="s">
        <v>23</v>
      </c>
      <c r="D3466" s="7" t="str">
        <f>"黎井秀"</f>
        <v>黎井秀</v>
      </c>
      <c r="E3466" s="7" t="str">
        <f t="shared" si="141"/>
        <v>女</v>
      </c>
    </row>
    <row r="3467" spans="1:5" ht="30" customHeight="1">
      <c r="A3467" s="6">
        <v>3465</v>
      </c>
      <c r="B3467" s="7" t="str">
        <f>"29802021051321023096033"</f>
        <v>29802021051321023096033</v>
      </c>
      <c r="C3467" s="7" t="s">
        <v>23</v>
      </c>
      <c r="D3467" s="7" t="str">
        <f>"陈荣蕊"</f>
        <v>陈荣蕊</v>
      </c>
      <c r="E3467" s="7" t="str">
        <f t="shared" si="141"/>
        <v>女</v>
      </c>
    </row>
    <row r="3468" spans="1:5" ht="30" customHeight="1">
      <c r="A3468" s="6">
        <v>3466</v>
      </c>
      <c r="B3468" s="7" t="str">
        <f>"29802021051321050396037"</f>
        <v>29802021051321050396037</v>
      </c>
      <c r="C3468" s="7" t="s">
        <v>23</v>
      </c>
      <c r="D3468" s="7" t="str">
        <f>"李史娜"</f>
        <v>李史娜</v>
      </c>
      <c r="E3468" s="7" t="str">
        <f t="shared" si="141"/>
        <v>女</v>
      </c>
    </row>
    <row r="3469" spans="1:5" ht="30" customHeight="1">
      <c r="A3469" s="6">
        <v>3467</v>
      </c>
      <c r="B3469" s="7" t="str">
        <f>"29802021051321220096065"</f>
        <v>29802021051321220096065</v>
      </c>
      <c r="C3469" s="7" t="s">
        <v>23</v>
      </c>
      <c r="D3469" s="7" t="str">
        <f>"符允兰"</f>
        <v>符允兰</v>
      </c>
      <c r="E3469" s="7" t="str">
        <f t="shared" si="141"/>
        <v>女</v>
      </c>
    </row>
    <row r="3470" spans="1:5" ht="30" customHeight="1">
      <c r="A3470" s="6">
        <v>3468</v>
      </c>
      <c r="B3470" s="7" t="str">
        <f>"29802021051321225096067"</f>
        <v>29802021051321225096067</v>
      </c>
      <c r="C3470" s="7" t="s">
        <v>23</v>
      </c>
      <c r="D3470" s="7" t="str">
        <f>"刘美带"</f>
        <v>刘美带</v>
      </c>
      <c r="E3470" s="7" t="str">
        <f t="shared" si="141"/>
        <v>女</v>
      </c>
    </row>
    <row r="3471" spans="1:5" ht="30" customHeight="1">
      <c r="A3471" s="6">
        <v>3469</v>
      </c>
      <c r="B3471" s="7" t="str">
        <f>"29802021051321243296071"</f>
        <v>29802021051321243296071</v>
      </c>
      <c r="C3471" s="7" t="s">
        <v>23</v>
      </c>
      <c r="D3471" s="7" t="str">
        <f>"熊吉苗"</f>
        <v>熊吉苗</v>
      </c>
      <c r="E3471" s="7" t="str">
        <f t="shared" si="141"/>
        <v>女</v>
      </c>
    </row>
    <row r="3472" spans="1:5" ht="30" customHeight="1">
      <c r="A3472" s="6">
        <v>3470</v>
      </c>
      <c r="B3472" s="7" t="str">
        <f>"29802021051321250796072"</f>
        <v>29802021051321250796072</v>
      </c>
      <c r="C3472" s="7" t="s">
        <v>23</v>
      </c>
      <c r="D3472" s="7" t="str">
        <f>"邢增雪"</f>
        <v>邢增雪</v>
      </c>
      <c r="E3472" s="7" t="str">
        <f t="shared" si="141"/>
        <v>女</v>
      </c>
    </row>
    <row r="3473" spans="1:5" ht="30" customHeight="1">
      <c r="A3473" s="6">
        <v>3471</v>
      </c>
      <c r="B3473" s="7" t="str">
        <f>"29802021051321251696074"</f>
        <v>29802021051321251696074</v>
      </c>
      <c r="C3473" s="7" t="s">
        <v>23</v>
      </c>
      <c r="D3473" s="7" t="str">
        <f>"林华巧"</f>
        <v>林华巧</v>
      </c>
      <c r="E3473" s="7" t="str">
        <f t="shared" si="141"/>
        <v>女</v>
      </c>
    </row>
    <row r="3474" spans="1:5" ht="30" customHeight="1">
      <c r="A3474" s="6">
        <v>3472</v>
      </c>
      <c r="B3474" s="7" t="str">
        <f>"29802021051321282596084"</f>
        <v>29802021051321282596084</v>
      </c>
      <c r="C3474" s="7" t="s">
        <v>23</v>
      </c>
      <c r="D3474" s="7" t="str">
        <f>"王琦"</f>
        <v>王琦</v>
      </c>
      <c r="E3474" s="7" t="str">
        <f t="shared" si="141"/>
        <v>女</v>
      </c>
    </row>
    <row r="3475" spans="1:5" ht="30" customHeight="1">
      <c r="A3475" s="6">
        <v>3473</v>
      </c>
      <c r="B3475" s="7" t="str">
        <f>"29802021051321564196161"</f>
        <v>29802021051321564196161</v>
      </c>
      <c r="C3475" s="7" t="s">
        <v>23</v>
      </c>
      <c r="D3475" s="7" t="str">
        <f>"李雅君"</f>
        <v>李雅君</v>
      </c>
      <c r="E3475" s="7" t="str">
        <f t="shared" si="141"/>
        <v>女</v>
      </c>
    </row>
    <row r="3476" spans="1:5" ht="30" customHeight="1">
      <c r="A3476" s="6">
        <v>3474</v>
      </c>
      <c r="B3476" s="7" t="str">
        <f>"29802021051321595896166"</f>
        <v>29802021051321595896166</v>
      </c>
      <c r="C3476" s="7" t="s">
        <v>23</v>
      </c>
      <c r="D3476" s="7" t="str">
        <f>"段舒婷"</f>
        <v>段舒婷</v>
      </c>
      <c r="E3476" s="7" t="str">
        <f t="shared" si="141"/>
        <v>女</v>
      </c>
    </row>
    <row r="3477" spans="1:5" ht="30" customHeight="1">
      <c r="A3477" s="6">
        <v>3475</v>
      </c>
      <c r="B3477" s="7" t="str">
        <f>"29802021051322081796179"</f>
        <v>29802021051322081796179</v>
      </c>
      <c r="C3477" s="7" t="s">
        <v>23</v>
      </c>
      <c r="D3477" s="7" t="str">
        <f>"文婉虹"</f>
        <v>文婉虹</v>
      </c>
      <c r="E3477" s="7" t="str">
        <f t="shared" si="141"/>
        <v>女</v>
      </c>
    </row>
    <row r="3478" spans="1:5" ht="30" customHeight="1">
      <c r="A3478" s="6">
        <v>3476</v>
      </c>
      <c r="B3478" s="7" t="str">
        <f>"29802021051322155596206"</f>
        <v>29802021051322155596206</v>
      </c>
      <c r="C3478" s="7" t="s">
        <v>23</v>
      </c>
      <c r="D3478" s="7" t="str">
        <f>"谢江桥"</f>
        <v>谢江桥</v>
      </c>
      <c r="E3478" s="7" t="str">
        <f t="shared" si="141"/>
        <v>女</v>
      </c>
    </row>
    <row r="3479" spans="1:5" ht="30" customHeight="1">
      <c r="A3479" s="6">
        <v>3477</v>
      </c>
      <c r="B3479" s="7" t="str">
        <f>"29802021051322222296216"</f>
        <v>29802021051322222296216</v>
      </c>
      <c r="C3479" s="7" t="s">
        <v>23</v>
      </c>
      <c r="D3479" s="7" t="str">
        <f>"黄跃昱"</f>
        <v>黄跃昱</v>
      </c>
      <c r="E3479" s="7" t="str">
        <f t="shared" si="141"/>
        <v>女</v>
      </c>
    </row>
    <row r="3480" spans="1:5" ht="30" customHeight="1">
      <c r="A3480" s="6">
        <v>3478</v>
      </c>
      <c r="B3480" s="7" t="str">
        <f>"29802021051322323596243"</f>
        <v>29802021051322323596243</v>
      </c>
      <c r="C3480" s="7" t="s">
        <v>23</v>
      </c>
      <c r="D3480" s="7" t="str">
        <f>"郑玉茉"</f>
        <v>郑玉茉</v>
      </c>
      <c r="E3480" s="7" t="str">
        <f t="shared" si="141"/>
        <v>女</v>
      </c>
    </row>
    <row r="3481" spans="1:5" ht="30" customHeight="1">
      <c r="A3481" s="6">
        <v>3479</v>
      </c>
      <c r="B3481" s="7" t="str">
        <f>"29802021051323001696287"</f>
        <v>29802021051323001696287</v>
      </c>
      <c r="C3481" s="7" t="s">
        <v>23</v>
      </c>
      <c r="D3481" s="7" t="str">
        <f>"陈婆桃"</f>
        <v>陈婆桃</v>
      </c>
      <c r="E3481" s="7" t="str">
        <f t="shared" si="141"/>
        <v>女</v>
      </c>
    </row>
    <row r="3482" spans="1:5" ht="30" customHeight="1">
      <c r="A3482" s="6">
        <v>3480</v>
      </c>
      <c r="B3482" s="7" t="str">
        <f>"29802021051323230396327"</f>
        <v>29802021051323230396327</v>
      </c>
      <c r="C3482" s="7" t="s">
        <v>23</v>
      </c>
      <c r="D3482" s="7" t="str">
        <f>"羊爱美"</f>
        <v>羊爱美</v>
      </c>
      <c r="E3482" s="7" t="str">
        <f t="shared" si="141"/>
        <v>女</v>
      </c>
    </row>
    <row r="3483" spans="1:5" ht="30" customHeight="1">
      <c r="A3483" s="6">
        <v>3481</v>
      </c>
      <c r="B3483" s="7" t="str">
        <f>"29802021051400080296372"</f>
        <v>29802021051400080296372</v>
      </c>
      <c r="C3483" s="7" t="s">
        <v>23</v>
      </c>
      <c r="D3483" s="7" t="str">
        <f>"陈美瑜"</f>
        <v>陈美瑜</v>
      </c>
      <c r="E3483" s="7" t="str">
        <f t="shared" si="141"/>
        <v>女</v>
      </c>
    </row>
    <row r="3484" spans="1:5" ht="30" customHeight="1">
      <c r="A3484" s="6">
        <v>3482</v>
      </c>
      <c r="B3484" s="7" t="str">
        <f>"29802021051400253296386"</f>
        <v>29802021051400253296386</v>
      </c>
      <c r="C3484" s="7" t="s">
        <v>23</v>
      </c>
      <c r="D3484" s="7" t="str">
        <f>"胡小翠"</f>
        <v>胡小翠</v>
      </c>
      <c r="E3484" s="7" t="str">
        <f t="shared" si="141"/>
        <v>女</v>
      </c>
    </row>
    <row r="3485" spans="1:5" ht="30" customHeight="1">
      <c r="A3485" s="6">
        <v>3483</v>
      </c>
      <c r="B3485" s="7" t="str">
        <f>"29802021051400301096388"</f>
        <v>29802021051400301096388</v>
      </c>
      <c r="C3485" s="7" t="s">
        <v>23</v>
      </c>
      <c r="D3485" s="7" t="str">
        <f>"郑月艳"</f>
        <v>郑月艳</v>
      </c>
      <c r="E3485" s="7" t="str">
        <f t="shared" si="141"/>
        <v>女</v>
      </c>
    </row>
    <row r="3486" spans="1:5" ht="30" customHeight="1">
      <c r="A3486" s="6">
        <v>3484</v>
      </c>
      <c r="B3486" s="7" t="str">
        <f>"29802021051407321696429"</f>
        <v>29802021051407321696429</v>
      </c>
      <c r="C3486" s="7" t="s">
        <v>23</v>
      </c>
      <c r="D3486" s="7" t="str">
        <f>"陈嘉艺"</f>
        <v>陈嘉艺</v>
      </c>
      <c r="E3486" s="7" t="str">
        <f t="shared" si="141"/>
        <v>女</v>
      </c>
    </row>
    <row r="3487" spans="1:5" ht="30" customHeight="1">
      <c r="A3487" s="6">
        <v>3485</v>
      </c>
      <c r="B3487" s="7" t="str">
        <f>"29802021051408491196507"</f>
        <v>29802021051408491196507</v>
      </c>
      <c r="C3487" s="7" t="s">
        <v>23</v>
      </c>
      <c r="D3487" s="7" t="str">
        <f>"袁昌延"</f>
        <v>袁昌延</v>
      </c>
      <c r="E3487" s="7" t="str">
        <f t="shared" si="141"/>
        <v>女</v>
      </c>
    </row>
    <row r="3488" spans="1:5" ht="30" customHeight="1">
      <c r="A3488" s="6">
        <v>3486</v>
      </c>
      <c r="B3488" s="7" t="str">
        <f>"29802021051409001896525"</f>
        <v>29802021051409001896525</v>
      </c>
      <c r="C3488" s="7" t="s">
        <v>23</v>
      </c>
      <c r="D3488" s="7" t="str">
        <f>"汪小梅"</f>
        <v>汪小梅</v>
      </c>
      <c r="E3488" s="7" t="str">
        <f t="shared" si="141"/>
        <v>女</v>
      </c>
    </row>
    <row r="3489" spans="1:5" ht="30" customHeight="1">
      <c r="A3489" s="6">
        <v>3487</v>
      </c>
      <c r="B3489" s="7" t="str">
        <f>"29802021051409021896528"</f>
        <v>29802021051409021896528</v>
      </c>
      <c r="C3489" s="7" t="s">
        <v>23</v>
      </c>
      <c r="D3489" s="7" t="str">
        <f>"郝薇薇"</f>
        <v>郝薇薇</v>
      </c>
      <c r="E3489" s="7" t="str">
        <f t="shared" si="141"/>
        <v>女</v>
      </c>
    </row>
    <row r="3490" spans="1:5" ht="30" customHeight="1">
      <c r="A3490" s="6">
        <v>3488</v>
      </c>
      <c r="B3490" s="7" t="str">
        <f>"29802021051409372596597"</f>
        <v>29802021051409372596597</v>
      </c>
      <c r="C3490" s="7" t="s">
        <v>23</v>
      </c>
      <c r="D3490" s="7" t="str">
        <f>"林琼叶"</f>
        <v>林琼叶</v>
      </c>
      <c r="E3490" s="7" t="str">
        <f t="shared" si="141"/>
        <v>女</v>
      </c>
    </row>
    <row r="3491" spans="1:5" ht="30" customHeight="1">
      <c r="A3491" s="6">
        <v>3489</v>
      </c>
      <c r="B3491" s="7" t="str">
        <f>"29802021051409454796626"</f>
        <v>29802021051409454796626</v>
      </c>
      <c r="C3491" s="7" t="s">
        <v>23</v>
      </c>
      <c r="D3491" s="7" t="str">
        <f>"李海梅"</f>
        <v>李海梅</v>
      </c>
      <c r="E3491" s="7" t="str">
        <f t="shared" si="141"/>
        <v>女</v>
      </c>
    </row>
    <row r="3492" spans="1:5" ht="30" customHeight="1">
      <c r="A3492" s="6">
        <v>3490</v>
      </c>
      <c r="B3492" s="7" t="str">
        <f>"29802021051409480796632"</f>
        <v>29802021051409480796632</v>
      </c>
      <c r="C3492" s="7" t="s">
        <v>23</v>
      </c>
      <c r="D3492" s="7" t="str">
        <f>"车旋"</f>
        <v>车旋</v>
      </c>
      <c r="E3492" s="7" t="str">
        <f t="shared" si="141"/>
        <v>女</v>
      </c>
    </row>
    <row r="3493" spans="1:5" ht="30" customHeight="1">
      <c r="A3493" s="6">
        <v>3491</v>
      </c>
      <c r="B3493" s="7" t="str">
        <f>"29802021051410220596714"</f>
        <v>29802021051410220596714</v>
      </c>
      <c r="C3493" s="7" t="s">
        <v>23</v>
      </c>
      <c r="D3493" s="7" t="str">
        <f>"冯忠玉"</f>
        <v>冯忠玉</v>
      </c>
      <c r="E3493" s="7" t="str">
        <f t="shared" si="141"/>
        <v>女</v>
      </c>
    </row>
    <row r="3494" spans="1:5" ht="30" customHeight="1">
      <c r="A3494" s="6">
        <v>3492</v>
      </c>
      <c r="B3494" s="7" t="str">
        <f>"29802021051410430796754"</f>
        <v>29802021051410430796754</v>
      </c>
      <c r="C3494" s="7" t="s">
        <v>23</v>
      </c>
      <c r="D3494" s="7" t="str">
        <f>"尤少嘉"</f>
        <v>尤少嘉</v>
      </c>
      <c r="E3494" s="7" t="str">
        <f t="shared" si="141"/>
        <v>女</v>
      </c>
    </row>
    <row r="3495" spans="1:5" ht="30" customHeight="1">
      <c r="A3495" s="6">
        <v>3493</v>
      </c>
      <c r="B3495" s="7" t="str">
        <f>"29802021051410465296765"</f>
        <v>29802021051410465296765</v>
      </c>
      <c r="C3495" s="7" t="s">
        <v>23</v>
      </c>
      <c r="D3495" s="7" t="str">
        <f>"方媛"</f>
        <v>方媛</v>
      </c>
      <c r="E3495" s="7" t="str">
        <f t="shared" si="141"/>
        <v>女</v>
      </c>
    </row>
    <row r="3496" spans="1:5" ht="30" customHeight="1">
      <c r="A3496" s="6">
        <v>3494</v>
      </c>
      <c r="B3496" s="7" t="str">
        <f>"29802021051411125596824"</f>
        <v>29802021051411125596824</v>
      </c>
      <c r="C3496" s="7" t="s">
        <v>23</v>
      </c>
      <c r="D3496" s="7" t="str">
        <f>"林秋花"</f>
        <v>林秋花</v>
      </c>
      <c r="E3496" s="7" t="str">
        <f t="shared" si="141"/>
        <v>女</v>
      </c>
    </row>
    <row r="3497" spans="1:5" ht="30" customHeight="1">
      <c r="A3497" s="6">
        <v>3495</v>
      </c>
      <c r="B3497" s="7" t="str">
        <f>"29802021051411224796850"</f>
        <v>29802021051411224796850</v>
      </c>
      <c r="C3497" s="7" t="s">
        <v>23</v>
      </c>
      <c r="D3497" s="7" t="str">
        <f>"陈思羽"</f>
        <v>陈思羽</v>
      </c>
      <c r="E3497" s="7" t="str">
        <f t="shared" si="141"/>
        <v>女</v>
      </c>
    </row>
    <row r="3498" spans="1:5" ht="30" customHeight="1">
      <c r="A3498" s="6">
        <v>3496</v>
      </c>
      <c r="B3498" s="7" t="str">
        <f>"29802021051411520396905"</f>
        <v>29802021051411520396905</v>
      </c>
      <c r="C3498" s="7" t="s">
        <v>23</v>
      </c>
      <c r="D3498" s="7" t="str">
        <f>"符淑女"</f>
        <v>符淑女</v>
      </c>
      <c r="E3498" s="7" t="str">
        <f t="shared" si="141"/>
        <v>女</v>
      </c>
    </row>
    <row r="3499" spans="1:5" ht="30" customHeight="1">
      <c r="A3499" s="6">
        <v>3497</v>
      </c>
      <c r="B3499" s="7" t="str">
        <f>"29802021051412370996997"</f>
        <v>29802021051412370996997</v>
      </c>
      <c r="C3499" s="7" t="s">
        <v>23</v>
      </c>
      <c r="D3499" s="7" t="str">
        <f>"李芳妍"</f>
        <v>李芳妍</v>
      </c>
      <c r="E3499" s="7" t="str">
        <f t="shared" si="141"/>
        <v>女</v>
      </c>
    </row>
    <row r="3500" spans="1:5" ht="30" customHeight="1">
      <c r="A3500" s="6">
        <v>3498</v>
      </c>
      <c r="B3500" s="7" t="str">
        <f>"29802021051412455797015"</f>
        <v>29802021051412455797015</v>
      </c>
      <c r="C3500" s="7" t="s">
        <v>23</v>
      </c>
      <c r="D3500" s="7" t="str">
        <f>"王小霞"</f>
        <v>王小霞</v>
      </c>
      <c r="E3500" s="7" t="str">
        <f t="shared" si="141"/>
        <v>女</v>
      </c>
    </row>
    <row r="3501" spans="1:5" ht="30" customHeight="1">
      <c r="A3501" s="6">
        <v>3499</v>
      </c>
      <c r="B3501" s="7" t="str">
        <f>"29802021051412504697028"</f>
        <v>29802021051412504697028</v>
      </c>
      <c r="C3501" s="7" t="s">
        <v>23</v>
      </c>
      <c r="D3501" s="7" t="str">
        <f>"何金彦"</f>
        <v>何金彦</v>
      </c>
      <c r="E3501" s="7" t="str">
        <f t="shared" si="141"/>
        <v>女</v>
      </c>
    </row>
    <row r="3502" spans="1:5" ht="30" customHeight="1">
      <c r="A3502" s="6">
        <v>3500</v>
      </c>
      <c r="B3502" s="7" t="str">
        <f>"29802021051412573497037"</f>
        <v>29802021051412573497037</v>
      </c>
      <c r="C3502" s="7" t="s">
        <v>23</v>
      </c>
      <c r="D3502" s="7" t="str">
        <f>"朱华英"</f>
        <v>朱华英</v>
      </c>
      <c r="E3502" s="7" t="str">
        <f t="shared" si="141"/>
        <v>女</v>
      </c>
    </row>
    <row r="3503" spans="1:5" ht="30" customHeight="1">
      <c r="A3503" s="6">
        <v>3501</v>
      </c>
      <c r="B3503" s="7" t="str">
        <f>"29802021051413093597059"</f>
        <v>29802021051413093597059</v>
      </c>
      <c r="C3503" s="7" t="s">
        <v>23</v>
      </c>
      <c r="D3503" s="7" t="str">
        <f>"韩怡"</f>
        <v>韩怡</v>
      </c>
      <c r="E3503" s="7" t="str">
        <f t="shared" si="141"/>
        <v>女</v>
      </c>
    </row>
    <row r="3504" spans="1:5" ht="30" customHeight="1">
      <c r="A3504" s="6">
        <v>3502</v>
      </c>
      <c r="B3504" s="7" t="str">
        <f>"29802021051413362297114"</f>
        <v>29802021051413362297114</v>
      </c>
      <c r="C3504" s="7" t="s">
        <v>23</v>
      </c>
      <c r="D3504" s="7" t="str">
        <f>"徐学娜"</f>
        <v>徐学娜</v>
      </c>
      <c r="E3504" s="7" t="str">
        <f t="shared" si="141"/>
        <v>女</v>
      </c>
    </row>
    <row r="3505" spans="1:5" ht="30" customHeight="1">
      <c r="A3505" s="6">
        <v>3503</v>
      </c>
      <c r="B3505" s="7" t="str">
        <f>"29802021051413382897117"</f>
        <v>29802021051413382897117</v>
      </c>
      <c r="C3505" s="7" t="s">
        <v>23</v>
      </c>
      <c r="D3505" s="7" t="str">
        <f>"曾回鲜"</f>
        <v>曾回鲜</v>
      </c>
      <c r="E3505" s="7" t="str">
        <f t="shared" si="141"/>
        <v>女</v>
      </c>
    </row>
    <row r="3506" spans="1:5" ht="30" customHeight="1">
      <c r="A3506" s="6">
        <v>3504</v>
      </c>
      <c r="B3506" s="7" t="str">
        <f>"29802021051413464697141"</f>
        <v>29802021051413464697141</v>
      </c>
      <c r="C3506" s="7" t="s">
        <v>23</v>
      </c>
      <c r="D3506" s="7" t="str">
        <f>"叶抚璋"</f>
        <v>叶抚璋</v>
      </c>
      <c r="E3506" s="7" t="str">
        <f t="shared" si="141"/>
        <v>女</v>
      </c>
    </row>
    <row r="3507" spans="1:5" ht="30" customHeight="1">
      <c r="A3507" s="6">
        <v>3505</v>
      </c>
      <c r="B3507" s="7" t="str">
        <f>"29802021051415252897317"</f>
        <v>29802021051415252897317</v>
      </c>
      <c r="C3507" s="7" t="s">
        <v>23</v>
      </c>
      <c r="D3507" s="7" t="str">
        <f>"欧惠婷"</f>
        <v>欧惠婷</v>
      </c>
      <c r="E3507" s="7" t="str">
        <f t="shared" si="141"/>
        <v>女</v>
      </c>
    </row>
    <row r="3508" spans="1:5" ht="30" customHeight="1">
      <c r="A3508" s="6">
        <v>3506</v>
      </c>
      <c r="B3508" s="7" t="str">
        <f>"29802021051415301097333"</f>
        <v>29802021051415301097333</v>
      </c>
      <c r="C3508" s="7" t="s">
        <v>23</v>
      </c>
      <c r="D3508" s="7" t="str">
        <f>"郭振莲"</f>
        <v>郭振莲</v>
      </c>
      <c r="E3508" s="7" t="str">
        <f t="shared" si="141"/>
        <v>女</v>
      </c>
    </row>
    <row r="3509" spans="1:5" ht="30" customHeight="1">
      <c r="A3509" s="6">
        <v>3507</v>
      </c>
      <c r="B3509" s="7" t="str">
        <f>"29802021051416272197475"</f>
        <v>29802021051416272197475</v>
      </c>
      <c r="C3509" s="7" t="s">
        <v>23</v>
      </c>
      <c r="D3509" s="7" t="str">
        <f>"蔡换蓉"</f>
        <v>蔡换蓉</v>
      </c>
      <c r="E3509" s="7" t="str">
        <f t="shared" si="141"/>
        <v>女</v>
      </c>
    </row>
    <row r="3510" spans="1:5" ht="30" customHeight="1">
      <c r="A3510" s="6">
        <v>3508</v>
      </c>
      <c r="B3510" s="7" t="str">
        <f>"29802021051416412497506"</f>
        <v>29802021051416412497506</v>
      </c>
      <c r="C3510" s="7" t="s">
        <v>23</v>
      </c>
      <c r="D3510" s="7" t="str">
        <f>"王玉虹"</f>
        <v>王玉虹</v>
      </c>
      <c r="E3510" s="7" t="str">
        <f t="shared" si="141"/>
        <v>女</v>
      </c>
    </row>
    <row r="3511" spans="1:5" ht="30" customHeight="1">
      <c r="A3511" s="6">
        <v>3509</v>
      </c>
      <c r="B3511" s="7" t="str">
        <f>"29802021051416472497514"</f>
        <v>29802021051416472497514</v>
      </c>
      <c r="C3511" s="7" t="s">
        <v>23</v>
      </c>
      <c r="D3511" s="7" t="str">
        <f>"谢萍"</f>
        <v>谢萍</v>
      </c>
      <c r="E3511" s="7" t="str">
        <f t="shared" si="141"/>
        <v>女</v>
      </c>
    </row>
    <row r="3512" spans="1:5" ht="30" customHeight="1">
      <c r="A3512" s="6">
        <v>3510</v>
      </c>
      <c r="B3512" s="7" t="str">
        <f>"29802021051416533997533"</f>
        <v>29802021051416533997533</v>
      </c>
      <c r="C3512" s="7" t="s">
        <v>23</v>
      </c>
      <c r="D3512" s="7" t="str">
        <f>"羊蕊"</f>
        <v>羊蕊</v>
      </c>
      <c r="E3512" s="7" t="str">
        <f t="shared" si="141"/>
        <v>女</v>
      </c>
    </row>
    <row r="3513" spans="1:5" ht="30" customHeight="1">
      <c r="A3513" s="6">
        <v>3511</v>
      </c>
      <c r="B3513" s="7" t="str">
        <f>"29802021051417010797556"</f>
        <v>29802021051417010797556</v>
      </c>
      <c r="C3513" s="7" t="s">
        <v>23</v>
      </c>
      <c r="D3513" s="7" t="str">
        <f>"王彩真"</f>
        <v>王彩真</v>
      </c>
      <c r="E3513" s="7" t="str">
        <f t="shared" si="141"/>
        <v>女</v>
      </c>
    </row>
    <row r="3514" spans="1:5" ht="30" customHeight="1">
      <c r="A3514" s="6">
        <v>3512</v>
      </c>
      <c r="B3514" s="7" t="str">
        <f>"29802021051417115897574"</f>
        <v>29802021051417115897574</v>
      </c>
      <c r="C3514" s="7" t="s">
        <v>23</v>
      </c>
      <c r="D3514" s="7" t="str">
        <f>"王国妃"</f>
        <v>王国妃</v>
      </c>
      <c r="E3514" s="7" t="str">
        <f t="shared" si="141"/>
        <v>女</v>
      </c>
    </row>
    <row r="3515" spans="1:5" ht="30" customHeight="1">
      <c r="A3515" s="6">
        <v>3513</v>
      </c>
      <c r="B3515" s="7" t="str">
        <f>"29802021051417530897639"</f>
        <v>29802021051417530897639</v>
      </c>
      <c r="C3515" s="7" t="s">
        <v>23</v>
      </c>
      <c r="D3515" s="7" t="str">
        <f>"方冰宇"</f>
        <v>方冰宇</v>
      </c>
      <c r="E3515" s="7" t="str">
        <f t="shared" si="141"/>
        <v>女</v>
      </c>
    </row>
    <row r="3516" spans="1:5" ht="30" customHeight="1">
      <c r="A3516" s="6">
        <v>3514</v>
      </c>
      <c r="B3516" s="7" t="str">
        <f>"29802021051418114997677"</f>
        <v>29802021051418114997677</v>
      </c>
      <c r="C3516" s="7" t="s">
        <v>23</v>
      </c>
      <c r="D3516" s="7" t="str">
        <f>"王贞英"</f>
        <v>王贞英</v>
      </c>
      <c r="E3516" s="7" t="str">
        <f t="shared" si="141"/>
        <v>女</v>
      </c>
    </row>
    <row r="3517" spans="1:5" ht="30" customHeight="1">
      <c r="A3517" s="6">
        <v>3515</v>
      </c>
      <c r="B3517" s="7" t="str">
        <f>"29802021051418223397693"</f>
        <v>29802021051418223397693</v>
      </c>
      <c r="C3517" s="7" t="s">
        <v>23</v>
      </c>
      <c r="D3517" s="7" t="str">
        <f>"王诗柔"</f>
        <v>王诗柔</v>
      </c>
      <c r="E3517" s="7" t="str">
        <f aca="true" t="shared" si="142" ref="E3517:E3580">"女"</f>
        <v>女</v>
      </c>
    </row>
    <row r="3518" spans="1:5" ht="30" customHeight="1">
      <c r="A3518" s="6">
        <v>3516</v>
      </c>
      <c r="B3518" s="7" t="str">
        <f>"29802021051418343597712"</f>
        <v>29802021051418343597712</v>
      </c>
      <c r="C3518" s="7" t="s">
        <v>23</v>
      </c>
      <c r="D3518" s="7" t="str">
        <f>"邱丽君"</f>
        <v>邱丽君</v>
      </c>
      <c r="E3518" s="7" t="str">
        <f t="shared" si="142"/>
        <v>女</v>
      </c>
    </row>
    <row r="3519" spans="1:5" ht="30" customHeight="1">
      <c r="A3519" s="6">
        <v>3517</v>
      </c>
      <c r="B3519" s="7" t="str">
        <f>"29802021051418551997739"</f>
        <v>29802021051418551997739</v>
      </c>
      <c r="C3519" s="7" t="s">
        <v>23</v>
      </c>
      <c r="D3519" s="7" t="str">
        <f>"黄光慧"</f>
        <v>黄光慧</v>
      </c>
      <c r="E3519" s="7" t="str">
        <f t="shared" si="142"/>
        <v>女</v>
      </c>
    </row>
    <row r="3520" spans="1:5" ht="30" customHeight="1">
      <c r="A3520" s="6">
        <v>3518</v>
      </c>
      <c r="B3520" s="7" t="str">
        <f>"29802021051419083697759"</f>
        <v>29802021051419083697759</v>
      </c>
      <c r="C3520" s="7" t="s">
        <v>23</v>
      </c>
      <c r="D3520" s="7" t="str">
        <f>"曾素"</f>
        <v>曾素</v>
      </c>
      <c r="E3520" s="7" t="str">
        <f t="shared" si="142"/>
        <v>女</v>
      </c>
    </row>
    <row r="3521" spans="1:5" ht="30" customHeight="1">
      <c r="A3521" s="6">
        <v>3519</v>
      </c>
      <c r="B3521" s="7" t="str">
        <f>"29802021051419165297778"</f>
        <v>29802021051419165297778</v>
      </c>
      <c r="C3521" s="7" t="s">
        <v>23</v>
      </c>
      <c r="D3521" s="7" t="str">
        <f>"李小娜"</f>
        <v>李小娜</v>
      </c>
      <c r="E3521" s="7" t="str">
        <f t="shared" si="142"/>
        <v>女</v>
      </c>
    </row>
    <row r="3522" spans="1:5" ht="30" customHeight="1">
      <c r="A3522" s="6">
        <v>3520</v>
      </c>
      <c r="B3522" s="7" t="str">
        <f>"29802021051419204597782"</f>
        <v>29802021051419204597782</v>
      </c>
      <c r="C3522" s="7" t="s">
        <v>23</v>
      </c>
      <c r="D3522" s="7" t="str">
        <f>"胡梦欢"</f>
        <v>胡梦欢</v>
      </c>
      <c r="E3522" s="7" t="str">
        <f t="shared" si="142"/>
        <v>女</v>
      </c>
    </row>
    <row r="3523" spans="1:5" ht="30" customHeight="1">
      <c r="A3523" s="6">
        <v>3521</v>
      </c>
      <c r="B3523" s="7" t="str">
        <f>"29802021051419215997784"</f>
        <v>29802021051419215997784</v>
      </c>
      <c r="C3523" s="7" t="s">
        <v>23</v>
      </c>
      <c r="D3523" s="7" t="str">
        <f>"吴春阳"</f>
        <v>吴春阳</v>
      </c>
      <c r="E3523" s="7" t="str">
        <f t="shared" si="142"/>
        <v>女</v>
      </c>
    </row>
    <row r="3524" spans="1:5" ht="30" customHeight="1">
      <c r="A3524" s="6">
        <v>3522</v>
      </c>
      <c r="B3524" s="7" t="str">
        <f>"29802021051420153897859"</f>
        <v>29802021051420153897859</v>
      </c>
      <c r="C3524" s="7" t="s">
        <v>23</v>
      </c>
      <c r="D3524" s="7" t="str">
        <f>"骆静芳"</f>
        <v>骆静芳</v>
      </c>
      <c r="E3524" s="7" t="str">
        <f t="shared" si="142"/>
        <v>女</v>
      </c>
    </row>
    <row r="3525" spans="1:5" ht="30" customHeight="1">
      <c r="A3525" s="6">
        <v>3523</v>
      </c>
      <c r="B3525" s="7" t="str">
        <f>"29802021051420233497870"</f>
        <v>29802021051420233497870</v>
      </c>
      <c r="C3525" s="7" t="s">
        <v>23</v>
      </c>
      <c r="D3525" s="7" t="str">
        <f>"林宇"</f>
        <v>林宇</v>
      </c>
      <c r="E3525" s="7" t="str">
        <f t="shared" si="142"/>
        <v>女</v>
      </c>
    </row>
    <row r="3526" spans="1:5" ht="30" customHeight="1">
      <c r="A3526" s="6">
        <v>3524</v>
      </c>
      <c r="B3526" s="7" t="str">
        <f>"29802021051420332897889"</f>
        <v>29802021051420332897889</v>
      </c>
      <c r="C3526" s="7" t="s">
        <v>23</v>
      </c>
      <c r="D3526" s="7" t="str">
        <f>"王天雪"</f>
        <v>王天雪</v>
      </c>
      <c r="E3526" s="7" t="str">
        <f t="shared" si="142"/>
        <v>女</v>
      </c>
    </row>
    <row r="3527" spans="1:5" ht="30" customHeight="1">
      <c r="A3527" s="6">
        <v>3525</v>
      </c>
      <c r="B3527" s="7" t="str">
        <f>"29802021051420394997900"</f>
        <v>29802021051420394997900</v>
      </c>
      <c r="C3527" s="7" t="s">
        <v>23</v>
      </c>
      <c r="D3527" s="7" t="str">
        <f>"李玉芬"</f>
        <v>李玉芬</v>
      </c>
      <c r="E3527" s="7" t="str">
        <f t="shared" si="142"/>
        <v>女</v>
      </c>
    </row>
    <row r="3528" spans="1:5" ht="30" customHeight="1">
      <c r="A3528" s="6">
        <v>3526</v>
      </c>
      <c r="B3528" s="7" t="str">
        <f>"29802021051421330297988"</f>
        <v>29802021051421330297988</v>
      </c>
      <c r="C3528" s="7" t="s">
        <v>23</v>
      </c>
      <c r="D3528" s="7" t="str">
        <f>"胡秦"</f>
        <v>胡秦</v>
      </c>
      <c r="E3528" s="7" t="str">
        <f t="shared" si="142"/>
        <v>女</v>
      </c>
    </row>
    <row r="3529" spans="1:5" ht="30" customHeight="1">
      <c r="A3529" s="6">
        <v>3527</v>
      </c>
      <c r="B3529" s="7" t="str">
        <f>"29802021051421350097993"</f>
        <v>29802021051421350097993</v>
      </c>
      <c r="C3529" s="7" t="s">
        <v>23</v>
      </c>
      <c r="D3529" s="7" t="str">
        <f>"洪素金"</f>
        <v>洪素金</v>
      </c>
      <c r="E3529" s="7" t="str">
        <f t="shared" si="142"/>
        <v>女</v>
      </c>
    </row>
    <row r="3530" spans="1:5" ht="30" customHeight="1">
      <c r="A3530" s="6">
        <v>3528</v>
      </c>
      <c r="B3530" s="7" t="str">
        <f>"29802021051421372897998"</f>
        <v>29802021051421372897998</v>
      </c>
      <c r="C3530" s="7" t="s">
        <v>23</v>
      </c>
      <c r="D3530" s="7" t="str">
        <f>"王晓慧"</f>
        <v>王晓慧</v>
      </c>
      <c r="E3530" s="7" t="str">
        <f t="shared" si="142"/>
        <v>女</v>
      </c>
    </row>
    <row r="3531" spans="1:5" ht="30" customHeight="1">
      <c r="A3531" s="6">
        <v>3529</v>
      </c>
      <c r="B3531" s="7" t="str">
        <f>"29802021051422052398050"</f>
        <v>29802021051422052398050</v>
      </c>
      <c r="C3531" s="7" t="s">
        <v>23</v>
      </c>
      <c r="D3531" s="7" t="str">
        <f>"陈嘉妹"</f>
        <v>陈嘉妹</v>
      </c>
      <c r="E3531" s="7" t="str">
        <f t="shared" si="142"/>
        <v>女</v>
      </c>
    </row>
    <row r="3532" spans="1:5" ht="30" customHeight="1">
      <c r="A3532" s="6">
        <v>3530</v>
      </c>
      <c r="B3532" s="7" t="str">
        <f>"29802021051422123798063"</f>
        <v>29802021051422123798063</v>
      </c>
      <c r="C3532" s="7" t="s">
        <v>23</v>
      </c>
      <c r="D3532" s="7" t="str">
        <f>"曾紫璇"</f>
        <v>曾紫璇</v>
      </c>
      <c r="E3532" s="7" t="str">
        <f t="shared" si="142"/>
        <v>女</v>
      </c>
    </row>
    <row r="3533" spans="1:5" ht="30" customHeight="1">
      <c r="A3533" s="6">
        <v>3531</v>
      </c>
      <c r="B3533" s="7" t="str">
        <f>"29802021051422283298095"</f>
        <v>29802021051422283298095</v>
      </c>
      <c r="C3533" s="7" t="s">
        <v>23</v>
      </c>
      <c r="D3533" s="7" t="str">
        <f>"陈妙"</f>
        <v>陈妙</v>
      </c>
      <c r="E3533" s="7" t="str">
        <f t="shared" si="142"/>
        <v>女</v>
      </c>
    </row>
    <row r="3534" spans="1:5" ht="30" customHeight="1">
      <c r="A3534" s="6">
        <v>3532</v>
      </c>
      <c r="B3534" s="7" t="str">
        <f>"29802021051422343998106"</f>
        <v>29802021051422343998106</v>
      </c>
      <c r="C3534" s="7" t="s">
        <v>23</v>
      </c>
      <c r="D3534" s="7" t="str">
        <f>"王燕媚"</f>
        <v>王燕媚</v>
      </c>
      <c r="E3534" s="7" t="str">
        <f t="shared" si="142"/>
        <v>女</v>
      </c>
    </row>
    <row r="3535" spans="1:5" ht="30" customHeight="1">
      <c r="A3535" s="6">
        <v>3533</v>
      </c>
      <c r="B3535" s="7" t="str">
        <f>"29802021051423063898152"</f>
        <v>29802021051423063898152</v>
      </c>
      <c r="C3535" s="7" t="s">
        <v>23</v>
      </c>
      <c r="D3535" s="7" t="str">
        <f>"李彦翕"</f>
        <v>李彦翕</v>
      </c>
      <c r="E3535" s="7" t="str">
        <f t="shared" si="142"/>
        <v>女</v>
      </c>
    </row>
    <row r="3536" spans="1:5" ht="30" customHeight="1">
      <c r="A3536" s="6">
        <v>3534</v>
      </c>
      <c r="B3536" s="7" t="str">
        <f>"29802021051423561598221"</f>
        <v>29802021051423561598221</v>
      </c>
      <c r="C3536" s="7" t="s">
        <v>23</v>
      </c>
      <c r="D3536" s="7" t="str">
        <f>"陈慧"</f>
        <v>陈慧</v>
      </c>
      <c r="E3536" s="7" t="str">
        <f t="shared" si="142"/>
        <v>女</v>
      </c>
    </row>
    <row r="3537" spans="1:5" ht="30" customHeight="1">
      <c r="A3537" s="6">
        <v>3535</v>
      </c>
      <c r="B3537" s="7" t="str">
        <f>"29802021051500054898232"</f>
        <v>29802021051500054898232</v>
      </c>
      <c r="C3537" s="7" t="s">
        <v>23</v>
      </c>
      <c r="D3537" s="7" t="str">
        <f>"陈颖异"</f>
        <v>陈颖异</v>
      </c>
      <c r="E3537" s="7" t="str">
        <f t="shared" si="142"/>
        <v>女</v>
      </c>
    </row>
    <row r="3538" spans="1:5" ht="30" customHeight="1">
      <c r="A3538" s="6">
        <v>3536</v>
      </c>
      <c r="B3538" s="7" t="str">
        <f>"29802021051508182398324"</f>
        <v>29802021051508182398324</v>
      </c>
      <c r="C3538" s="7" t="s">
        <v>23</v>
      </c>
      <c r="D3538" s="7" t="str">
        <f>"王英云"</f>
        <v>王英云</v>
      </c>
      <c r="E3538" s="7" t="str">
        <f t="shared" si="142"/>
        <v>女</v>
      </c>
    </row>
    <row r="3539" spans="1:5" ht="30" customHeight="1">
      <c r="A3539" s="6">
        <v>3537</v>
      </c>
      <c r="B3539" s="7" t="str">
        <f>"29802021051508222698328"</f>
        <v>29802021051508222698328</v>
      </c>
      <c r="C3539" s="7" t="s">
        <v>23</v>
      </c>
      <c r="D3539" s="7" t="str">
        <f>"陈璐"</f>
        <v>陈璐</v>
      </c>
      <c r="E3539" s="7" t="str">
        <f t="shared" si="142"/>
        <v>女</v>
      </c>
    </row>
    <row r="3540" spans="1:5" ht="30" customHeight="1">
      <c r="A3540" s="6">
        <v>3538</v>
      </c>
      <c r="B3540" s="7" t="str">
        <f>"29802021051508250798330"</f>
        <v>29802021051508250798330</v>
      </c>
      <c r="C3540" s="7" t="s">
        <v>23</v>
      </c>
      <c r="D3540" s="7" t="str">
        <f>"符泰蓝"</f>
        <v>符泰蓝</v>
      </c>
      <c r="E3540" s="7" t="str">
        <f t="shared" si="142"/>
        <v>女</v>
      </c>
    </row>
    <row r="3541" spans="1:5" ht="30" customHeight="1">
      <c r="A3541" s="6">
        <v>3539</v>
      </c>
      <c r="B3541" s="7" t="str">
        <f>"29802021051508560798349"</f>
        <v>29802021051508560798349</v>
      </c>
      <c r="C3541" s="7" t="s">
        <v>23</v>
      </c>
      <c r="D3541" s="7" t="str">
        <f>"李秀颖"</f>
        <v>李秀颖</v>
      </c>
      <c r="E3541" s="7" t="str">
        <f t="shared" si="142"/>
        <v>女</v>
      </c>
    </row>
    <row r="3542" spans="1:5" ht="30" customHeight="1">
      <c r="A3542" s="6">
        <v>3540</v>
      </c>
      <c r="B3542" s="7" t="str">
        <f>"29802021051509065998358"</f>
        <v>29802021051509065998358</v>
      </c>
      <c r="C3542" s="7" t="s">
        <v>23</v>
      </c>
      <c r="D3542" s="7" t="str">
        <f>"陈艳"</f>
        <v>陈艳</v>
      </c>
      <c r="E3542" s="7" t="str">
        <f t="shared" si="142"/>
        <v>女</v>
      </c>
    </row>
    <row r="3543" spans="1:5" ht="30" customHeight="1">
      <c r="A3543" s="6">
        <v>3541</v>
      </c>
      <c r="B3543" s="7" t="str">
        <f>"29802021051509095098361"</f>
        <v>29802021051509095098361</v>
      </c>
      <c r="C3543" s="7" t="s">
        <v>23</v>
      </c>
      <c r="D3543" s="7" t="str">
        <f>"黄惠娴"</f>
        <v>黄惠娴</v>
      </c>
      <c r="E3543" s="7" t="str">
        <f t="shared" si="142"/>
        <v>女</v>
      </c>
    </row>
    <row r="3544" spans="1:5" ht="30" customHeight="1">
      <c r="A3544" s="6">
        <v>3542</v>
      </c>
      <c r="B3544" s="7" t="str">
        <f>"29802021051509144698367"</f>
        <v>29802021051509144698367</v>
      </c>
      <c r="C3544" s="7" t="s">
        <v>23</v>
      </c>
      <c r="D3544" s="7" t="str">
        <f>"卢武芸"</f>
        <v>卢武芸</v>
      </c>
      <c r="E3544" s="7" t="str">
        <f t="shared" si="142"/>
        <v>女</v>
      </c>
    </row>
    <row r="3545" spans="1:5" ht="30" customHeight="1">
      <c r="A3545" s="6">
        <v>3543</v>
      </c>
      <c r="B3545" s="7" t="str">
        <f>"29802021051510104398438"</f>
        <v>29802021051510104398438</v>
      </c>
      <c r="C3545" s="7" t="s">
        <v>23</v>
      </c>
      <c r="D3545" s="7" t="str">
        <f>"郑妮"</f>
        <v>郑妮</v>
      </c>
      <c r="E3545" s="7" t="str">
        <f t="shared" si="142"/>
        <v>女</v>
      </c>
    </row>
    <row r="3546" spans="1:5" ht="30" customHeight="1">
      <c r="A3546" s="6">
        <v>3544</v>
      </c>
      <c r="B3546" s="7" t="str">
        <f>"29802021051510230398457"</f>
        <v>29802021051510230398457</v>
      </c>
      <c r="C3546" s="7" t="s">
        <v>23</v>
      </c>
      <c r="D3546" s="7" t="str">
        <f>"王方霞"</f>
        <v>王方霞</v>
      </c>
      <c r="E3546" s="7" t="str">
        <f t="shared" si="142"/>
        <v>女</v>
      </c>
    </row>
    <row r="3547" spans="1:5" ht="30" customHeight="1">
      <c r="A3547" s="6">
        <v>3545</v>
      </c>
      <c r="B3547" s="7" t="str">
        <f>"29802021051510350998481"</f>
        <v>29802021051510350998481</v>
      </c>
      <c r="C3547" s="7" t="s">
        <v>23</v>
      </c>
      <c r="D3547" s="7" t="str">
        <f>"邱慧虹"</f>
        <v>邱慧虹</v>
      </c>
      <c r="E3547" s="7" t="str">
        <f t="shared" si="142"/>
        <v>女</v>
      </c>
    </row>
    <row r="3548" spans="1:5" ht="30" customHeight="1">
      <c r="A3548" s="6">
        <v>3546</v>
      </c>
      <c r="B3548" s="7" t="str">
        <f>"29802021051510401898491"</f>
        <v>29802021051510401898491</v>
      </c>
      <c r="C3548" s="7" t="s">
        <v>23</v>
      </c>
      <c r="D3548" s="7" t="str">
        <f>"陈一星"</f>
        <v>陈一星</v>
      </c>
      <c r="E3548" s="7" t="str">
        <f t="shared" si="142"/>
        <v>女</v>
      </c>
    </row>
    <row r="3549" spans="1:5" ht="30" customHeight="1">
      <c r="A3549" s="6">
        <v>3547</v>
      </c>
      <c r="B3549" s="7" t="str">
        <f>"29802021051510544298528"</f>
        <v>29802021051510544298528</v>
      </c>
      <c r="C3549" s="7" t="s">
        <v>23</v>
      </c>
      <c r="D3549" s="7" t="str">
        <f>"黄小芬"</f>
        <v>黄小芬</v>
      </c>
      <c r="E3549" s="7" t="str">
        <f t="shared" si="142"/>
        <v>女</v>
      </c>
    </row>
    <row r="3550" spans="1:5" ht="30" customHeight="1">
      <c r="A3550" s="6">
        <v>3548</v>
      </c>
      <c r="B3550" s="7" t="str">
        <f>"29802021051511363998592"</f>
        <v>29802021051511363998592</v>
      </c>
      <c r="C3550" s="7" t="s">
        <v>23</v>
      </c>
      <c r="D3550" s="7" t="str">
        <f>"吉财丽"</f>
        <v>吉财丽</v>
      </c>
      <c r="E3550" s="7" t="str">
        <f t="shared" si="142"/>
        <v>女</v>
      </c>
    </row>
    <row r="3551" spans="1:5" ht="30" customHeight="1">
      <c r="A3551" s="6">
        <v>3549</v>
      </c>
      <c r="B3551" s="7" t="str">
        <f>"29802021051511530998625"</f>
        <v>29802021051511530998625</v>
      </c>
      <c r="C3551" s="7" t="s">
        <v>23</v>
      </c>
      <c r="D3551" s="7" t="str">
        <f>"翁娇雪"</f>
        <v>翁娇雪</v>
      </c>
      <c r="E3551" s="7" t="str">
        <f t="shared" si="142"/>
        <v>女</v>
      </c>
    </row>
    <row r="3552" spans="1:5" ht="30" customHeight="1">
      <c r="A3552" s="6">
        <v>3550</v>
      </c>
      <c r="B3552" s="7" t="str">
        <f>"29802021051512014098637"</f>
        <v>29802021051512014098637</v>
      </c>
      <c r="C3552" s="7" t="s">
        <v>23</v>
      </c>
      <c r="D3552" s="7" t="str">
        <f>"李芬"</f>
        <v>李芬</v>
      </c>
      <c r="E3552" s="7" t="str">
        <f t="shared" si="142"/>
        <v>女</v>
      </c>
    </row>
    <row r="3553" spans="1:5" ht="30" customHeight="1">
      <c r="A3553" s="6">
        <v>3551</v>
      </c>
      <c r="B3553" s="7" t="str">
        <f>"29802021051512021298638"</f>
        <v>29802021051512021298638</v>
      </c>
      <c r="C3553" s="7" t="s">
        <v>23</v>
      </c>
      <c r="D3553" s="7" t="str">
        <f>"彭慧梅"</f>
        <v>彭慧梅</v>
      </c>
      <c r="E3553" s="7" t="str">
        <f t="shared" si="142"/>
        <v>女</v>
      </c>
    </row>
    <row r="3554" spans="1:5" ht="30" customHeight="1">
      <c r="A3554" s="6">
        <v>3552</v>
      </c>
      <c r="B3554" s="7" t="str">
        <f>"29802021051512080698650"</f>
        <v>29802021051512080698650</v>
      </c>
      <c r="C3554" s="7" t="s">
        <v>23</v>
      </c>
      <c r="D3554" s="7" t="str">
        <f>"符婧婧"</f>
        <v>符婧婧</v>
      </c>
      <c r="E3554" s="7" t="str">
        <f t="shared" si="142"/>
        <v>女</v>
      </c>
    </row>
    <row r="3555" spans="1:5" ht="30" customHeight="1">
      <c r="A3555" s="6">
        <v>3553</v>
      </c>
      <c r="B3555" s="7" t="str">
        <f>"29802021051512221498676"</f>
        <v>29802021051512221498676</v>
      </c>
      <c r="C3555" s="7" t="s">
        <v>23</v>
      </c>
      <c r="D3555" s="7" t="str">
        <f>"林著芳"</f>
        <v>林著芳</v>
      </c>
      <c r="E3555" s="7" t="str">
        <f t="shared" si="142"/>
        <v>女</v>
      </c>
    </row>
    <row r="3556" spans="1:5" ht="30" customHeight="1">
      <c r="A3556" s="6">
        <v>3554</v>
      </c>
      <c r="B3556" s="7" t="str">
        <f>"29802021051514220698860"</f>
        <v>29802021051514220698860</v>
      </c>
      <c r="C3556" s="7" t="s">
        <v>23</v>
      </c>
      <c r="D3556" s="7" t="str">
        <f>"陈明珠"</f>
        <v>陈明珠</v>
      </c>
      <c r="E3556" s="7" t="str">
        <f t="shared" si="142"/>
        <v>女</v>
      </c>
    </row>
    <row r="3557" spans="1:5" ht="30" customHeight="1">
      <c r="A3557" s="6">
        <v>3555</v>
      </c>
      <c r="B3557" s="7" t="str">
        <f>"29802021051514452598897"</f>
        <v>29802021051514452598897</v>
      </c>
      <c r="C3557" s="7" t="s">
        <v>23</v>
      </c>
      <c r="D3557" s="7" t="str">
        <f>"蔡金萍"</f>
        <v>蔡金萍</v>
      </c>
      <c r="E3557" s="7" t="str">
        <f t="shared" si="142"/>
        <v>女</v>
      </c>
    </row>
    <row r="3558" spans="1:5" ht="30" customHeight="1">
      <c r="A3558" s="6">
        <v>3556</v>
      </c>
      <c r="B3558" s="7" t="str">
        <f>"29802021051515394598993"</f>
        <v>29802021051515394598993</v>
      </c>
      <c r="C3558" s="7" t="s">
        <v>23</v>
      </c>
      <c r="D3558" s="7" t="str">
        <f>"陈婵婵"</f>
        <v>陈婵婵</v>
      </c>
      <c r="E3558" s="7" t="str">
        <f t="shared" si="142"/>
        <v>女</v>
      </c>
    </row>
    <row r="3559" spans="1:5" ht="30" customHeight="1">
      <c r="A3559" s="6">
        <v>3557</v>
      </c>
      <c r="B3559" s="7" t="str">
        <f>"29802021051515401298994"</f>
        <v>29802021051515401298994</v>
      </c>
      <c r="C3559" s="7" t="s">
        <v>23</v>
      </c>
      <c r="D3559" s="7" t="str">
        <f>"周忆雯"</f>
        <v>周忆雯</v>
      </c>
      <c r="E3559" s="7" t="str">
        <f t="shared" si="142"/>
        <v>女</v>
      </c>
    </row>
    <row r="3560" spans="1:5" ht="30" customHeight="1">
      <c r="A3560" s="6">
        <v>3558</v>
      </c>
      <c r="B3560" s="7" t="str">
        <f>"29802021050908301780517"</f>
        <v>29802021050908301780517</v>
      </c>
      <c r="C3560" s="7" t="s">
        <v>24</v>
      </c>
      <c r="D3560" s="7" t="str">
        <f>"黄晓倩"</f>
        <v>黄晓倩</v>
      </c>
      <c r="E3560" s="7" t="str">
        <f t="shared" si="142"/>
        <v>女</v>
      </c>
    </row>
    <row r="3561" spans="1:5" ht="30" customHeight="1">
      <c r="A3561" s="6">
        <v>3559</v>
      </c>
      <c r="B3561" s="7" t="str">
        <f>"29802021050908543680546"</f>
        <v>29802021050908543680546</v>
      </c>
      <c r="C3561" s="7" t="s">
        <v>24</v>
      </c>
      <c r="D3561" s="7" t="str">
        <f>"胡小妹"</f>
        <v>胡小妹</v>
      </c>
      <c r="E3561" s="7" t="str">
        <f t="shared" si="142"/>
        <v>女</v>
      </c>
    </row>
    <row r="3562" spans="1:5" ht="30" customHeight="1">
      <c r="A3562" s="6">
        <v>3560</v>
      </c>
      <c r="B3562" s="7" t="str">
        <f>"29802021050908594580555"</f>
        <v>29802021050908594580555</v>
      </c>
      <c r="C3562" s="7" t="s">
        <v>24</v>
      </c>
      <c r="D3562" s="7" t="str">
        <f>"黄婉妃"</f>
        <v>黄婉妃</v>
      </c>
      <c r="E3562" s="7" t="str">
        <f t="shared" si="142"/>
        <v>女</v>
      </c>
    </row>
    <row r="3563" spans="1:5" ht="30" customHeight="1">
      <c r="A3563" s="6">
        <v>3561</v>
      </c>
      <c r="B3563" s="7" t="str">
        <f>"29802021050909003280556"</f>
        <v>29802021050909003280556</v>
      </c>
      <c r="C3563" s="7" t="s">
        <v>24</v>
      </c>
      <c r="D3563" s="7" t="str">
        <f>"黄小霞"</f>
        <v>黄小霞</v>
      </c>
      <c r="E3563" s="7" t="str">
        <f t="shared" si="142"/>
        <v>女</v>
      </c>
    </row>
    <row r="3564" spans="1:5" ht="30" customHeight="1">
      <c r="A3564" s="6">
        <v>3562</v>
      </c>
      <c r="B3564" s="7" t="str">
        <f>"29802021050909121580579"</f>
        <v>29802021050909121580579</v>
      </c>
      <c r="C3564" s="7" t="s">
        <v>24</v>
      </c>
      <c r="D3564" s="7" t="str">
        <f>"陈安霞"</f>
        <v>陈安霞</v>
      </c>
      <c r="E3564" s="7" t="str">
        <f t="shared" si="142"/>
        <v>女</v>
      </c>
    </row>
    <row r="3565" spans="1:5" ht="30" customHeight="1">
      <c r="A3565" s="6">
        <v>3563</v>
      </c>
      <c r="B3565" s="7" t="str">
        <f>"29802021050909425880632"</f>
        <v>29802021050909425880632</v>
      </c>
      <c r="C3565" s="7" t="s">
        <v>24</v>
      </c>
      <c r="D3565" s="7" t="str">
        <f>"王晓珊"</f>
        <v>王晓珊</v>
      </c>
      <c r="E3565" s="7" t="str">
        <f t="shared" si="142"/>
        <v>女</v>
      </c>
    </row>
    <row r="3566" spans="1:5" ht="30" customHeight="1">
      <c r="A3566" s="6">
        <v>3564</v>
      </c>
      <c r="B3566" s="7" t="str">
        <f>"29802021050910033280678"</f>
        <v>29802021050910033280678</v>
      </c>
      <c r="C3566" s="7" t="s">
        <v>24</v>
      </c>
      <c r="D3566" s="7" t="str">
        <f>"邓子凤"</f>
        <v>邓子凤</v>
      </c>
      <c r="E3566" s="7" t="str">
        <f t="shared" si="142"/>
        <v>女</v>
      </c>
    </row>
    <row r="3567" spans="1:5" ht="30" customHeight="1">
      <c r="A3567" s="6">
        <v>3565</v>
      </c>
      <c r="B3567" s="7" t="str">
        <f>"29802021050910055380685"</f>
        <v>29802021050910055380685</v>
      </c>
      <c r="C3567" s="7" t="s">
        <v>24</v>
      </c>
      <c r="D3567" s="7" t="str">
        <f>"关惠琼"</f>
        <v>关惠琼</v>
      </c>
      <c r="E3567" s="7" t="str">
        <f t="shared" si="142"/>
        <v>女</v>
      </c>
    </row>
    <row r="3568" spans="1:5" ht="30" customHeight="1">
      <c r="A3568" s="6">
        <v>3566</v>
      </c>
      <c r="B3568" s="7" t="str">
        <f>"29802021050910134280703"</f>
        <v>29802021050910134280703</v>
      </c>
      <c r="C3568" s="7" t="s">
        <v>24</v>
      </c>
      <c r="D3568" s="7" t="str">
        <f>"陈婧"</f>
        <v>陈婧</v>
      </c>
      <c r="E3568" s="7" t="str">
        <f t="shared" si="142"/>
        <v>女</v>
      </c>
    </row>
    <row r="3569" spans="1:5" ht="30" customHeight="1">
      <c r="A3569" s="6">
        <v>3567</v>
      </c>
      <c r="B3569" s="7" t="str">
        <f>"29802021050910170280713"</f>
        <v>29802021050910170280713</v>
      </c>
      <c r="C3569" s="7" t="s">
        <v>24</v>
      </c>
      <c r="D3569" s="7" t="str">
        <f>"符文静"</f>
        <v>符文静</v>
      </c>
      <c r="E3569" s="7" t="str">
        <f t="shared" si="142"/>
        <v>女</v>
      </c>
    </row>
    <row r="3570" spans="1:5" ht="30" customHeight="1">
      <c r="A3570" s="6">
        <v>3568</v>
      </c>
      <c r="B3570" s="7" t="str">
        <f>"29802021050910174680718"</f>
        <v>29802021050910174680718</v>
      </c>
      <c r="C3570" s="7" t="s">
        <v>24</v>
      </c>
      <c r="D3570" s="7" t="str">
        <f>"麦星"</f>
        <v>麦星</v>
      </c>
      <c r="E3570" s="7" t="str">
        <f t="shared" si="142"/>
        <v>女</v>
      </c>
    </row>
    <row r="3571" spans="1:5" ht="30" customHeight="1">
      <c r="A3571" s="6">
        <v>3569</v>
      </c>
      <c r="B3571" s="7" t="str">
        <f>"29802021050910224280725"</f>
        <v>29802021050910224280725</v>
      </c>
      <c r="C3571" s="7" t="s">
        <v>24</v>
      </c>
      <c r="D3571" s="7" t="str">
        <f>"周瑜"</f>
        <v>周瑜</v>
      </c>
      <c r="E3571" s="7" t="str">
        <f t="shared" si="142"/>
        <v>女</v>
      </c>
    </row>
    <row r="3572" spans="1:5" ht="30" customHeight="1">
      <c r="A3572" s="6">
        <v>3570</v>
      </c>
      <c r="B3572" s="7" t="str">
        <f>"29802021050911175180831"</f>
        <v>29802021050911175180831</v>
      </c>
      <c r="C3572" s="7" t="s">
        <v>24</v>
      </c>
      <c r="D3572" s="7" t="str">
        <f>"王嫦"</f>
        <v>王嫦</v>
      </c>
      <c r="E3572" s="7" t="str">
        <f t="shared" si="142"/>
        <v>女</v>
      </c>
    </row>
    <row r="3573" spans="1:5" ht="30" customHeight="1">
      <c r="A3573" s="6">
        <v>3571</v>
      </c>
      <c r="B3573" s="7" t="str">
        <f>"29802021050911193580835"</f>
        <v>29802021050911193580835</v>
      </c>
      <c r="C3573" s="7" t="s">
        <v>24</v>
      </c>
      <c r="D3573" s="7" t="str">
        <f>"何慧婷"</f>
        <v>何慧婷</v>
      </c>
      <c r="E3573" s="7" t="str">
        <f t="shared" si="142"/>
        <v>女</v>
      </c>
    </row>
    <row r="3574" spans="1:5" ht="30" customHeight="1">
      <c r="A3574" s="6">
        <v>3572</v>
      </c>
      <c r="B3574" s="7" t="str">
        <f>"29802021050911230480838"</f>
        <v>29802021050911230480838</v>
      </c>
      <c r="C3574" s="7" t="s">
        <v>24</v>
      </c>
      <c r="D3574" s="7" t="str">
        <f>"陈吉瑜"</f>
        <v>陈吉瑜</v>
      </c>
      <c r="E3574" s="7" t="str">
        <f t="shared" si="142"/>
        <v>女</v>
      </c>
    </row>
    <row r="3575" spans="1:5" ht="30" customHeight="1">
      <c r="A3575" s="6">
        <v>3573</v>
      </c>
      <c r="B3575" s="7" t="str">
        <f>"29802021050911233980839"</f>
        <v>29802021050911233980839</v>
      </c>
      <c r="C3575" s="7" t="s">
        <v>24</v>
      </c>
      <c r="D3575" s="7" t="str">
        <f>"施彩玲"</f>
        <v>施彩玲</v>
      </c>
      <c r="E3575" s="7" t="str">
        <f t="shared" si="142"/>
        <v>女</v>
      </c>
    </row>
    <row r="3576" spans="1:5" ht="30" customHeight="1">
      <c r="A3576" s="6">
        <v>3574</v>
      </c>
      <c r="B3576" s="7" t="str">
        <f>"29802021050911485180895"</f>
        <v>29802021050911485180895</v>
      </c>
      <c r="C3576" s="7" t="s">
        <v>24</v>
      </c>
      <c r="D3576" s="7" t="str">
        <f>"黄娇"</f>
        <v>黄娇</v>
      </c>
      <c r="E3576" s="7" t="str">
        <f t="shared" si="142"/>
        <v>女</v>
      </c>
    </row>
    <row r="3577" spans="1:5" ht="30" customHeight="1">
      <c r="A3577" s="6">
        <v>3575</v>
      </c>
      <c r="B3577" s="7" t="str">
        <f>"29802021050911530980898"</f>
        <v>29802021050911530980898</v>
      </c>
      <c r="C3577" s="7" t="s">
        <v>24</v>
      </c>
      <c r="D3577" s="7" t="str">
        <f>"郑庆美"</f>
        <v>郑庆美</v>
      </c>
      <c r="E3577" s="7" t="str">
        <f t="shared" si="142"/>
        <v>女</v>
      </c>
    </row>
    <row r="3578" spans="1:5" ht="30" customHeight="1">
      <c r="A3578" s="6">
        <v>3576</v>
      </c>
      <c r="B3578" s="7" t="str">
        <f>"29802021050912523080989"</f>
        <v>29802021050912523080989</v>
      </c>
      <c r="C3578" s="7" t="s">
        <v>24</v>
      </c>
      <c r="D3578" s="7" t="str">
        <f>"赖兰珍"</f>
        <v>赖兰珍</v>
      </c>
      <c r="E3578" s="7" t="str">
        <f t="shared" si="142"/>
        <v>女</v>
      </c>
    </row>
    <row r="3579" spans="1:5" ht="30" customHeight="1">
      <c r="A3579" s="6">
        <v>3577</v>
      </c>
      <c r="B3579" s="7" t="str">
        <f>"29802021050913023981011"</f>
        <v>29802021050913023981011</v>
      </c>
      <c r="C3579" s="7" t="s">
        <v>24</v>
      </c>
      <c r="D3579" s="7" t="str">
        <f>"苏梦琪"</f>
        <v>苏梦琪</v>
      </c>
      <c r="E3579" s="7" t="str">
        <f t="shared" si="142"/>
        <v>女</v>
      </c>
    </row>
    <row r="3580" spans="1:5" ht="30" customHeight="1">
      <c r="A3580" s="6">
        <v>3578</v>
      </c>
      <c r="B3580" s="7" t="str">
        <f>"29802021050913240581038"</f>
        <v>29802021050913240581038</v>
      </c>
      <c r="C3580" s="7" t="s">
        <v>24</v>
      </c>
      <c r="D3580" s="7" t="str">
        <f>"麦贤雯"</f>
        <v>麦贤雯</v>
      </c>
      <c r="E3580" s="7" t="str">
        <f t="shared" si="142"/>
        <v>女</v>
      </c>
    </row>
    <row r="3581" spans="1:5" ht="30" customHeight="1">
      <c r="A3581" s="6">
        <v>3579</v>
      </c>
      <c r="B3581" s="7" t="str">
        <f>"29802021050913534781082"</f>
        <v>29802021050913534781082</v>
      </c>
      <c r="C3581" s="7" t="s">
        <v>24</v>
      </c>
      <c r="D3581" s="7" t="str">
        <f>"黄翠美"</f>
        <v>黄翠美</v>
      </c>
      <c r="E3581" s="7" t="str">
        <f aca="true" t="shared" si="143" ref="E3581:E3638">"女"</f>
        <v>女</v>
      </c>
    </row>
    <row r="3582" spans="1:5" ht="30" customHeight="1">
      <c r="A3582" s="6">
        <v>3580</v>
      </c>
      <c r="B3582" s="7" t="str">
        <f>"29802021050914223381119"</f>
        <v>29802021050914223381119</v>
      </c>
      <c r="C3582" s="7" t="s">
        <v>24</v>
      </c>
      <c r="D3582" s="7" t="str">
        <f>"董丽赛"</f>
        <v>董丽赛</v>
      </c>
      <c r="E3582" s="7" t="str">
        <f t="shared" si="143"/>
        <v>女</v>
      </c>
    </row>
    <row r="3583" spans="1:5" ht="30" customHeight="1">
      <c r="A3583" s="6">
        <v>3581</v>
      </c>
      <c r="B3583" s="7" t="str">
        <f>"29802021050915305781219"</f>
        <v>29802021050915305781219</v>
      </c>
      <c r="C3583" s="7" t="s">
        <v>24</v>
      </c>
      <c r="D3583" s="7" t="str">
        <f>"陈暖"</f>
        <v>陈暖</v>
      </c>
      <c r="E3583" s="7" t="str">
        <f t="shared" si="143"/>
        <v>女</v>
      </c>
    </row>
    <row r="3584" spans="1:5" ht="30" customHeight="1">
      <c r="A3584" s="6">
        <v>3582</v>
      </c>
      <c r="B3584" s="7" t="str">
        <f>"29802021050916110681300"</f>
        <v>29802021050916110681300</v>
      </c>
      <c r="C3584" s="7" t="s">
        <v>24</v>
      </c>
      <c r="D3584" s="7" t="str">
        <f>"黄玲玲"</f>
        <v>黄玲玲</v>
      </c>
      <c r="E3584" s="7" t="str">
        <f t="shared" si="143"/>
        <v>女</v>
      </c>
    </row>
    <row r="3585" spans="1:5" ht="30" customHeight="1">
      <c r="A3585" s="6">
        <v>3583</v>
      </c>
      <c r="B3585" s="7" t="str">
        <f>"29802021050916131181305"</f>
        <v>29802021050916131181305</v>
      </c>
      <c r="C3585" s="7" t="s">
        <v>24</v>
      </c>
      <c r="D3585" s="7" t="str">
        <f>"王晶晶"</f>
        <v>王晶晶</v>
      </c>
      <c r="E3585" s="7" t="str">
        <f t="shared" si="143"/>
        <v>女</v>
      </c>
    </row>
    <row r="3586" spans="1:5" ht="30" customHeight="1">
      <c r="A3586" s="6">
        <v>3584</v>
      </c>
      <c r="B3586" s="7" t="str">
        <f>"29802021050917084081423"</f>
        <v>29802021050917084081423</v>
      </c>
      <c r="C3586" s="7" t="s">
        <v>24</v>
      </c>
      <c r="D3586" s="7" t="str">
        <f>"曹莎"</f>
        <v>曹莎</v>
      </c>
      <c r="E3586" s="7" t="str">
        <f t="shared" si="143"/>
        <v>女</v>
      </c>
    </row>
    <row r="3587" spans="1:5" ht="30" customHeight="1">
      <c r="A3587" s="6">
        <v>3585</v>
      </c>
      <c r="B3587" s="7" t="str">
        <f>"29802021050917222081456"</f>
        <v>29802021050917222081456</v>
      </c>
      <c r="C3587" s="7" t="s">
        <v>24</v>
      </c>
      <c r="D3587" s="7" t="str">
        <f>"吉丽菊"</f>
        <v>吉丽菊</v>
      </c>
      <c r="E3587" s="7" t="str">
        <f t="shared" si="143"/>
        <v>女</v>
      </c>
    </row>
    <row r="3588" spans="1:5" ht="30" customHeight="1">
      <c r="A3588" s="6">
        <v>3586</v>
      </c>
      <c r="B3588" s="7" t="str">
        <f>"29802021050917350581490"</f>
        <v>29802021050917350581490</v>
      </c>
      <c r="C3588" s="7" t="s">
        <v>24</v>
      </c>
      <c r="D3588" s="7" t="str">
        <f>"陈梦雅"</f>
        <v>陈梦雅</v>
      </c>
      <c r="E3588" s="7" t="str">
        <f t="shared" si="143"/>
        <v>女</v>
      </c>
    </row>
    <row r="3589" spans="1:5" ht="30" customHeight="1">
      <c r="A3589" s="6">
        <v>3587</v>
      </c>
      <c r="B3589" s="7" t="str">
        <f>"29802021050917430281510"</f>
        <v>29802021050917430281510</v>
      </c>
      <c r="C3589" s="7" t="s">
        <v>24</v>
      </c>
      <c r="D3589" s="7" t="str">
        <f>"邓颖菲"</f>
        <v>邓颖菲</v>
      </c>
      <c r="E3589" s="7" t="str">
        <f t="shared" si="143"/>
        <v>女</v>
      </c>
    </row>
    <row r="3590" spans="1:5" ht="30" customHeight="1">
      <c r="A3590" s="6">
        <v>3588</v>
      </c>
      <c r="B3590" s="7" t="str">
        <f>"29802021050917434081511"</f>
        <v>29802021050917434081511</v>
      </c>
      <c r="C3590" s="7" t="s">
        <v>24</v>
      </c>
      <c r="D3590" s="7" t="str">
        <f>"董振洁"</f>
        <v>董振洁</v>
      </c>
      <c r="E3590" s="7" t="str">
        <f t="shared" si="143"/>
        <v>女</v>
      </c>
    </row>
    <row r="3591" spans="1:5" ht="30" customHeight="1">
      <c r="A3591" s="6">
        <v>3589</v>
      </c>
      <c r="B3591" s="7" t="str">
        <f>"29802021050917591681539"</f>
        <v>29802021050917591681539</v>
      </c>
      <c r="C3591" s="7" t="s">
        <v>24</v>
      </c>
      <c r="D3591" s="7" t="str">
        <f>"周瑞平"</f>
        <v>周瑞平</v>
      </c>
      <c r="E3591" s="7" t="str">
        <f t="shared" si="143"/>
        <v>女</v>
      </c>
    </row>
    <row r="3592" spans="1:5" ht="30" customHeight="1">
      <c r="A3592" s="6">
        <v>3590</v>
      </c>
      <c r="B3592" s="7" t="str">
        <f>"29802021050918113181560"</f>
        <v>29802021050918113181560</v>
      </c>
      <c r="C3592" s="7" t="s">
        <v>24</v>
      </c>
      <c r="D3592" s="7" t="str">
        <f>"吴春妹"</f>
        <v>吴春妹</v>
      </c>
      <c r="E3592" s="7" t="str">
        <f t="shared" si="143"/>
        <v>女</v>
      </c>
    </row>
    <row r="3593" spans="1:5" ht="30" customHeight="1">
      <c r="A3593" s="6">
        <v>3591</v>
      </c>
      <c r="B3593" s="7" t="str">
        <f>"29802021050918593681658"</f>
        <v>29802021050918593681658</v>
      </c>
      <c r="C3593" s="7" t="s">
        <v>24</v>
      </c>
      <c r="D3593" s="7" t="str">
        <f>"郑孟程"</f>
        <v>郑孟程</v>
      </c>
      <c r="E3593" s="7" t="str">
        <f t="shared" si="143"/>
        <v>女</v>
      </c>
    </row>
    <row r="3594" spans="1:5" ht="30" customHeight="1">
      <c r="A3594" s="6">
        <v>3592</v>
      </c>
      <c r="B3594" s="7" t="str">
        <f>"29802021050919284981704"</f>
        <v>29802021050919284981704</v>
      </c>
      <c r="C3594" s="7" t="s">
        <v>24</v>
      </c>
      <c r="D3594" s="7" t="str">
        <f>"刘菁琳"</f>
        <v>刘菁琳</v>
      </c>
      <c r="E3594" s="7" t="str">
        <f t="shared" si="143"/>
        <v>女</v>
      </c>
    </row>
    <row r="3595" spans="1:5" ht="30" customHeight="1">
      <c r="A3595" s="6">
        <v>3593</v>
      </c>
      <c r="B3595" s="7" t="str">
        <f>"29802021050919330781710"</f>
        <v>29802021050919330781710</v>
      </c>
      <c r="C3595" s="7" t="s">
        <v>24</v>
      </c>
      <c r="D3595" s="7" t="str">
        <f>"周沫"</f>
        <v>周沫</v>
      </c>
      <c r="E3595" s="7" t="str">
        <f t="shared" si="143"/>
        <v>女</v>
      </c>
    </row>
    <row r="3596" spans="1:5" ht="30" customHeight="1">
      <c r="A3596" s="6">
        <v>3594</v>
      </c>
      <c r="B3596" s="7" t="str">
        <f>"29802021050919430781728"</f>
        <v>29802021050919430781728</v>
      </c>
      <c r="C3596" s="7" t="s">
        <v>24</v>
      </c>
      <c r="D3596" s="7" t="str">
        <f>"江美"</f>
        <v>江美</v>
      </c>
      <c r="E3596" s="7" t="str">
        <f t="shared" si="143"/>
        <v>女</v>
      </c>
    </row>
    <row r="3597" spans="1:5" ht="30" customHeight="1">
      <c r="A3597" s="6">
        <v>3595</v>
      </c>
      <c r="B3597" s="7" t="str">
        <f>"29802021050919584681757"</f>
        <v>29802021050919584681757</v>
      </c>
      <c r="C3597" s="7" t="s">
        <v>24</v>
      </c>
      <c r="D3597" s="7" t="str">
        <f>"陈雨"</f>
        <v>陈雨</v>
      </c>
      <c r="E3597" s="7" t="str">
        <f t="shared" si="143"/>
        <v>女</v>
      </c>
    </row>
    <row r="3598" spans="1:5" ht="30" customHeight="1">
      <c r="A3598" s="6">
        <v>3596</v>
      </c>
      <c r="B3598" s="7" t="str">
        <f>"29802021050920220481800"</f>
        <v>29802021050920220481800</v>
      </c>
      <c r="C3598" s="7" t="s">
        <v>24</v>
      </c>
      <c r="D3598" s="7" t="str">
        <f>"洪家凤"</f>
        <v>洪家凤</v>
      </c>
      <c r="E3598" s="7" t="str">
        <f t="shared" si="143"/>
        <v>女</v>
      </c>
    </row>
    <row r="3599" spans="1:5" ht="30" customHeight="1">
      <c r="A3599" s="6">
        <v>3597</v>
      </c>
      <c r="B3599" s="7" t="str">
        <f>"29802021050921102581915"</f>
        <v>29802021050921102581915</v>
      </c>
      <c r="C3599" s="7" t="s">
        <v>24</v>
      </c>
      <c r="D3599" s="7" t="str">
        <f>"王春艳"</f>
        <v>王春艳</v>
      </c>
      <c r="E3599" s="7" t="str">
        <f t="shared" si="143"/>
        <v>女</v>
      </c>
    </row>
    <row r="3600" spans="1:5" ht="30" customHeight="1">
      <c r="A3600" s="6">
        <v>3598</v>
      </c>
      <c r="B3600" s="7" t="str">
        <f>"29802021050921174581938"</f>
        <v>29802021050921174581938</v>
      </c>
      <c r="C3600" s="7" t="s">
        <v>24</v>
      </c>
      <c r="D3600" s="7" t="str">
        <f>"李暖暖"</f>
        <v>李暖暖</v>
      </c>
      <c r="E3600" s="7" t="str">
        <f t="shared" si="143"/>
        <v>女</v>
      </c>
    </row>
    <row r="3601" spans="1:5" ht="30" customHeight="1">
      <c r="A3601" s="6">
        <v>3599</v>
      </c>
      <c r="B3601" s="7" t="str">
        <f>"29802021050921202081942"</f>
        <v>29802021050921202081942</v>
      </c>
      <c r="C3601" s="7" t="s">
        <v>24</v>
      </c>
      <c r="D3601" s="7" t="str">
        <f>"罗晶"</f>
        <v>罗晶</v>
      </c>
      <c r="E3601" s="7" t="str">
        <f t="shared" si="143"/>
        <v>女</v>
      </c>
    </row>
    <row r="3602" spans="1:5" ht="30" customHeight="1">
      <c r="A3602" s="6">
        <v>3600</v>
      </c>
      <c r="B3602" s="7" t="str">
        <f>"29802021050921344381986"</f>
        <v>29802021050921344381986</v>
      </c>
      <c r="C3602" s="7" t="s">
        <v>24</v>
      </c>
      <c r="D3602" s="7" t="str">
        <f>"符秀梅"</f>
        <v>符秀梅</v>
      </c>
      <c r="E3602" s="7" t="str">
        <f t="shared" si="143"/>
        <v>女</v>
      </c>
    </row>
    <row r="3603" spans="1:5" ht="30" customHeight="1">
      <c r="A3603" s="6">
        <v>3601</v>
      </c>
      <c r="B3603" s="7" t="str">
        <f>"29802021050922551682190"</f>
        <v>29802021050922551682190</v>
      </c>
      <c r="C3603" s="7" t="s">
        <v>24</v>
      </c>
      <c r="D3603" s="7" t="str">
        <f>"兰少蕊"</f>
        <v>兰少蕊</v>
      </c>
      <c r="E3603" s="7" t="str">
        <f t="shared" si="143"/>
        <v>女</v>
      </c>
    </row>
    <row r="3604" spans="1:5" ht="30" customHeight="1">
      <c r="A3604" s="6">
        <v>3602</v>
      </c>
      <c r="B3604" s="7" t="str">
        <f>"29802021050922592982198"</f>
        <v>29802021050922592982198</v>
      </c>
      <c r="C3604" s="7" t="s">
        <v>24</v>
      </c>
      <c r="D3604" s="7" t="str">
        <f>"符少哪"</f>
        <v>符少哪</v>
      </c>
      <c r="E3604" s="7" t="str">
        <f t="shared" si="143"/>
        <v>女</v>
      </c>
    </row>
    <row r="3605" spans="1:5" ht="30" customHeight="1">
      <c r="A3605" s="6">
        <v>3603</v>
      </c>
      <c r="B3605" s="7" t="str">
        <f>"29802021050923254482240"</f>
        <v>29802021050923254482240</v>
      </c>
      <c r="C3605" s="7" t="s">
        <v>24</v>
      </c>
      <c r="D3605" s="7" t="str">
        <f>"陈亚妹"</f>
        <v>陈亚妹</v>
      </c>
      <c r="E3605" s="7" t="str">
        <f t="shared" si="143"/>
        <v>女</v>
      </c>
    </row>
    <row r="3606" spans="1:5" ht="30" customHeight="1">
      <c r="A3606" s="6">
        <v>3604</v>
      </c>
      <c r="B3606" s="7" t="str">
        <f>"29802021051000230182304"</f>
        <v>29802021051000230182304</v>
      </c>
      <c r="C3606" s="7" t="s">
        <v>24</v>
      </c>
      <c r="D3606" s="7" t="str">
        <f>"谢幼萍"</f>
        <v>谢幼萍</v>
      </c>
      <c r="E3606" s="7" t="str">
        <f t="shared" si="143"/>
        <v>女</v>
      </c>
    </row>
    <row r="3607" spans="1:5" ht="30" customHeight="1">
      <c r="A3607" s="6">
        <v>3605</v>
      </c>
      <c r="B3607" s="7" t="str">
        <f>"29802021051007134382355"</f>
        <v>29802021051007134382355</v>
      </c>
      <c r="C3607" s="7" t="s">
        <v>24</v>
      </c>
      <c r="D3607" s="7" t="str">
        <f>"李晨晨"</f>
        <v>李晨晨</v>
      </c>
      <c r="E3607" s="7" t="str">
        <f t="shared" si="143"/>
        <v>女</v>
      </c>
    </row>
    <row r="3608" spans="1:5" ht="30" customHeight="1">
      <c r="A3608" s="6">
        <v>3606</v>
      </c>
      <c r="B3608" s="7" t="str">
        <f>"29802021051007541582384"</f>
        <v>29802021051007541582384</v>
      </c>
      <c r="C3608" s="7" t="s">
        <v>24</v>
      </c>
      <c r="D3608" s="7" t="str">
        <f>"黄海霞"</f>
        <v>黄海霞</v>
      </c>
      <c r="E3608" s="7" t="str">
        <f t="shared" si="143"/>
        <v>女</v>
      </c>
    </row>
    <row r="3609" spans="1:5" ht="30" customHeight="1">
      <c r="A3609" s="6">
        <v>3607</v>
      </c>
      <c r="B3609" s="7" t="str">
        <f>"29802021051008470982612"</f>
        <v>29802021051008470982612</v>
      </c>
      <c r="C3609" s="7" t="s">
        <v>24</v>
      </c>
      <c r="D3609" s="7" t="str">
        <f>"谭小霞"</f>
        <v>谭小霞</v>
      </c>
      <c r="E3609" s="7" t="str">
        <f t="shared" si="143"/>
        <v>女</v>
      </c>
    </row>
    <row r="3610" spans="1:5" ht="30" customHeight="1">
      <c r="A3610" s="6">
        <v>3608</v>
      </c>
      <c r="B3610" s="7" t="str">
        <f>"29802021051009001782726"</f>
        <v>29802021051009001782726</v>
      </c>
      <c r="C3610" s="7" t="s">
        <v>24</v>
      </c>
      <c r="D3610" s="7" t="str">
        <f>"唐肖颖"</f>
        <v>唐肖颖</v>
      </c>
      <c r="E3610" s="7" t="str">
        <f t="shared" si="143"/>
        <v>女</v>
      </c>
    </row>
    <row r="3611" spans="1:5" ht="30" customHeight="1">
      <c r="A3611" s="6">
        <v>3609</v>
      </c>
      <c r="B3611" s="7" t="str">
        <f>"29802021051009114582874"</f>
        <v>29802021051009114582874</v>
      </c>
      <c r="C3611" s="7" t="s">
        <v>24</v>
      </c>
      <c r="D3611" s="7" t="str">
        <f>"林尤虹"</f>
        <v>林尤虹</v>
      </c>
      <c r="E3611" s="7" t="str">
        <f t="shared" si="143"/>
        <v>女</v>
      </c>
    </row>
    <row r="3612" spans="1:5" ht="30" customHeight="1">
      <c r="A3612" s="6">
        <v>3610</v>
      </c>
      <c r="B3612" s="7" t="str">
        <f>"29802021051009164682933"</f>
        <v>29802021051009164682933</v>
      </c>
      <c r="C3612" s="7" t="s">
        <v>24</v>
      </c>
      <c r="D3612" s="7" t="str">
        <f>"黄冰冰"</f>
        <v>黄冰冰</v>
      </c>
      <c r="E3612" s="7" t="str">
        <f t="shared" si="143"/>
        <v>女</v>
      </c>
    </row>
    <row r="3613" spans="1:5" ht="30" customHeight="1">
      <c r="A3613" s="6">
        <v>3611</v>
      </c>
      <c r="B3613" s="7" t="str">
        <f>"29802021051009200582987"</f>
        <v>29802021051009200582987</v>
      </c>
      <c r="C3613" s="7" t="s">
        <v>24</v>
      </c>
      <c r="D3613" s="7" t="str">
        <f>"谭小妃"</f>
        <v>谭小妃</v>
      </c>
      <c r="E3613" s="7" t="str">
        <f t="shared" si="143"/>
        <v>女</v>
      </c>
    </row>
    <row r="3614" spans="1:5" ht="30" customHeight="1">
      <c r="A3614" s="6">
        <v>3612</v>
      </c>
      <c r="B3614" s="7" t="str">
        <f>"29802021051010013883414"</f>
        <v>29802021051010013883414</v>
      </c>
      <c r="C3614" s="7" t="s">
        <v>24</v>
      </c>
      <c r="D3614" s="7" t="str">
        <f>"邱霜霜"</f>
        <v>邱霜霜</v>
      </c>
      <c r="E3614" s="7" t="str">
        <f t="shared" si="143"/>
        <v>女</v>
      </c>
    </row>
    <row r="3615" spans="1:5" ht="30" customHeight="1">
      <c r="A3615" s="6">
        <v>3613</v>
      </c>
      <c r="B3615" s="7" t="str">
        <f>"29802021051010460183982"</f>
        <v>29802021051010460183982</v>
      </c>
      <c r="C3615" s="7" t="s">
        <v>24</v>
      </c>
      <c r="D3615" s="7" t="str">
        <f>"郭焕兰"</f>
        <v>郭焕兰</v>
      </c>
      <c r="E3615" s="7" t="str">
        <f t="shared" si="143"/>
        <v>女</v>
      </c>
    </row>
    <row r="3616" spans="1:5" ht="30" customHeight="1">
      <c r="A3616" s="6">
        <v>3614</v>
      </c>
      <c r="B3616" s="7" t="str">
        <f>"29802021051011152384270"</f>
        <v>29802021051011152384270</v>
      </c>
      <c r="C3616" s="7" t="s">
        <v>24</v>
      </c>
      <c r="D3616" s="7" t="str">
        <f>"刘莉"</f>
        <v>刘莉</v>
      </c>
      <c r="E3616" s="7" t="str">
        <f t="shared" si="143"/>
        <v>女</v>
      </c>
    </row>
    <row r="3617" spans="1:5" ht="30" customHeight="1">
      <c r="A3617" s="6">
        <v>3615</v>
      </c>
      <c r="B3617" s="7" t="str">
        <f>"29802021051011275384367"</f>
        <v>29802021051011275384367</v>
      </c>
      <c r="C3617" s="7" t="s">
        <v>24</v>
      </c>
      <c r="D3617" s="7" t="str">
        <f>"刘琪"</f>
        <v>刘琪</v>
      </c>
      <c r="E3617" s="7" t="str">
        <f t="shared" si="143"/>
        <v>女</v>
      </c>
    </row>
    <row r="3618" spans="1:5" ht="30" customHeight="1">
      <c r="A3618" s="6">
        <v>3616</v>
      </c>
      <c r="B3618" s="7" t="str">
        <f>"29802021051012044584593"</f>
        <v>29802021051012044584593</v>
      </c>
      <c r="C3618" s="7" t="s">
        <v>24</v>
      </c>
      <c r="D3618" s="7" t="str">
        <f>"朱曼"</f>
        <v>朱曼</v>
      </c>
      <c r="E3618" s="7" t="str">
        <f t="shared" si="143"/>
        <v>女</v>
      </c>
    </row>
    <row r="3619" spans="1:5" ht="30" customHeight="1">
      <c r="A3619" s="6">
        <v>3617</v>
      </c>
      <c r="B3619" s="7" t="str">
        <f>"29802021051012102984624"</f>
        <v>29802021051012102984624</v>
      </c>
      <c r="C3619" s="7" t="s">
        <v>24</v>
      </c>
      <c r="D3619" s="7" t="str">
        <f>"李菲"</f>
        <v>李菲</v>
      </c>
      <c r="E3619" s="7" t="str">
        <f t="shared" si="143"/>
        <v>女</v>
      </c>
    </row>
    <row r="3620" spans="1:5" ht="30" customHeight="1">
      <c r="A3620" s="6">
        <v>3618</v>
      </c>
      <c r="B3620" s="7" t="str">
        <f>"29802021051012162684656"</f>
        <v>29802021051012162684656</v>
      </c>
      <c r="C3620" s="7" t="s">
        <v>24</v>
      </c>
      <c r="D3620" s="7" t="str">
        <f>"梅艳慧"</f>
        <v>梅艳慧</v>
      </c>
      <c r="E3620" s="7" t="str">
        <f t="shared" si="143"/>
        <v>女</v>
      </c>
    </row>
    <row r="3621" spans="1:5" ht="30" customHeight="1">
      <c r="A3621" s="6">
        <v>3619</v>
      </c>
      <c r="B3621" s="7" t="str">
        <f>"29802021051012214284680"</f>
        <v>29802021051012214284680</v>
      </c>
      <c r="C3621" s="7" t="s">
        <v>24</v>
      </c>
      <c r="D3621" s="7" t="str">
        <f>"吉小娜"</f>
        <v>吉小娜</v>
      </c>
      <c r="E3621" s="7" t="str">
        <f t="shared" si="143"/>
        <v>女</v>
      </c>
    </row>
    <row r="3622" spans="1:5" ht="30" customHeight="1">
      <c r="A3622" s="6">
        <v>3620</v>
      </c>
      <c r="B3622" s="7" t="str">
        <f>"29802021051013015584929"</f>
        <v>29802021051013015584929</v>
      </c>
      <c r="C3622" s="7" t="s">
        <v>24</v>
      </c>
      <c r="D3622" s="7" t="str">
        <f>"何书诗"</f>
        <v>何书诗</v>
      </c>
      <c r="E3622" s="7" t="str">
        <f t="shared" si="143"/>
        <v>女</v>
      </c>
    </row>
    <row r="3623" spans="1:5" ht="30" customHeight="1">
      <c r="A3623" s="6">
        <v>3621</v>
      </c>
      <c r="B3623" s="7" t="str">
        <f>"29802021051013051284947"</f>
        <v>29802021051013051284947</v>
      </c>
      <c r="C3623" s="7" t="s">
        <v>24</v>
      </c>
      <c r="D3623" s="7" t="str">
        <f>"张紫荆"</f>
        <v>张紫荆</v>
      </c>
      <c r="E3623" s="7" t="str">
        <f t="shared" si="143"/>
        <v>女</v>
      </c>
    </row>
    <row r="3624" spans="1:5" ht="30" customHeight="1">
      <c r="A3624" s="6">
        <v>3622</v>
      </c>
      <c r="B3624" s="7" t="str">
        <f>"29802021051013113884983"</f>
        <v>29802021051013113884983</v>
      </c>
      <c r="C3624" s="7" t="s">
        <v>24</v>
      </c>
      <c r="D3624" s="7" t="str">
        <f>"高颖"</f>
        <v>高颖</v>
      </c>
      <c r="E3624" s="7" t="str">
        <f t="shared" si="143"/>
        <v>女</v>
      </c>
    </row>
    <row r="3625" spans="1:5" ht="30" customHeight="1">
      <c r="A3625" s="6">
        <v>3623</v>
      </c>
      <c r="B3625" s="7" t="str">
        <f>"29802021051015053485543"</f>
        <v>29802021051015053485543</v>
      </c>
      <c r="C3625" s="7" t="s">
        <v>24</v>
      </c>
      <c r="D3625" s="7" t="str">
        <f>"王康雅"</f>
        <v>王康雅</v>
      </c>
      <c r="E3625" s="7" t="str">
        <f t="shared" si="143"/>
        <v>女</v>
      </c>
    </row>
    <row r="3626" spans="1:5" ht="30" customHeight="1">
      <c r="A3626" s="6">
        <v>3624</v>
      </c>
      <c r="B3626" s="7" t="str">
        <f>"29802021051015140685586"</f>
        <v>29802021051015140685586</v>
      </c>
      <c r="C3626" s="7" t="s">
        <v>24</v>
      </c>
      <c r="D3626" s="7" t="str">
        <f>"董佳佳"</f>
        <v>董佳佳</v>
      </c>
      <c r="E3626" s="7" t="str">
        <f t="shared" si="143"/>
        <v>女</v>
      </c>
    </row>
    <row r="3627" spans="1:5" ht="30" customHeight="1">
      <c r="A3627" s="6">
        <v>3625</v>
      </c>
      <c r="B3627" s="7" t="str">
        <f>"29802021051015195285634"</f>
        <v>29802021051015195285634</v>
      </c>
      <c r="C3627" s="7" t="s">
        <v>24</v>
      </c>
      <c r="D3627" s="7" t="str">
        <f>"庞娜娜"</f>
        <v>庞娜娜</v>
      </c>
      <c r="E3627" s="7" t="str">
        <f t="shared" si="143"/>
        <v>女</v>
      </c>
    </row>
    <row r="3628" spans="1:5" ht="30" customHeight="1">
      <c r="A3628" s="6">
        <v>3626</v>
      </c>
      <c r="B3628" s="7" t="str">
        <f>"29802021051015250785676"</f>
        <v>29802021051015250785676</v>
      </c>
      <c r="C3628" s="7" t="s">
        <v>24</v>
      </c>
      <c r="D3628" s="7" t="str">
        <f>"黄丽婷"</f>
        <v>黄丽婷</v>
      </c>
      <c r="E3628" s="7" t="str">
        <f t="shared" si="143"/>
        <v>女</v>
      </c>
    </row>
    <row r="3629" spans="1:5" ht="30" customHeight="1">
      <c r="A3629" s="6">
        <v>3627</v>
      </c>
      <c r="B3629" s="7" t="str">
        <f>"29802021051015283885695"</f>
        <v>29802021051015283885695</v>
      </c>
      <c r="C3629" s="7" t="s">
        <v>24</v>
      </c>
      <c r="D3629" s="7" t="str">
        <f>"王瑜"</f>
        <v>王瑜</v>
      </c>
      <c r="E3629" s="7" t="str">
        <f t="shared" si="143"/>
        <v>女</v>
      </c>
    </row>
    <row r="3630" spans="1:5" ht="30" customHeight="1">
      <c r="A3630" s="6">
        <v>3628</v>
      </c>
      <c r="B3630" s="7" t="str">
        <f>"29802021051015342285745"</f>
        <v>29802021051015342285745</v>
      </c>
      <c r="C3630" s="7" t="s">
        <v>24</v>
      </c>
      <c r="D3630" s="7" t="str">
        <f>"林雅洁"</f>
        <v>林雅洁</v>
      </c>
      <c r="E3630" s="7" t="str">
        <f t="shared" si="143"/>
        <v>女</v>
      </c>
    </row>
    <row r="3631" spans="1:5" ht="30" customHeight="1">
      <c r="A3631" s="6">
        <v>3629</v>
      </c>
      <c r="B3631" s="7" t="str">
        <f>"29802021051016472786274"</f>
        <v>29802021051016472786274</v>
      </c>
      <c r="C3631" s="7" t="s">
        <v>24</v>
      </c>
      <c r="D3631" s="7" t="str">
        <f>"吉顺意"</f>
        <v>吉顺意</v>
      </c>
      <c r="E3631" s="7" t="str">
        <f t="shared" si="143"/>
        <v>女</v>
      </c>
    </row>
    <row r="3632" spans="1:5" ht="30" customHeight="1">
      <c r="A3632" s="6">
        <v>3630</v>
      </c>
      <c r="B3632" s="7" t="str">
        <f>"29802021051017111686413"</f>
        <v>29802021051017111686413</v>
      </c>
      <c r="C3632" s="7" t="s">
        <v>24</v>
      </c>
      <c r="D3632" s="7" t="str">
        <f>"黄雅梦"</f>
        <v>黄雅梦</v>
      </c>
      <c r="E3632" s="7" t="str">
        <f t="shared" si="143"/>
        <v>女</v>
      </c>
    </row>
    <row r="3633" spans="1:5" ht="30" customHeight="1">
      <c r="A3633" s="6">
        <v>3631</v>
      </c>
      <c r="B3633" s="7" t="str">
        <f>"29802021051017220886479"</f>
        <v>29802021051017220886479</v>
      </c>
      <c r="C3633" s="7" t="s">
        <v>24</v>
      </c>
      <c r="D3633" s="7" t="str">
        <f>"黎展灵"</f>
        <v>黎展灵</v>
      </c>
      <c r="E3633" s="7" t="str">
        <f t="shared" si="143"/>
        <v>女</v>
      </c>
    </row>
    <row r="3634" spans="1:5" ht="30" customHeight="1">
      <c r="A3634" s="6">
        <v>3632</v>
      </c>
      <c r="B3634" s="7" t="str">
        <f>"29802021051017590186654"</f>
        <v>29802021051017590186654</v>
      </c>
      <c r="C3634" s="7" t="s">
        <v>24</v>
      </c>
      <c r="D3634" s="7" t="str">
        <f>"刘江儒"</f>
        <v>刘江儒</v>
      </c>
      <c r="E3634" s="7" t="str">
        <f t="shared" si="143"/>
        <v>女</v>
      </c>
    </row>
    <row r="3635" spans="1:5" ht="30" customHeight="1">
      <c r="A3635" s="6">
        <v>3633</v>
      </c>
      <c r="B3635" s="7" t="str">
        <f>"29802021051018504086895"</f>
        <v>29802021051018504086895</v>
      </c>
      <c r="C3635" s="7" t="s">
        <v>24</v>
      </c>
      <c r="D3635" s="7" t="str">
        <f>"洪芳"</f>
        <v>洪芳</v>
      </c>
      <c r="E3635" s="7" t="str">
        <f t="shared" si="143"/>
        <v>女</v>
      </c>
    </row>
    <row r="3636" spans="1:5" ht="30" customHeight="1">
      <c r="A3636" s="6">
        <v>3634</v>
      </c>
      <c r="B3636" s="7" t="str">
        <f>"29802021051019064686953"</f>
        <v>29802021051019064686953</v>
      </c>
      <c r="C3636" s="7" t="s">
        <v>24</v>
      </c>
      <c r="D3636" s="7" t="str">
        <f>"胡李倩"</f>
        <v>胡李倩</v>
      </c>
      <c r="E3636" s="7" t="str">
        <f t="shared" si="143"/>
        <v>女</v>
      </c>
    </row>
    <row r="3637" spans="1:5" ht="30" customHeight="1">
      <c r="A3637" s="6">
        <v>3635</v>
      </c>
      <c r="B3637" s="7" t="str">
        <f>"29802021051019264787031"</f>
        <v>29802021051019264787031</v>
      </c>
      <c r="C3637" s="7" t="s">
        <v>24</v>
      </c>
      <c r="D3637" s="7" t="str">
        <f>"沈孟霞"</f>
        <v>沈孟霞</v>
      </c>
      <c r="E3637" s="7" t="str">
        <f t="shared" si="143"/>
        <v>女</v>
      </c>
    </row>
    <row r="3638" spans="1:5" ht="30" customHeight="1">
      <c r="A3638" s="6">
        <v>3636</v>
      </c>
      <c r="B3638" s="7" t="str">
        <f>"29802021051019305587045"</f>
        <v>29802021051019305587045</v>
      </c>
      <c r="C3638" s="7" t="s">
        <v>24</v>
      </c>
      <c r="D3638" s="7" t="str">
        <f>"王梦倩"</f>
        <v>王梦倩</v>
      </c>
      <c r="E3638" s="7" t="str">
        <f t="shared" si="143"/>
        <v>女</v>
      </c>
    </row>
    <row r="3639" spans="1:5" ht="30" customHeight="1">
      <c r="A3639" s="6">
        <v>3637</v>
      </c>
      <c r="B3639" s="7" t="str">
        <f>"29802021051019335887058"</f>
        <v>29802021051019335887058</v>
      </c>
      <c r="C3639" s="7" t="s">
        <v>24</v>
      </c>
      <c r="D3639" s="7" t="str">
        <f>"王琪华"</f>
        <v>王琪华</v>
      </c>
      <c r="E3639" s="7" t="str">
        <f>"男"</f>
        <v>男</v>
      </c>
    </row>
    <row r="3640" spans="1:5" ht="30" customHeight="1">
      <c r="A3640" s="6">
        <v>3638</v>
      </c>
      <c r="B3640" s="7" t="str">
        <f>"29802021051019471287114"</f>
        <v>29802021051019471287114</v>
      </c>
      <c r="C3640" s="7" t="s">
        <v>24</v>
      </c>
      <c r="D3640" s="7" t="str">
        <f>"董三妹"</f>
        <v>董三妹</v>
      </c>
      <c r="E3640" s="7" t="str">
        <f aca="true" t="shared" si="144" ref="E3640:E3693">"女"</f>
        <v>女</v>
      </c>
    </row>
    <row r="3641" spans="1:5" ht="30" customHeight="1">
      <c r="A3641" s="6">
        <v>3639</v>
      </c>
      <c r="B3641" s="7" t="str">
        <f>"29802021051019512987135"</f>
        <v>29802021051019512987135</v>
      </c>
      <c r="C3641" s="7" t="s">
        <v>24</v>
      </c>
      <c r="D3641" s="7" t="str">
        <f>"高家莉"</f>
        <v>高家莉</v>
      </c>
      <c r="E3641" s="7" t="str">
        <f t="shared" si="144"/>
        <v>女</v>
      </c>
    </row>
    <row r="3642" spans="1:5" ht="30" customHeight="1">
      <c r="A3642" s="6">
        <v>3640</v>
      </c>
      <c r="B3642" s="7" t="str">
        <f>"29802021051020083487225"</f>
        <v>29802021051020083487225</v>
      </c>
      <c r="C3642" s="7" t="s">
        <v>24</v>
      </c>
      <c r="D3642" s="7" t="str">
        <f>"许晓蕊"</f>
        <v>许晓蕊</v>
      </c>
      <c r="E3642" s="7" t="str">
        <f t="shared" si="144"/>
        <v>女</v>
      </c>
    </row>
    <row r="3643" spans="1:5" ht="30" customHeight="1">
      <c r="A3643" s="6">
        <v>3641</v>
      </c>
      <c r="B3643" s="7" t="str">
        <f>"29802021051020482187389"</f>
        <v>29802021051020482187389</v>
      </c>
      <c r="C3643" s="7" t="s">
        <v>24</v>
      </c>
      <c r="D3643" s="7" t="str">
        <f>"陈莹"</f>
        <v>陈莹</v>
      </c>
      <c r="E3643" s="7" t="str">
        <f t="shared" si="144"/>
        <v>女</v>
      </c>
    </row>
    <row r="3644" spans="1:5" ht="30" customHeight="1">
      <c r="A3644" s="6">
        <v>3642</v>
      </c>
      <c r="B3644" s="7" t="str">
        <f>"29802021051021042387451"</f>
        <v>29802021051021042387451</v>
      </c>
      <c r="C3644" s="7" t="s">
        <v>24</v>
      </c>
      <c r="D3644" s="7" t="str">
        <f>"刘德朋"</f>
        <v>刘德朋</v>
      </c>
      <c r="E3644" s="7" t="str">
        <f t="shared" si="144"/>
        <v>女</v>
      </c>
    </row>
    <row r="3645" spans="1:5" ht="30" customHeight="1">
      <c r="A3645" s="6">
        <v>3643</v>
      </c>
      <c r="B3645" s="7" t="str">
        <f>"29802021051021133287480"</f>
        <v>29802021051021133287480</v>
      </c>
      <c r="C3645" s="7" t="s">
        <v>24</v>
      </c>
      <c r="D3645" s="7" t="str">
        <f>"邓欢婷"</f>
        <v>邓欢婷</v>
      </c>
      <c r="E3645" s="7" t="str">
        <f t="shared" si="144"/>
        <v>女</v>
      </c>
    </row>
    <row r="3646" spans="1:5" ht="30" customHeight="1">
      <c r="A3646" s="6">
        <v>3644</v>
      </c>
      <c r="B3646" s="7" t="str">
        <f>"29802021051021172187499"</f>
        <v>29802021051021172187499</v>
      </c>
      <c r="C3646" s="7" t="s">
        <v>24</v>
      </c>
      <c r="D3646" s="7" t="str">
        <f>"邓刘琼"</f>
        <v>邓刘琼</v>
      </c>
      <c r="E3646" s="7" t="str">
        <f t="shared" si="144"/>
        <v>女</v>
      </c>
    </row>
    <row r="3647" spans="1:5" ht="30" customHeight="1">
      <c r="A3647" s="6">
        <v>3645</v>
      </c>
      <c r="B3647" s="7" t="str">
        <f>"29802021051021371287605"</f>
        <v>29802021051021371287605</v>
      </c>
      <c r="C3647" s="7" t="s">
        <v>24</v>
      </c>
      <c r="D3647" s="7" t="str">
        <f>"王欣馨"</f>
        <v>王欣馨</v>
      </c>
      <c r="E3647" s="7" t="str">
        <f t="shared" si="144"/>
        <v>女</v>
      </c>
    </row>
    <row r="3648" spans="1:5" ht="30" customHeight="1">
      <c r="A3648" s="6">
        <v>3646</v>
      </c>
      <c r="B3648" s="7" t="str">
        <f>"29802021051021392787619"</f>
        <v>29802021051021392787619</v>
      </c>
      <c r="C3648" s="7" t="s">
        <v>24</v>
      </c>
      <c r="D3648" s="7" t="str">
        <f>"李娇莉"</f>
        <v>李娇莉</v>
      </c>
      <c r="E3648" s="7" t="str">
        <f t="shared" si="144"/>
        <v>女</v>
      </c>
    </row>
    <row r="3649" spans="1:5" ht="30" customHeight="1">
      <c r="A3649" s="6">
        <v>3647</v>
      </c>
      <c r="B3649" s="7" t="str">
        <f>"29802021051022092887762"</f>
        <v>29802021051022092887762</v>
      </c>
      <c r="C3649" s="7" t="s">
        <v>24</v>
      </c>
      <c r="D3649" s="7" t="str">
        <f>"唐美荣"</f>
        <v>唐美荣</v>
      </c>
      <c r="E3649" s="7" t="str">
        <f t="shared" si="144"/>
        <v>女</v>
      </c>
    </row>
    <row r="3650" spans="1:5" ht="30" customHeight="1">
      <c r="A3650" s="6">
        <v>3648</v>
      </c>
      <c r="B3650" s="7" t="str">
        <f>"29802021051022093987763"</f>
        <v>29802021051022093987763</v>
      </c>
      <c r="C3650" s="7" t="s">
        <v>24</v>
      </c>
      <c r="D3650" s="7" t="str">
        <f>"侯圆圆"</f>
        <v>侯圆圆</v>
      </c>
      <c r="E3650" s="7" t="str">
        <f t="shared" si="144"/>
        <v>女</v>
      </c>
    </row>
    <row r="3651" spans="1:5" ht="30" customHeight="1">
      <c r="A3651" s="6">
        <v>3649</v>
      </c>
      <c r="B3651" s="7" t="str">
        <f>"29802021051022300487860"</f>
        <v>29802021051022300487860</v>
      </c>
      <c r="C3651" s="7" t="s">
        <v>24</v>
      </c>
      <c r="D3651" s="7" t="str">
        <f>"胡利伟"</f>
        <v>胡利伟</v>
      </c>
      <c r="E3651" s="7" t="str">
        <f t="shared" si="144"/>
        <v>女</v>
      </c>
    </row>
    <row r="3652" spans="1:5" ht="30" customHeight="1">
      <c r="A3652" s="6">
        <v>3650</v>
      </c>
      <c r="B3652" s="7" t="str">
        <f>"29802021051022405687900"</f>
        <v>29802021051022405687900</v>
      </c>
      <c r="C3652" s="7" t="s">
        <v>24</v>
      </c>
      <c r="D3652" s="7" t="str">
        <f>"王祎"</f>
        <v>王祎</v>
      </c>
      <c r="E3652" s="7" t="str">
        <f t="shared" si="144"/>
        <v>女</v>
      </c>
    </row>
    <row r="3653" spans="1:5" ht="30" customHeight="1">
      <c r="A3653" s="6">
        <v>3651</v>
      </c>
      <c r="B3653" s="7" t="str">
        <f>"29802021051023184588026"</f>
        <v>29802021051023184588026</v>
      </c>
      <c r="C3653" s="7" t="s">
        <v>24</v>
      </c>
      <c r="D3653" s="7" t="str">
        <f>"胡海乙"</f>
        <v>胡海乙</v>
      </c>
      <c r="E3653" s="7" t="str">
        <f t="shared" si="144"/>
        <v>女</v>
      </c>
    </row>
    <row r="3654" spans="1:5" ht="30" customHeight="1">
      <c r="A3654" s="6">
        <v>3652</v>
      </c>
      <c r="B3654" s="7" t="str">
        <f>"29802021051100174188129"</f>
        <v>29802021051100174188129</v>
      </c>
      <c r="C3654" s="7" t="s">
        <v>24</v>
      </c>
      <c r="D3654" s="7" t="str">
        <f>"符慧珍"</f>
        <v>符慧珍</v>
      </c>
      <c r="E3654" s="7" t="str">
        <f t="shared" si="144"/>
        <v>女</v>
      </c>
    </row>
    <row r="3655" spans="1:5" ht="30" customHeight="1">
      <c r="A3655" s="6">
        <v>3653</v>
      </c>
      <c r="B3655" s="7" t="str">
        <f>"29802021051108281788278"</f>
        <v>29802021051108281788278</v>
      </c>
      <c r="C3655" s="7" t="s">
        <v>24</v>
      </c>
      <c r="D3655" s="7" t="str">
        <f>"黄晓换"</f>
        <v>黄晓换</v>
      </c>
      <c r="E3655" s="7" t="str">
        <f t="shared" si="144"/>
        <v>女</v>
      </c>
    </row>
    <row r="3656" spans="1:5" ht="30" customHeight="1">
      <c r="A3656" s="6">
        <v>3654</v>
      </c>
      <c r="B3656" s="7" t="str">
        <f>"29802021051109252088530"</f>
        <v>29802021051109252088530</v>
      </c>
      <c r="C3656" s="7" t="s">
        <v>24</v>
      </c>
      <c r="D3656" s="7" t="str">
        <f>"戚影"</f>
        <v>戚影</v>
      </c>
      <c r="E3656" s="7" t="str">
        <f t="shared" si="144"/>
        <v>女</v>
      </c>
    </row>
    <row r="3657" spans="1:5" ht="30" customHeight="1">
      <c r="A3657" s="6">
        <v>3655</v>
      </c>
      <c r="B3657" s="7" t="str">
        <f>"29802021051110031588705"</f>
        <v>29802021051110031588705</v>
      </c>
      <c r="C3657" s="7" t="s">
        <v>24</v>
      </c>
      <c r="D3657" s="7" t="str">
        <f>"王彩莹"</f>
        <v>王彩莹</v>
      </c>
      <c r="E3657" s="7" t="str">
        <f t="shared" si="144"/>
        <v>女</v>
      </c>
    </row>
    <row r="3658" spans="1:5" ht="30" customHeight="1">
      <c r="A3658" s="6">
        <v>3656</v>
      </c>
      <c r="B3658" s="7" t="str">
        <f>"29802021051110540488980"</f>
        <v>29802021051110540488980</v>
      </c>
      <c r="C3658" s="7" t="s">
        <v>24</v>
      </c>
      <c r="D3658" s="7" t="str">
        <f>"苏亚桃"</f>
        <v>苏亚桃</v>
      </c>
      <c r="E3658" s="7" t="str">
        <f t="shared" si="144"/>
        <v>女</v>
      </c>
    </row>
    <row r="3659" spans="1:5" ht="30" customHeight="1">
      <c r="A3659" s="6">
        <v>3657</v>
      </c>
      <c r="B3659" s="7" t="str">
        <f>"29802021051111084789059"</f>
        <v>29802021051111084789059</v>
      </c>
      <c r="C3659" s="7" t="s">
        <v>24</v>
      </c>
      <c r="D3659" s="7" t="str">
        <f>"刘婷婷"</f>
        <v>刘婷婷</v>
      </c>
      <c r="E3659" s="7" t="str">
        <f t="shared" si="144"/>
        <v>女</v>
      </c>
    </row>
    <row r="3660" spans="1:5" ht="30" customHeight="1">
      <c r="A3660" s="6">
        <v>3658</v>
      </c>
      <c r="B3660" s="7" t="str">
        <f>"29802021051111581089229"</f>
        <v>29802021051111581089229</v>
      </c>
      <c r="C3660" s="7" t="s">
        <v>24</v>
      </c>
      <c r="D3660" s="7" t="str">
        <f>"何秋燕"</f>
        <v>何秋燕</v>
      </c>
      <c r="E3660" s="7" t="str">
        <f t="shared" si="144"/>
        <v>女</v>
      </c>
    </row>
    <row r="3661" spans="1:5" ht="30" customHeight="1">
      <c r="A3661" s="6">
        <v>3659</v>
      </c>
      <c r="B3661" s="7" t="str">
        <f>"29802021051112021489238"</f>
        <v>29802021051112021489238</v>
      </c>
      <c r="C3661" s="7" t="s">
        <v>24</v>
      </c>
      <c r="D3661" s="7" t="str">
        <f>"洪秀玉"</f>
        <v>洪秀玉</v>
      </c>
      <c r="E3661" s="7" t="str">
        <f t="shared" si="144"/>
        <v>女</v>
      </c>
    </row>
    <row r="3662" spans="1:5" ht="30" customHeight="1">
      <c r="A3662" s="6">
        <v>3660</v>
      </c>
      <c r="B3662" s="7" t="str">
        <f>"29802021051112274189315"</f>
        <v>29802021051112274189315</v>
      </c>
      <c r="C3662" s="7" t="s">
        <v>24</v>
      </c>
      <c r="D3662" s="7" t="str">
        <f>"卢惠波"</f>
        <v>卢惠波</v>
      </c>
      <c r="E3662" s="7" t="str">
        <f t="shared" si="144"/>
        <v>女</v>
      </c>
    </row>
    <row r="3663" spans="1:5" ht="30" customHeight="1">
      <c r="A3663" s="6">
        <v>3661</v>
      </c>
      <c r="B3663" s="7" t="str">
        <f>"29802021051112322589330"</f>
        <v>29802021051112322589330</v>
      </c>
      <c r="C3663" s="7" t="s">
        <v>24</v>
      </c>
      <c r="D3663" s="7" t="str">
        <f>"颜亚梨"</f>
        <v>颜亚梨</v>
      </c>
      <c r="E3663" s="7" t="str">
        <f t="shared" si="144"/>
        <v>女</v>
      </c>
    </row>
    <row r="3664" spans="1:5" ht="30" customHeight="1">
      <c r="A3664" s="6">
        <v>3662</v>
      </c>
      <c r="B3664" s="7" t="str">
        <f>"29802021051112375989352"</f>
        <v>29802021051112375989352</v>
      </c>
      <c r="C3664" s="7" t="s">
        <v>24</v>
      </c>
      <c r="D3664" s="7" t="str">
        <f>"麦月妹"</f>
        <v>麦月妹</v>
      </c>
      <c r="E3664" s="7" t="str">
        <f t="shared" si="144"/>
        <v>女</v>
      </c>
    </row>
    <row r="3665" spans="1:5" ht="30" customHeight="1">
      <c r="A3665" s="6">
        <v>3663</v>
      </c>
      <c r="B3665" s="7" t="str">
        <f>"29802021051112553189401"</f>
        <v>29802021051112553189401</v>
      </c>
      <c r="C3665" s="7" t="s">
        <v>24</v>
      </c>
      <c r="D3665" s="7" t="str">
        <f>"吴棉"</f>
        <v>吴棉</v>
      </c>
      <c r="E3665" s="7" t="str">
        <f t="shared" si="144"/>
        <v>女</v>
      </c>
    </row>
    <row r="3666" spans="1:5" ht="30" customHeight="1">
      <c r="A3666" s="6">
        <v>3664</v>
      </c>
      <c r="B3666" s="7" t="str">
        <f>"29802021051113033889418"</f>
        <v>29802021051113033889418</v>
      </c>
      <c r="C3666" s="7" t="s">
        <v>24</v>
      </c>
      <c r="D3666" s="7" t="str">
        <f>"周丽美"</f>
        <v>周丽美</v>
      </c>
      <c r="E3666" s="7" t="str">
        <f t="shared" si="144"/>
        <v>女</v>
      </c>
    </row>
    <row r="3667" spans="1:5" ht="30" customHeight="1">
      <c r="A3667" s="6">
        <v>3665</v>
      </c>
      <c r="B3667" s="7" t="str">
        <f>"29802021051114251889572"</f>
        <v>29802021051114251889572</v>
      </c>
      <c r="C3667" s="7" t="s">
        <v>24</v>
      </c>
      <c r="D3667" s="7" t="str">
        <f>"陈雨馨"</f>
        <v>陈雨馨</v>
      </c>
      <c r="E3667" s="7" t="str">
        <f t="shared" si="144"/>
        <v>女</v>
      </c>
    </row>
    <row r="3668" spans="1:5" ht="30" customHeight="1">
      <c r="A3668" s="6">
        <v>3666</v>
      </c>
      <c r="B3668" s="7" t="str">
        <f>"29802021051114251989573"</f>
        <v>29802021051114251989573</v>
      </c>
      <c r="C3668" s="7" t="s">
        <v>24</v>
      </c>
      <c r="D3668" s="7" t="str">
        <f>"符舒瑾"</f>
        <v>符舒瑾</v>
      </c>
      <c r="E3668" s="7" t="str">
        <f t="shared" si="144"/>
        <v>女</v>
      </c>
    </row>
    <row r="3669" spans="1:5" ht="30" customHeight="1">
      <c r="A3669" s="6">
        <v>3667</v>
      </c>
      <c r="B3669" s="7" t="str">
        <f>"29802021051114504789664"</f>
        <v>29802021051114504789664</v>
      </c>
      <c r="C3669" s="7" t="s">
        <v>24</v>
      </c>
      <c r="D3669" s="7" t="str">
        <f>"罗如婷"</f>
        <v>罗如婷</v>
      </c>
      <c r="E3669" s="7" t="str">
        <f t="shared" si="144"/>
        <v>女</v>
      </c>
    </row>
    <row r="3670" spans="1:5" ht="30" customHeight="1">
      <c r="A3670" s="6">
        <v>3668</v>
      </c>
      <c r="B3670" s="7" t="str">
        <f>"29802021051114581989686"</f>
        <v>29802021051114581989686</v>
      </c>
      <c r="C3670" s="7" t="s">
        <v>24</v>
      </c>
      <c r="D3670" s="7" t="str">
        <f>"刘春蕊"</f>
        <v>刘春蕊</v>
      </c>
      <c r="E3670" s="7" t="str">
        <f t="shared" si="144"/>
        <v>女</v>
      </c>
    </row>
    <row r="3671" spans="1:5" ht="30" customHeight="1">
      <c r="A3671" s="6">
        <v>3669</v>
      </c>
      <c r="B3671" s="7" t="str">
        <f>"29802021051115045889710"</f>
        <v>29802021051115045889710</v>
      </c>
      <c r="C3671" s="7" t="s">
        <v>24</v>
      </c>
      <c r="D3671" s="7" t="str">
        <f>"韦丽玛"</f>
        <v>韦丽玛</v>
      </c>
      <c r="E3671" s="7" t="str">
        <f t="shared" si="144"/>
        <v>女</v>
      </c>
    </row>
    <row r="3672" spans="1:5" ht="30" customHeight="1">
      <c r="A3672" s="6">
        <v>3670</v>
      </c>
      <c r="B3672" s="7" t="str">
        <f>"29802021051115172489773"</f>
        <v>29802021051115172489773</v>
      </c>
      <c r="C3672" s="7" t="s">
        <v>24</v>
      </c>
      <c r="D3672" s="7" t="str">
        <f>"李娟"</f>
        <v>李娟</v>
      </c>
      <c r="E3672" s="7" t="str">
        <f t="shared" si="144"/>
        <v>女</v>
      </c>
    </row>
    <row r="3673" spans="1:5" ht="30" customHeight="1">
      <c r="A3673" s="6">
        <v>3671</v>
      </c>
      <c r="B3673" s="7" t="str">
        <f>"29802021051116072390006"</f>
        <v>29802021051116072390006</v>
      </c>
      <c r="C3673" s="7" t="s">
        <v>24</v>
      </c>
      <c r="D3673" s="7" t="str">
        <f>"胡珠燕"</f>
        <v>胡珠燕</v>
      </c>
      <c r="E3673" s="7" t="str">
        <f t="shared" si="144"/>
        <v>女</v>
      </c>
    </row>
    <row r="3674" spans="1:5" ht="30" customHeight="1">
      <c r="A3674" s="6">
        <v>3672</v>
      </c>
      <c r="B3674" s="7" t="str">
        <f>"29802021051116100390019"</f>
        <v>29802021051116100390019</v>
      </c>
      <c r="C3674" s="7" t="s">
        <v>24</v>
      </c>
      <c r="D3674" s="7" t="str">
        <f>"唐佳茹"</f>
        <v>唐佳茹</v>
      </c>
      <c r="E3674" s="7" t="str">
        <f t="shared" si="144"/>
        <v>女</v>
      </c>
    </row>
    <row r="3675" spans="1:5" ht="30" customHeight="1">
      <c r="A3675" s="6">
        <v>3673</v>
      </c>
      <c r="B3675" s="7" t="str">
        <f>"29802021051116101690020"</f>
        <v>29802021051116101690020</v>
      </c>
      <c r="C3675" s="7" t="s">
        <v>24</v>
      </c>
      <c r="D3675" s="7" t="str">
        <f>"胡悦艳"</f>
        <v>胡悦艳</v>
      </c>
      <c r="E3675" s="7" t="str">
        <f t="shared" si="144"/>
        <v>女</v>
      </c>
    </row>
    <row r="3676" spans="1:5" ht="30" customHeight="1">
      <c r="A3676" s="6">
        <v>3674</v>
      </c>
      <c r="B3676" s="7" t="str">
        <f>"29802021051117162990253"</f>
        <v>29802021051117162990253</v>
      </c>
      <c r="C3676" s="7" t="s">
        <v>24</v>
      </c>
      <c r="D3676" s="7" t="str">
        <f>"张妍"</f>
        <v>张妍</v>
      </c>
      <c r="E3676" s="7" t="str">
        <f t="shared" si="144"/>
        <v>女</v>
      </c>
    </row>
    <row r="3677" spans="1:5" ht="30" customHeight="1">
      <c r="A3677" s="6">
        <v>3675</v>
      </c>
      <c r="B3677" s="7" t="str">
        <f>"29802021051118234190455"</f>
        <v>29802021051118234190455</v>
      </c>
      <c r="C3677" s="7" t="s">
        <v>24</v>
      </c>
      <c r="D3677" s="7" t="str">
        <f>"陈小棉"</f>
        <v>陈小棉</v>
      </c>
      <c r="E3677" s="7" t="str">
        <f t="shared" si="144"/>
        <v>女</v>
      </c>
    </row>
    <row r="3678" spans="1:5" ht="30" customHeight="1">
      <c r="A3678" s="6">
        <v>3676</v>
      </c>
      <c r="B3678" s="7" t="str">
        <f>"29802021051119502190689"</f>
        <v>29802021051119502190689</v>
      </c>
      <c r="C3678" s="7" t="s">
        <v>24</v>
      </c>
      <c r="D3678" s="7" t="str">
        <f>"赖彩珠"</f>
        <v>赖彩珠</v>
      </c>
      <c r="E3678" s="7" t="str">
        <f t="shared" si="144"/>
        <v>女</v>
      </c>
    </row>
    <row r="3679" spans="1:5" ht="30" customHeight="1">
      <c r="A3679" s="6">
        <v>3677</v>
      </c>
      <c r="B3679" s="7" t="str">
        <f>"29802021051120545490883"</f>
        <v>29802021051120545490883</v>
      </c>
      <c r="C3679" s="7" t="s">
        <v>24</v>
      </c>
      <c r="D3679" s="7" t="str">
        <f>"王嫦艳"</f>
        <v>王嫦艳</v>
      </c>
      <c r="E3679" s="7" t="str">
        <f t="shared" si="144"/>
        <v>女</v>
      </c>
    </row>
    <row r="3680" spans="1:5" ht="30" customHeight="1">
      <c r="A3680" s="6">
        <v>3678</v>
      </c>
      <c r="B3680" s="7" t="str">
        <f>"29802021051121310590988"</f>
        <v>29802021051121310590988</v>
      </c>
      <c r="C3680" s="7" t="s">
        <v>24</v>
      </c>
      <c r="D3680" s="7" t="str">
        <f>"刘丽娜"</f>
        <v>刘丽娜</v>
      </c>
      <c r="E3680" s="7" t="str">
        <f t="shared" si="144"/>
        <v>女</v>
      </c>
    </row>
    <row r="3681" spans="1:5" ht="30" customHeight="1">
      <c r="A3681" s="6">
        <v>3679</v>
      </c>
      <c r="B3681" s="7" t="str">
        <f>"29802021051121463991050"</f>
        <v>29802021051121463991050</v>
      </c>
      <c r="C3681" s="7" t="s">
        <v>24</v>
      </c>
      <c r="D3681" s="7" t="str">
        <f>"曹金"</f>
        <v>曹金</v>
      </c>
      <c r="E3681" s="7" t="str">
        <f t="shared" si="144"/>
        <v>女</v>
      </c>
    </row>
    <row r="3682" spans="1:5" ht="30" customHeight="1">
      <c r="A3682" s="6">
        <v>3680</v>
      </c>
      <c r="B3682" s="7" t="str">
        <f>"29802021051122291991175"</f>
        <v>29802021051122291991175</v>
      </c>
      <c r="C3682" s="7" t="s">
        <v>24</v>
      </c>
      <c r="D3682" s="7" t="str">
        <f>"符晓玉"</f>
        <v>符晓玉</v>
      </c>
      <c r="E3682" s="7" t="str">
        <f t="shared" si="144"/>
        <v>女</v>
      </c>
    </row>
    <row r="3683" spans="1:5" ht="30" customHeight="1">
      <c r="A3683" s="6">
        <v>3681</v>
      </c>
      <c r="B3683" s="7" t="str">
        <f>"29802021051122324291186"</f>
        <v>29802021051122324291186</v>
      </c>
      <c r="C3683" s="7" t="s">
        <v>24</v>
      </c>
      <c r="D3683" s="7" t="str">
        <f>"陈佩怡"</f>
        <v>陈佩怡</v>
      </c>
      <c r="E3683" s="7" t="str">
        <f t="shared" si="144"/>
        <v>女</v>
      </c>
    </row>
    <row r="3684" spans="1:5" ht="30" customHeight="1">
      <c r="A3684" s="6">
        <v>3682</v>
      </c>
      <c r="B3684" s="7" t="str">
        <f>"29802021051200502691380"</f>
        <v>29802021051200502691380</v>
      </c>
      <c r="C3684" s="7" t="s">
        <v>24</v>
      </c>
      <c r="D3684" s="7" t="str">
        <f>"杨一婷"</f>
        <v>杨一婷</v>
      </c>
      <c r="E3684" s="7" t="str">
        <f t="shared" si="144"/>
        <v>女</v>
      </c>
    </row>
    <row r="3685" spans="1:5" ht="30" customHeight="1">
      <c r="A3685" s="6">
        <v>3683</v>
      </c>
      <c r="B3685" s="7" t="str">
        <f>"29802021051209590991797"</f>
        <v>29802021051209590991797</v>
      </c>
      <c r="C3685" s="7" t="s">
        <v>24</v>
      </c>
      <c r="D3685" s="7" t="str">
        <f>"王雪芬"</f>
        <v>王雪芬</v>
      </c>
      <c r="E3685" s="7" t="str">
        <f t="shared" si="144"/>
        <v>女</v>
      </c>
    </row>
    <row r="3686" spans="1:5" ht="30" customHeight="1">
      <c r="A3686" s="6">
        <v>3684</v>
      </c>
      <c r="B3686" s="7" t="str">
        <f>"29802021051210055191835"</f>
        <v>29802021051210055191835</v>
      </c>
      <c r="C3686" s="7" t="s">
        <v>24</v>
      </c>
      <c r="D3686" s="7" t="str">
        <f>"邓梦莹"</f>
        <v>邓梦莹</v>
      </c>
      <c r="E3686" s="7" t="str">
        <f t="shared" si="144"/>
        <v>女</v>
      </c>
    </row>
    <row r="3687" spans="1:5" ht="30" customHeight="1">
      <c r="A3687" s="6">
        <v>3685</v>
      </c>
      <c r="B3687" s="7" t="str">
        <f>"29802021051212015992355"</f>
        <v>29802021051212015992355</v>
      </c>
      <c r="C3687" s="7" t="s">
        <v>24</v>
      </c>
      <c r="D3687" s="7" t="str">
        <f>"陈灿灿"</f>
        <v>陈灿灿</v>
      </c>
      <c r="E3687" s="7" t="str">
        <f t="shared" si="144"/>
        <v>女</v>
      </c>
    </row>
    <row r="3688" spans="1:5" ht="30" customHeight="1">
      <c r="A3688" s="6">
        <v>3686</v>
      </c>
      <c r="B3688" s="7" t="str">
        <f>"29802021051212533292501"</f>
        <v>29802021051212533292501</v>
      </c>
      <c r="C3688" s="7" t="s">
        <v>24</v>
      </c>
      <c r="D3688" s="7" t="str">
        <f>"黎仲凯"</f>
        <v>黎仲凯</v>
      </c>
      <c r="E3688" s="7" t="str">
        <f t="shared" si="144"/>
        <v>女</v>
      </c>
    </row>
    <row r="3689" spans="1:5" ht="30" customHeight="1">
      <c r="A3689" s="6">
        <v>3687</v>
      </c>
      <c r="B3689" s="7" t="str">
        <f>"29802021051212591392523"</f>
        <v>29802021051212591392523</v>
      </c>
      <c r="C3689" s="7" t="s">
        <v>24</v>
      </c>
      <c r="D3689" s="7" t="str">
        <f>"罗婷"</f>
        <v>罗婷</v>
      </c>
      <c r="E3689" s="7" t="str">
        <f t="shared" si="144"/>
        <v>女</v>
      </c>
    </row>
    <row r="3690" spans="1:5" ht="30" customHeight="1">
      <c r="A3690" s="6">
        <v>3688</v>
      </c>
      <c r="B3690" s="7" t="str">
        <f>"29802021051213230492598"</f>
        <v>29802021051213230492598</v>
      </c>
      <c r="C3690" s="7" t="s">
        <v>24</v>
      </c>
      <c r="D3690" s="7" t="str">
        <f>"陈玉婷"</f>
        <v>陈玉婷</v>
      </c>
      <c r="E3690" s="7" t="str">
        <f t="shared" si="144"/>
        <v>女</v>
      </c>
    </row>
    <row r="3691" spans="1:5" ht="30" customHeight="1">
      <c r="A3691" s="6">
        <v>3689</v>
      </c>
      <c r="B3691" s="7" t="str">
        <f>"29802021051213243992603"</f>
        <v>29802021051213243992603</v>
      </c>
      <c r="C3691" s="7" t="s">
        <v>24</v>
      </c>
      <c r="D3691" s="7" t="str">
        <f>"黄玉兰"</f>
        <v>黄玉兰</v>
      </c>
      <c r="E3691" s="7" t="str">
        <f t="shared" si="144"/>
        <v>女</v>
      </c>
    </row>
    <row r="3692" spans="1:5" ht="30" customHeight="1">
      <c r="A3692" s="6">
        <v>3690</v>
      </c>
      <c r="B3692" s="7" t="str">
        <f>"29802021051214192392692"</f>
        <v>29802021051214192392692</v>
      </c>
      <c r="C3692" s="7" t="s">
        <v>24</v>
      </c>
      <c r="D3692" s="7" t="str">
        <f>"韦慧莹"</f>
        <v>韦慧莹</v>
      </c>
      <c r="E3692" s="7" t="str">
        <f t="shared" si="144"/>
        <v>女</v>
      </c>
    </row>
    <row r="3693" spans="1:5" ht="30" customHeight="1">
      <c r="A3693" s="6">
        <v>3691</v>
      </c>
      <c r="B3693" s="7" t="str">
        <f>"29802021051217511393463"</f>
        <v>29802021051217511393463</v>
      </c>
      <c r="C3693" s="7" t="s">
        <v>24</v>
      </c>
      <c r="D3693" s="7" t="str">
        <f>"陈巧娜"</f>
        <v>陈巧娜</v>
      </c>
      <c r="E3693" s="7" t="str">
        <f t="shared" si="144"/>
        <v>女</v>
      </c>
    </row>
    <row r="3694" spans="1:5" ht="30" customHeight="1">
      <c r="A3694" s="6">
        <v>3692</v>
      </c>
      <c r="B3694" s="7" t="str">
        <f>"29802021051218352693552"</f>
        <v>29802021051218352693552</v>
      </c>
      <c r="C3694" s="7" t="s">
        <v>24</v>
      </c>
      <c r="D3694" s="7" t="str">
        <f>"包兵兵"</f>
        <v>包兵兵</v>
      </c>
      <c r="E3694" s="7" t="str">
        <f>"男"</f>
        <v>男</v>
      </c>
    </row>
    <row r="3695" spans="1:5" ht="30" customHeight="1">
      <c r="A3695" s="6">
        <v>3693</v>
      </c>
      <c r="B3695" s="7" t="str">
        <f>"29802021051219175693621"</f>
        <v>29802021051219175693621</v>
      </c>
      <c r="C3695" s="7" t="s">
        <v>24</v>
      </c>
      <c r="D3695" s="7" t="str">
        <f>"卓小娜"</f>
        <v>卓小娜</v>
      </c>
      <c r="E3695" s="7" t="str">
        <f aca="true" t="shared" si="145" ref="E3695:E3757">"女"</f>
        <v>女</v>
      </c>
    </row>
    <row r="3696" spans="1:5" ht="30" customHeight="1">
      <c r="A3696" s="6">
        <v>3694</v>
      </c>
      <c r="B3696" s="7" t="str">
        <f>"29802021051219550793684"</f>
        <v>29802021051219550793684</v>
      </c>
      <c r="C3696" s="7" t="s">
        <v>24</v>
      </c>
      <c r="D3696" s="7" t="str">
        <f>"李慧平"</f>
        <v>李慧平</v>
      </c>
      <c r="E3696" s="7" t="str">
        <f t="shared" si="145"/>
        <v>女</v>
      </c>
    </row>
    <row r="3697" spans="1:5" ht="30" customHeight="1">
      <c r="A3697" s="6">
        <v>3695</v>
      </c>
      <c r="B3697" s="7" t="str">
        <f>"29802021051219565193688"</f>
        <v>29802021051219565193688</v>
      </c>
      <c r="C3697" s="7" t="s">
        <v>24</v>
      </c>
      <c r="D3697" s="7" t="str">
        <f>"黄晓雅"</f>
        <v>黄晓雅</v>
      </c>
      <c r="E3697" s="7" t="str">
        <f t="shared" si="145"/>
        <v>女</v>
      </c>
    </row>
    <row r="3698" spans="1:5" ht="30" customHeight="1">
      <c r="A3698" s="6">
        <v>3696</v>
      </c>
      <c r="B3698" s="7" t="str">
        <f>"29802021051220000693696"</f>
        <v>29802021051220000693696</v>
      </c>
      <c r="C3698" s="7" t="s">
        <v>24</v>
      </c>
      <c r="D3698" s="7" t="str">
        <f>"王兰圣"</f>
        <v>王兰圣</v>
      </c>
      <c r="E3698" s="7" t="str">
        <f t="shared" si="145"/>
        <v>女</v>
      </c>
    </row>
    <row r="3699" spans="1:5" ht="30" customHeight="1">
      <c r="A3699" s="6">
        <v>3697</v>
      </c>
      <c r="B3699" s="7" t="str">
        <f>"29802021051220061493711"</f>
        <v>29802021051220061493711</v>
      </c>
      <c r="C3699" s="7" t="s">
        <v>24</v>
      </c>
      <c r="D3699" s="7" t="str">
        <f>"肖巧慧"</f>
        <v>肖巧慧</v>
      </c>
      <c r="E3699" s="7" t="str">
        <f t="shared" si="145"/>
        <v>女</v>
      </c>
    </row>
    <row r="3700" spans="1:5" ht="30" customHeight="1">
      <c r="A3700" s="6">
        <v>3698</v>
      </c>
      <c r="B3700" s="7" t="str">
        <f>"29802021051220385893787"</f>
        <v>29802021051220385893787</v>
      </c>
      <c r="C3700" s="7" t="s">
        <v>24</v>
      </c>
      <c r="D3700" s="7" t="str">
        <f>"朱祥"</f>
        <v>朱祥</v>
      </c>
      <c r="E3700" s="7" t="str">
        <f t="shared" si="145"/>
        <v>女</v>
      </c>
    </row>
    <row r="3701" spans="1:5" ht="30" customHeight="1">
      <c r="A3701" s="6">
        <v>3699</v>
      </c>
      <c r="B3701" s="7" t="str">
        <f>"29802021051220544793823"</f>
        <v>29802021051220544793823</v>
      </c>
      <c r="C3701" s="7" t="s">
        <v>24</v>
      </c>
      <c r="D3701" s="7" t="str">
        <f>"刘亚片"</f>
        <v>刘亚片</v>
      </c>
      <c r="E3701" s="7" t="str">
        <f t="shared" si="145"/>
        <v>女</v>
      </c>
    </row>
    <row r="3702" spans="1:5" ht="30" customHeight="1">
      <c r="A3702" s="6">
        <v>3700</v>
      </c>
      <c r="B3702" s="7" t="str">
        <f>"29802021051220574993828"</f>
        <v>29802021051220574993828</v>
      </c>
      <c r="C3702" s="7" t="s">
        <v>24</v>
      </c>
      <c r="D3702" s="7" t="str">
        <f>"王绚昕"</f>
        <v>王绚昕</v>
      </c>
      <c r="E3702" s="7" t="str">
        <f t="shared" si="145"/>
        <v>女</v>
      </c>
    </row>
    <row r="3703" spans="1:5" ht="30" customHeight="1">
      <c r="A3703" s="6">
        <v>3701</v>
      </c>
      <c r="B3703" s="7" t="str">
        <f>"29802021051220593493833"</f>
        <v>29802021051220593493833</v>
      </c>
      <c r="C3703" s="7" t="s">
        <v>24</v>
      </c>
      <c r="D3703" s="7" t="str">
        <f>"胡丽消"</f>
        <v>胡丽消</v>
      </c>
      <c r="E3703" s="7" t="str">
        <f t="shared" si="145"/>
        <v>女</v>
      </c>
    </row>
    <row r="3704" spans="1:5" ht="30" customHeight="1">
      <c r="A3704" s="6">
        <v>3702</v>
      </c>
      <c r="B3704" s="7" t="str">
        <f>"29802021051221115993866"</f>
        <v>29802021051221115993866</v>
      </c>
      <c r="C3704" s="7" t="s">
        <v>24</v>
      </c>
      <c r="D3704" s="7" t="str">
        <f>"羊丽丽"</f>
        <v>羊丽丽</v>
      </c>
      <c r="E3704" s="7" t="str">
        <f t="shared" si="145"/>
        <v>女</v>
      </c>
    </row>
    <row r="3705" spans="1:5" ht="30" customHeight="1">
      <c r="A3705" s="6">
        <v>3703</v>
      </c>
      <c r="B3705" s="7" t="str">
        <f>"29802021051221300393916"</f>
        <v>29802021051221300393916</v>
      </c>
      <c r="C3705" s="7" t="s">
        <v>24</v>
      </c>
      <c r="D3705" s="7" t="str">
        <f>"王静"</f>
        <v>王静</v>
      </c>
      <c r="E3705" s="7" t="str">
        <f t="shared" si="145"/>
        <v>女</v>
      </c>
    </row>
    <row r="3706" spans="1:5" ht="30" customHeight="1">
      <c r="A3706" s="6">
        <v>3704</v>
      </c>
      <c r="B3706" s="7" t="str">
        <f>"29802021051221333793923"</f>
        <v>29802021051221333793923</v>
      </c>
      <c r="C3706" s="7" t="s">
        <v>24</v>
      </c>
      <c r="D3706" s="7" t="str">
        <f>"杨凡"</f>
        <v>杨凡</v>
      </c>
      <c r="E3706" s="7" t="str">
        <f t="shared" si="145"/>
        <v>女</v>
      </c>
    </row>
    <row r="3707" spans="1:5" ht="30" customHeight="1">
      <c r="A3707" s="6">
        <v>3705</v>
      </c>
      <c r="B3707" s="7" t="str">
        <f>"29802021051221365193932"</f>
        <v>29802021051221365193932</v>
      </c>
      <c r="C3707" s="7" t="s">
        <v>24</v>
      </c>
      <c r="D3707" s="7" t="str">
        <f>"邢嘉送"</f>
        <v>邢嘉送</v>
      </c>
      <c r="E3707" s="7" t="str">
        <f t="shared" si="145"/>
        <v>女</v>
      </c>
    </row>
    <row r="3708" spans="1:5" ht="30" customHeight="1">
      <c r="A3708" s="6">
        <v>3706</v>
      </c>
      <c r="B3708" s="7" t="str">
        <f>"29802021051222091194014"</f>
        <v>29802021051222091194014</v>
      </c>
      <c r="C3708" s="7" t="s">
        <v>24</v>
      </c>
      <c r="D3708" s="7" t="str">
        <f>"陈少芳"</f>
        <v>陈少芳</v>
      </c>
      <c r="E3708" s="7" t="str">
        <f t="shared" si="145"/>
        <v>女</v>
      </c>
    </row>
    <row r="3709" spans="1:5" ht="30" customHeight="1">
      <c r="A3709" s="6">
        <v>3707</v>
      </c>
      <c r="B3709" s="7" t="str">
        <f>"29802021051222110994018"</f>
        <v>29802021051222110994018</v>
      </c>
      <c r="C3709" s="7" t="s">
        <v>24</v>
      </c>
      <c r="D3709" s="7" t="str">
        <f>"李蒙爱"</f>
        <v>李蒙爱</v>
      </c>
      <c r="E3709" s="7" t="str">
        <f t="shared" si="145"/>
        <v>女</v>
      </c>
    </row>
    <row r="3710" spans="1:5" ht="30" customHeight="1">
      <c r="A3710" s="6">
        <v>3708</v>
      </c>
      <c r="B3710" s="7" t="str">
        <f>"29802021051222240094055"</f>
        <v>29802021051222240094055</v>
      </c>
      <c r="C3710" s="7" t="s">
        <v>24</v>
      </c>
      <c r="D3710" s="7" t="str">
        <f>"陈亚页"</f>
        <v>陈亚页</v>
      </c>
      <c r="E3710" s="7" t="str">
        <f t="shared" si="145"/>
        <v>女</v>
      </c>
    </row>
    <row r="3711" spans="1:5" ht="30" customHeight="1">
      <c r="A3711" s="6">
        <v>3709</v>
      </c>
      <c r="B3711" s="7" t="str">
        <f>"29802021051222442794093"</f>
        <v>29802021051222442794093</v>
      </c>
      <c r="C3711" s="7" t="s">
        <v>24</v>
      </c>
      <c r="D3711" s="7" t="str">
        <f>"陈润"</f>
        <v>陈润</v>
      </c>
      <c r="E3711" s="7" t="str">
        <f t="shared" si="145"/>
        <v>女</v>
      </c>
    </row>
    <row r="3712" spans="1:5" ht="30" customHeight="1">
      <c r="A3712" s="6">
        <v>3710</v>
      </c>
      <c r="B3712" s="7" t="str">
        <f>"29802021051222524294112"</f>
        <v>29802021051222524294112</v>
      </c>
      <c r="C3712" s="7" t="s">
        <v>24</v>
      </c>
      <c r="D3712" s="7" t="str">
        <f>"杨燕"</f>
        <v>杨燕</v>
      </c>
      <c r="E3712" s="7" t="str">
        <f t="shared" si="145"/>
        <v>女</v>
      </c>
    </row>
    <row r="3713" spans="1:5" ht="30" customHeight="1">
      <c r="A3713" s="6">
        <v>3711</v>
      </c>
      <c r="B3713" s="7" t="str">
        <f>"29802021051223040594141"</f>
        <v>29802021051223040594141</v>
      </c>
      <c r="C3713" s="7" t="s">
        <v>24</v>
      </c>
      <c r="D3713" s="7" t="str">
        <f>"黄梦如"</f>
        <v>黄梦如</v>
      </c>
      <c r="E3713" s="7" t="str">
        <f t="shared" si="145"/>
        <v>女</v>
      </c>
    </row>
    <row r="3714" spans="1:5" ht="30" customHeight="1">
      <c r="A3714" s="6">
        <v>3712</v>
      </c>
      <c r="B3714" s="7" t="str">
        <f>"29802021051223225594175"</f>
        <v>29802021051223225594175</v>
      </c>
      <c r="C3714" s="7" t="s">
        <v>24</v>
      </c>
      <c r="D3714" s="7" t="str">
        <f>"黄海强"</f>
        <v>黄海强</v>
      </c>
      <c r="E3714" s="7" t="str">
        <f t="shared" si="145"/>
        <v>女</v>
      </c>
    </row>
    <row r="3715" spans="1:5" ht="30" customHeight="1">
      <c r="A3715" s="6">
        <v>3713</v>
      </c>
      <c r="B3715" s="7" t="str">
        <f>"29802021051223503694206"</f>
        <v>29802021051223503694206</v>
      </c>
      <c r="C3715" s="7" t="s">
        <v>24</v>
      </c>
      <c r="D3715" s="7" t="str">
        <f>"符立煌"</f>
        <v>符立煌</v>
      </c>
      <c r="E3715" s="7" t="str">
        <f t="shared" si="145"/>
        <v>女</v>
      </c>
    </row>
    <row r="3716" spans="1:5" ht="30" customHeight="1">
      <c r="A3716" s="6">
        <v>3714</v>
      </c>
      <c r="B3716" s="7" t="str">
        <f>"29802021051301533994250"</f>
        <v>29802021051301533994250</v>
      </c>
      <c r="C3716" s="7" t="s">
        <v>24</v>
      </c>
      <c r="D3716" s="7" t="str">
        <f>"王明燕"</f>
        <v>王明燕</v>
      </c>
      <c r="E3716" s="7" t="str">
        <f t="shared" si="145"/>
        <v>女</v>
      </c>
    </row>
    <row r="3717" spans="1:5" ht="30" customHeight="1">
      <c r="A3717" s="6">
        <v>3715</v>
      </c>
      <c r="B3717" s="7" t="str">
        <f>"29802021051308180394296"</f>
        <v>29802021051308180394296</v>
      </c>
      <c r="C3717" s="7" t="s">
        <v>24</v>
      </c>
      <c r="D3717" s="7" t="str">
        <f>"李娜"</f>
        <v>李娜</v>
      </c>
      <c r="E3717" s="7" t="str">
        <f t="shared" si="145"/>
        <v>女</v>
      </c>
    </row>
    <row r="3718" spans="1:5" ht="30" customHeight="1">
      <c r="A3718" s="6">
        <v>3716</v>
      </c>
      <c r="B3718" s="7" t="str">
        <f>"29802021051308573194384"</f>
        <v>29802021051308573194384</v>
      </c>
      <c r="C3718" s="7" t="s">
        <v>24</v>
      </c>
      <c r="D3718" s="7" t="str">
        <f>"符丽琪"</f>
        <v>符丽琪</v>
      </c>
      <c r="E3718" s="7" t="str">
        <f t="shared" si="145"/>
        <v>女</v>
      </c>
    </row>
    <row r="3719" spans="1:5" ht="30" customHeight="1">
      <c r="A3719" s="6">
        <v>3717</v>
      </c>
      <c r="B3719" s="7" t="str">
        <f>"29802021051315043495259"</f>
        <v>29802021051315043495259</v>
      </c>
      <c r="C3719" s="7" t="s">
        <v>24</v>
      </c>
      <c r="D3719" s="7" t="str">
        <f>"莫莉娟"</f>
        <v>莫莉娟</v>
      </c>
      <c r="E3719" s="7" t="str">
        <f t="shared" si="145"/>
        <v>女</v>
      </c>
    </row>
    <row r="3720" spans="1:5" ht="30" customHeight="1">
      <c r="A3720" s="6">
        <v>3718</v>
      </c>
      <c r="B3720" s="7" t="str">
        <f>"29802021051315224995306"</f>
        <v>29802021051315224995306</v>
      </c>
      <c r="C3720" s="7" t="s">
        <v>24</v>
      </c>
      <c r="D3720" s="7" t="str">
        <f>"王天倩"</f>
        <v>王天倩</v>
      </c>
      <c r="E3720" s="7" t="str">
        <f t="shared" si="145"/>
        <v>女</v>
      </c>
    </row>
    <row r="3721" spans="1:5" ht="30" customHeight="1">
      <c r="A3721" s="6">
        <v>3719</v>
      </c>
      <c r="B3721" s="7" t="str">
        <f>"29802021051317402295644"</f>
        <v>29802021051317402295644</v>
      </c>
      <c r="C3721" s="7" t="s">
        <v>24</v>
      </c>
      <c r="D3721" s="7" t="str">
        <f>"黄雅莹"</f>
        <v>黄雅莹</v>
      </c>
      <c r="E3721" s="7" t="str">
        <f t="shared" si="145"/>
        <v>女</v>
      </c>
    </row>
    <row r="3722" spans="1:5" ht="30" customHeight="1">
      <c r="A3722" s="6">
        <v>3720</v>
      </c>
      <c r="B3722" s="7" t="str">
        <f>"29802021051318001695683"</f>
        <v>29802021051318001695683</v>
      </c>
      <c r="C3722" s="7" t="s">
        <v>24</v>
      </c>
      <c r="D3722" s="7" t="str">
        <f>"胡盈颖"</f>
        <v>胡盈颖</v>
      </c>
      <c r="E3722" s="7" t="str">
        <f t="shared" si="145"/>
        <v>女</v>
      </c>
    </row>
    <row r="3723" spans="1:5" ht="30" customHeight="1">
      <c r="A3723" s="6">
        <v>3721</v>
      </c>
      <c r="B3723" s="7" t="str">
        <f>"29802021051320010295912"</f>
        <v>29802021051320010295912</v>
      </c>
      <c r="C3723" s="7" t="s">
        <v>24</v>
      </c>
      <c r="D3723" s="7" t="str">
        <f>"卢宁荣"</f>
        <v>卢宁荣</v>
      </c>
      <c r="E3723" s="7" t="str">
        <f t="shared" si="145"/>
        <v>女</v>
      </c>
    </row>
    <row r="3724" spans="1:5" ht="30" customHeight="1">
      <c r="A3724" s="6">
        <v>3722</v>
      </c>
      <c r="B3724" s="7" t="str">
        <f>"29802021051320401295988"</f>
        <v>29802021051320401295988</v>
      </c>
      <c r="C3724" s="7" t="s">
        <v>24</v>
      </c>
      <c r="D3724" s="7" t="str">
        <f>"符冠亮"</f>
        <v>符冠亮</v>
      </c>
      <c r="E3724" s="7" t="str">
        <f t="shared" si="145"/>
        <v>女</v>
      </c>
    </row>
    <row r="3725" spans="1:5" ht="30" customHeight="1">
      <c r="A3725" s="6">
        <v>3723</v>
      </c>
      <c r="B3725" s="7" t="str">
        <f>"29802021051320475796003"</f>
        <v>29802021051320475796003</v>
      </c>
      <c r="C3725" s="7" t="s">
        <v>24</v>
      </c>
      <c r="D3725" s="7" t="str">
        <f>"董翠玉"</f>
        <v>董翠玉</v>
      </c>
      <c r="E3725" s="7" t="str">
        <f t="shared" si="145"/>
        <v>女</v>
      </c>
    </row>
    <row r="3726" spans="1:5" ht="30" customHeight="1">
      <c r="A3726" s="6">
        <v>3724</v>
      </c>
      <c r="B3726" s="7" t="str">
        <f>"29802021051321181496053"</f>
        <v>29802021051321181496053</v>
      </c>
      <c r="C3726" s="7" t="s">
        <v>24</v>
      </c>
      <c r="D3726" s="7" t="str">
        <f>"李晓清"</f>
        <v>李晓清</v>
      </c>
      <c r="E3726" s="7" t="str">
        <f t="shared" si="145"/>
        <v>女</v>
      </c>
    </row>
    <row r="3727" spans="1:5" ht="30" customHeight="1">
      <c r="A3727" s="6">
        <v>3725</v>
      </c>
      <c r="B3727" s="7" t="str">
        <f>"29802021051321185696055"</f>
        <v>29802021051321185696055</v>
      </c>
      <c r="C3727" s="7" t="s">
        <v>24</v>
      </c>
      <c r="D3727" s="7" t="str">
        <f>"唐香"</f>
        <v>唐香</v>
      </c>
      <c r="E3727" s="7" t="str">
        <f t="shared" si="145"/>
        <v>女</v>
      </c>
    </row>
    <row r="3728" spans="1:5" ht="30" customHeight="1">
      <c r="A3728" s="6">
        <v>3726</v>
      </c>
      <c r="B3728" s="7" t="str">
        <f>"29802021051406142196416"</f>
        <v>29802021051406142196416</v>
      </c>
      <c r="C3728" s="7" t="s">
        <v>24</v>
      </c>
      <c r="D3728" s="7" t="str">
        <f>"容孝婷"</f>
        <v>容孝婷</v>
      </c>
      <c r="E3728" s="7" t="str">
        <f t="shared" si="145"/>
        <v>女</v>
      </c>
    </row>
    <row r="3729" spans="1:5" ht="30" customHeight="1">
      <c r="A3729" s="6">
        <v>3727</v>
      </c>
      <c r="B3729" s="7" t="str">
        <f>"29802021051408025396441"</f>
        <v>29802021051408025396441</v>
      </c>
      <c r="C3729" s="7" t="s">
        <v>24</v>
      </c>
      <c r="D3729" s="7" t="str">
        <f>"蒋美燕"</f>
        <v>蒋美燕</v>
      </c>
      <c r="E3729" s="7" t="str">
        <f t="shared" si="145"/>
        <v>女</v>
      </c>
    </row>
    <row r="3730" spans="1:5" ht="30" customHeight="1">
      <c r="A3730" s="6">
        <v>3728</v>
      </c>
      <c r="B3730" s="7" t="str">
        <f>"29802021051409190896556"</f>
        <v>29802021051409190896556</v>
      </c>
      <c r="C3730" s="7" t="s">
        <v>24</v>
      </c>
      <c r="D3730" s="7" t="str">
        <f>"范夏莹"</f>
        <v>范夏莹</v>
      </c>
      <c r="E3730" s="7" t="str">
        <f t="shared" si="145"/>
        <v>女</v>
      </c>
    </row>
    <row r="3731" spans="1:5" ht="30" customHeight="1">
      <c r="A3731" s="6">
        <v>3729</v>
      </c>
      <c r="B3731" s="7" t="str">
        <f>"29802021051410043296670"</f>
        <v>29802021051410043296670</v>
      </c>
      <c r="C3731" s="7" t="s">
        <v>24</v>
      </c>
      <c r="D3731" s="7" t="str">
        <f>"卓汉妹"</f>
        <v>卓汉妹</v>
      </c>
      <c r="E3731" s="7" t="str">
        <f t="shared" si="145"/>
        <v>女</v>
      </c>
    </row>
    <row r="3732" spans="1:5" ht="30" customHeight="1">
      <c r="A3732" s="6">
        <v>3730</v>
      </c>
      <c r="B3732" s="7" t="str">
        <f>"29802021051411263796855"</f>
        <v>29802021051411263796855</v>
      </c>
      <c r="C3732" s="7" t="s">
        <v>24</v>
      </c>
      <c r="D3732" s="7" t="str">
        <f>"董丽敏"</f>
        <v>董丽敏</v>
      </c>
      <c r="E3732" s="7" t="str">
        <f t="shared" si="145"/>
        <v>女</v>
      </c>
    </row>
    <row r="3733" spans="1:5" ht="30" customHeight="1">
      <c r="A3733" s="6">
        <v>3731</v>
      </c>
      <c r="B3733" s="7" t="str">
        <f>"29802021051411410396886"</f>
        <v>29802021051411410396886</v>
      </c>
      <c r="C3733" s="7" t="s">
        <v>24</v>
      </c>
      <c r="D3733" s="7" t="str">
        <f>"黄少政"</f>
        <v>黄少政</v>
      </c>
      <c r="E3733" s="7" t="str">
        <f t="shared" si="145"/>
        <v>女</v>
      </c>
    </row>
    <row r="3734" spans="1:5" ht="30" customHeight="1">
      <c r="A3734" s="6">
        <v>3732</v>
      </c>
      <c r="B3734" s="7" t="str">
        <f>"29802021051412201396965"</f>
        <v>29802021051412201396965</v>
      </c>
      <c r="C3734" s="7" t="s">
        <v>24</v>
      </c>
      <c r="D3734" s="7" t="str">
        <f>"黄明星"</f>
        <v>黄明星</v>
      </c>
      <c r="E3734" s="7" t="str">
        <f t="shared" si="145"/>
        <v>女</v>
      </c>
    </row>
    <row r="3735" spans="1:5" ht="30" customHeight="1">
      <c r="A3735" s="6">
        <v>3733</v>
      </c>
      <c r="B3735" s="7" t="str">
        <f>"29802021051412333596985"</f>
        <v>29802021051412333596985</v>
      </c>
      <c r="C3735" s="7" t="s">
        <v>24</v>
      </c>
      <c r="D3735" s="7" t="str">
        <f>"董利城"</f>
        <v>董利城</v>
      </c>
      <c r="E3735" s="7" t="str">
        <f t="shared" si="145"/>
        <v>女</v>
      </c>
    </row>
    <row r="3736" spans="1:5" ht="30" customHeight="1">
      <c r="A3736" s="6">
        <v>3734</v>
      </c>
      <c r="B3736" s="7" t="str">
        <f>"29802021051413235497097"</f>
        <v>29802021051413235497097</v>
      </c>
      <c r="C3736" s="7" t="s">
        <v>24</v>
      </c>
      <c r="D3736" s="7" t="str">
        <f>"陈小栩"</f>
        <v>陈小栩</v>
      </c>
      <c r="E3736" s="7" t="str">
        <f t="shared" si="145"/>
        <v>女</v>
      </c>
    </row>
    <row r="3737" spans="1:5" ht="30" customHeight="1">
      <c r="A3737" s="6">
        <v>3735</v>
      </c>
      <c r="B3737" s="7" t="str">
        <f>"29802021051415200597296"</f>
        <v>29802021051415200597296</v>
      </c>
      <c r="C3737" s="7" t="s">
        <v>24</v>
      </c>
      <c r="D3737" s="7" t="str">
        <f>"黄丽丽"</f>
        <v>黄丽丽</v>
      </c>
      <c r="E3737" s="7" t="str">
        <f t="shared" si="145"/>
        <v>女</v>
      </c>
    </row>
    <row r="3738" spans="1:5" ht="30" customHeight="1">
      <c r="A3738" s="6">
        <v>3736</v>
      </c>
      <c r="B3738" s="7" t="str">
        <f>"29802021051415595797405"</f>
        <v>29802021051415595797405</v>
      </c>
      <c r="C3738" s="7" t="s">
        <v>24</v>
      </c>
      <c r="D3738" s="7" t="str">
        <f>"吉家静"</f>
        <v>吉家静</v>
      </c>
      <c r="E3738" s="7" t="str">
        <f t="shared" si="145"/>
        <v>女</v>
      </c>
    </row>
    <row r="3739" spans="1:5" ht="30" customHeight="1">
      <c r="A3739" s="6">
        <v>3737</v>
      </c>
      <c r="B3739" s="7" t="str">
        <f>"29802021051417282997606"</f>
        <v>29802021051417282997606</v>
      </c>
      <c r="C3739" s="7" t="s">
        <v>24</v>
      </c>
      <c r="D3739" s="7" t="str">
        <f>"符其丹"</f>
        <v>符其丹</v>
      </c>
      <c r="E3739" s="7" t="str">
        <f t="shared" si="145"/>
        <v>女</v>
      </c>
    </row>
    <row r="3740" spans="1:5" ht="30" customHeight="1">
      <c r="A3740" s="6">
        <v>3738</v>
      </c>
      <c r="B3740" s="7" t="str">
        <f>"29802021051418341697710"</f>
        <v>29802021051418341697710</v>
      </c>
      <c r="C3740" s="7" t="s">
        <v>24</v>
      </c>
      <c r="D3740" s="7" t="str">
        <f>"刘金"</f>
        <v>刘金</v>
      </c>
      <c r="E3740" s="7" t="str">
        <f t="shared" si="145"/>
        <v>女</v>
      </c>
    </row>
    <row r="3741" spans="1:5" ht="30" customHeight="1">
      <c r="A3741" s="6">
        <v>3739</v>
      </c>
      <c r="B3741" s="7" t="str">
        <f>"29802021051420071897848"</f>
        <v>29802021051420071897848</v>
      </c>
      <c r="C3741" s="7" t="s">
        <v>24</v>
      </c>
      <c r="D3741" s="7" t="str">
        <f>"李碧苗"</f>
        <v>李碧苗</v>
      </c>
      <c r="E3741" s="7" t="str">
        <f t="shared" si="145"/>
        <v>女</v>
      </c>
    </row>
    <row r="3742" spans="1:5" ht="30" customHeight="1">
      <c r="A3742" s="6">
        <v>3740</v>
      </c>
      <c r="B3742" s="7" t="str">
        <f>"29802021051421001197932"</f>
        <v>29802021051421001197932</v>
      </c>
      <c r="C3742" s="7" t="s">
        <v>24</v>
      </c>
      <c r="D3742" s="7" t="str">
        <f>"邢雨虹"</f>
        <v>邢雨虹</v>
      </c>
      <c r="E3742" s="7" t="str">
        <f t="shared" si="145"/>
        <v>女</v>
      </c>
    </row>
    <row r="3743" spans="1:5" ht="30" customHeight="1">
      <c r="A3743" s="6">
        <v>3741</v>
      </c>
      <c r="B3743" s="7" t="str">
        <f>"29802021051421490998016"</f>
        <v>29802021051421490998016</v>
      </c>
      <c r="C3743" s="7" t="s">
        <v>24</v>
      </c>
      <c r="D3743" s="7" t="str">
        <f>"周利"</f>
        <v>周利</v>
      </c>
      <c r="E3743" s="7" t="str">
        <f t="shared" si="145"/>
        <v>女</v>
      </c>
    </row>
    <row r="3744" spans="1:5" ht="30" customHeight="1">
      <c r="A3744" s="6">
        <v>3742</v>
      </c>
      <c r="B3744" s="7" t="str">
        <f>"29802021051422165598075"</f>
        <v>29802021051422165598075</v>
      </c>
      <c r="C3744" s="7" t="s">
        <v>24</v>
      </c>
      <c r="D3744" s="7" t="str">
        <f>"符婷坤"</f>
        <v>符婷坤</v>
      </c>
      <c r="E3744" s="7" t="str">
        <f t="shared" si="145"/>
        <v>女</v>
      </c>
    </row>
    <row r="3745" spans="1:5" ht="30" customHeight="1">
      <c r="A3745" s="6">
        <v>3743</v>
      </c>
      <c r="B3745" s="7" t="str">
        <f>"29802021051423381798198"</f>
        <v>29802021051423381798198</v>
      </c>
      <c r="C3745" s="7" t="s">
        <v>24</v>
      </c>
      <c r="D3745" s="7" t="str">
        <f>"刘香东"</f>
        <v>刘香东</v>
      </c>
      <c r="E3745" s="7" t="str">
        <f t="shared" si="145"/>
        <v>女</v>
      </c>
    </row>
    <row r="3746" spans="1:5" ht="30" customHeight="1">
      <c r="A3746" s="6">
        <v>3744</v>
      </c>
      <c r="B3746" s="7" t="str">
        <f>"29802021051507152098300"</f>
        <v>29802021051507152098300</v>
      </c>
      <c r="C3746" s="7" t="s">
        <v>24</v>
      </c>
      <c r="D3746" s="7" t="str">
        <f>"符雪丹"</f>
        <v>符雪丹</v>
      </c>
      <c r="E3746" s="7" t="str">
        <f t="shared" si="145"/>
        <v>女</v>
      </c>
    </row>
    <row r="3747" spans="1:5" ht="30" customHeight="1">
      <c r="A3747" s="6">
        <v>3745</v>
      </c>
      <c r="B3747" s="7" t="str">
        <f>"29802021051509492298406"</f>
        <v>29802021051509492298406</v>
      </c>
      <c r="C3747" s="7" t="s">
        <v>24</v>
      </c>
      <c r="D3747" s="7" t="str">
        <f>"刘丽琴"</f>
        <v>刘丽琴</v>
      </c>
      <c r="E3747" s="7" t="str">
        <f t="shared" si="145"/>
        <v>女</v>
      </c>
    </row>
    <row r="3748" spans="1:5" ht="30" customHeight="1">
      <c r="A3748" s="6">
        <v>3746</v>
      </c>
      <c r="B3748" s="7" t="str">
        <f>"29802021051510205598453"</f>
        <v>29802021051510205598453</v>
      </c>
      <c r="C3748" s="7" t="s">
        <v>24</v>
      </c>
      <c r="D3748" s="7" t="str">
        <f>"刘梦鹃"</f>
        <v>刘梦鹃</v>
      </c>
      <c r="E3748" s="7" t="str">
        <f t="shared" si="145"/>
        <v>女</v>
      </c>
    </row>
    <row r="3749" spans="1:5" ht="30" customHeight="1">
      <c r="A3749" s="6">
        <v>3747</v>
      </c>
      <c r="B3749" s="7" t="str">
        <f>"29802021051511113298555"</f>
        <v>29802021051511113298555</v>
      </c>
      <c r="C3749" s="7" t="s">
        <v>24</v>
      </c>
      <c r="D3749" s="7" t="str">
        <f>"王小玲"</f>
        <v>王小玲</v>
      </c>
      <c r="E3749" s="7" t="str">
        <f t="shared" si="145"/>
        <v>女</v>
      </c>
    </row>
    <row r="3750" spans="1:5" ht="30" customHeight="1">
      <c r="A3750" s="6">
        <v>3748</v>
      </c>
      <c r="B3750" s="7" t="str">
        <f>"29802021051511272498575"</f>
        <v>29802021051511272498575</v>
      </c>
      <c r="C3750" s="7" t="s">
        <v>24</v>
      </c>
      <c r="D3750" s="7" t="str">
        <f>"肖子嫣"</f>
        <v>肖子嫣</v>
      </c>
      <c r="E3750" s="7" t="str">
        <f t="shared" si="145"/>
        <v>女</v>
      </c>
    </row>
    <row r="3751" spans="1:5" ht="30" customHeight="1">
      <c r="A3751" s="6">
        <v>3749</v>
      </c>
      <c r="B3751" s="7" t="str">
        <f>"29802021051512201098669"</f>
        <v>29802021051512201098669</v>
      </c>
      <c r="C3751" s="7" t="s">
        <v>24</v>
      </c>
      <c r="D3751" s="7" t="str">
        <f>"谭芸香"</f>
        <v>谭芸香</v>
      </c>
      <c r="E3751" s="7" t="str">
        <f t="shared" si="145"/>
        <v>女</v>
      </c>
    </row>
    <row r="3752" spans="1:5" ht="30" customHeight="1">
      <c r="A3752" s="6">
        <v>3750</v>
      </c>
      <c r="B3752" s="7" t="str">
        <f>"29802021051512384098702"</f>
        <v>29802021051512384098702</v>
      </c>
      <c r="C3752" s="7" t="s">
        <v>24</v>
      </c>
      <c r="D3752" s="7" t="str">
        <f>"黄祎嫦"</f>
        <v>黄祎嫦</v>
      </c>
      <c r="E3752" s="7" t="str">
        <f t="shared" si="145"/>
        <v>女</v>
      </c>
    </row>
    <row r="3753" spans="1:5" ht="30" customHeight="1">
      <c r="A3753" s="6">
        <v>3751</v>
      </c>
      <c r="B3753" s="7" t="str">
        <f>"29802021051514101998843"</f>
        <v>29802021051514101998843</v>
      </c>
      <c r="C3753" s="7" t="s">
        <v>24</v>
      </c>
      <c r="D3753" s="7" t="str">
        <f>"李诗婕"</f>
        <v>李诗婕</v>
      </c>
      <c r="E3753" s="7" t="str">
        <f t="shared" si="145"/>
        <v>女</v>
      </c>
    </row>
    <row r="3754" spans="1:5" ht="30" customHeight="1">
      <c r="A3754" s="6">
        <v>3752</v>
      </c>
      <c r="B3754" s="7" t="str">
        <f>"29802021051515063098937"</f>
        <v>29802021051515063098937</v>
      </c>
      <c r="C3754" s="7" t="s">
        <v>24</v>
      </c>
      <c r="D3754" s="7" t="str">
        <f>"卢丽君"</f>
        <v>卢丽君</v>
      </c>
      <c r="E3754" s="7" t="str">
        <f t="shared" si="145"/>
        <v>女</v>
      </c>
    </row>
    <row r="3755" spans="1:5" ht="30" customHeight="1">
      <c r="A3755" s="6">
        <v>3753</v>
      </c>
      <c r="B3755" s="7" t="str">
        <f>"29802021051515524199018"</f>
        <v>29802021051515524199018</v>
      </c>
      <c r="C3755" s="7" t="s">
        <v>24</v>
      </c>
      <c r="D3755" s="7" t="str">
        <f>"黄楚楚"</f>
        <v>黄楚楚</v>
      </c>
      <c r="E3755" s="7" t="str">
        <f t="shared" si="145"/>
        <v>女</v>
      </c>
    </row>
    <row r="3756" spans="1:5" ht="30" customHeight="1">
      <c r="A3756" s="6">
        <v>3754</v>
      </c>
      <c r="B3756" s="7" t="str">
        <f>"29802021051010521084055"</f>
        <v>29802021051010521084055</v>
      </c>
      <c r="C3756" s="7" t="s">
        <v>25</v>
      </c>
      <c r="D3756" s="7" t="str">
        <f>"陈妹"</f>
        <v>陈妹</v>
      </c>
      <c r="E3756" s="7" t="str">
        <f t="shared" si="145"/>
        <v>女</v>
      </c>
    </row>
    <row r="3757" spans="1:5" ht="30" customHeight="1">
      <c r="A3757" s="6">
        <v>3755</v>
      </c>
      <c r="B3757" s="7" t="str">
        <f>"29802021051012420484816"</f>
        <v>29802021051012420484816</v>
      </c>
      <c r="C3757" s="7" t="s">
        <v>25</v>
      </c>
      <c r="D3757" s="7" t="str">
        <f>"陈秋月"</f>
        <v>陈秋月</v>
      </c>
      <c r="E3757" s="7" t="str">
        <f t="shared" si="145"/>
        <v>女</v>
      </c>
    </row>
    <row r="3758" spans="1:5" ht="30" customHeight="1">
      <c r="A3758" s="6">
        <v>3756</v>
      </c>
      <c r="B3758" s="7" t="str">
        <f>"29802021051016541586324"</f>
        <v>29802021051016541586324</v>
      </c>
      <c r="C3758" s="7" t="s">
        <v>25</v>
      </c>
      <c r="D3758" s="7" t="str">
        <f>"谭程锴"</f>
        <v>谭程锴</v>
      </c>
      <c r="E3758" s="7" t="str">
        <f>"男"</f>
        <v>男</v>
      </c>
    </row>
    <row r="3759" spans="1:5" ht="30" customHeight="1">
      <c r="A3759" s="6">
        <v>3757</v>
      </c>
      <c r="B3759" s="7" t="str">
        <f>"29802021051020021687198"</f>
        <v>29802021051020021687198</v>
      </c>
      <c r="C3759" s="7" t="s">
        <v>25</v>
      </c>
      <c r="D3759" s="7" t="str">
        <f>"林才金"</f>
        <v>林才金</v>
      </c>
      <c r="E3759" s="7" t="str">
        <f aca="true" t="shared" si="146" ref="E3759:E3782">"女"</f>
        <v>女</v>
      </c>
    </row>
    <row r="3760" spans="1:5" ht="30" customHeight="1">
      <c r="A3760" s="6">
        <v>3758</v>
      </c>
      <c r="B3760" s="7" t="str">
        <f>"29802021051020513387401"</f>
        <v>29802021051020513387401</v>
      </c>
      <c r="C3760" s="7" t="s">
        <v>25</v>
      </c>
      <c r="D3760" s="7" t="str">
        <f>"韦惠红"</f>
        <v>韦惠红</v>
      </c>
      <c r="E3760" s="7" t="str">
        <f t="shared" si="146"/>
        <v>女</v>
      </c>
    </row>
    <row r="3761" spans="1:5" ht="30" customHeight="1">
      <c r="A3761" s="6">
        <v>3759</v>
      </c>
      <c r="B3761" s="7" t="str">
        <f>"29802021051110340988874"</f>
        <v>29802021051110340988874</v>
      </c>
      <c r="C3761" s="7" t="s">
        <v>25</v>
      </c>
      <c r="D3761" s="7" t="str">
        <f>"罗庆妹"</f>
        <v>罗庆妹</v>
      </c>
      <c r="E3761" s="7" t="str">
        <f t="shared" si="146"/>
        <v>女</v>
      </c>
    </row>
    <row r="3762" spans="1:5" ht="30" customHeight="1">
      <c r="A3762" s="6">
        <v>3760</v>
      </c>
      <c r="B3762" s="7" t="str">
        <f>"29802021051115051789712"</f>
        <v>29802021051115051789712</v>
      </c>
      <c r="C3762" s="7" t="s">
        <v>25</v>
      </c>
      <c r="D3762" s="7" t="str">
        <f>"蔡欣茜"</f>
        <v>蔡欣茜</v>
      </c>
      <c r="E3762" s="7" t="str">
        <f t="shared" si="146"/>
        <v>女</v>
      </c>
    </row>
    <row r="3763" spans="1:5" ht="30" customHeight="1">
      <c r="A3763" s="6">
        <v>3761</v>
      </c>
      <c r="B3763" s="7" t="str">
        <f>"29802021051115321089848"</f>
        <v>29802021051115321089848</v>
      </c>
      <c r="C3763" s="7" t="s">
        <v>25</v>
      </c>
      <c r="D3763" s="7" t="str">
        <f>"杨霜霜"</f>
        <v>杨霜霜</v>
      </c>
      <c r="E3763" s="7" t="str">
        <f t="shared" si="146"/>
        <v>女</v>
      </c>
    </row>
    <row r="3764" spans="1:5" ht="30" customHeight="1">
      <c r="A3764" s="6">
        <v>3762</v>
      </c>
      <c r="B3764" s="7" t="str">
        <f>"29802021051210450392030"</f>
        <v>29802021051210450392030</v>
      </c>
      <c r="C3764" s="7" t="s">
        <v>25</v>
      </c>
      <c r="D3764" s="7" t="str">
        <f>"王惠"</f>
        <v>王惠</v>
      </c>
      <c r="E3764" s="7" t="str">
        <f t="shared" si="146"/>
        <v>女</v>
      </c>
    </row>
    <row r="3765" spans="1:5" ht="30" customHeight="1">
      <c r="A3765" s="6">
        <v>3763</v>
      </c>
      <c r="B3765" s="7" t="str">
        <f>"29802021051309081294414"</f>
        <v>29802021051309081294414</v>
      </c>
      <c r="C3765" s="7" t="s">
        <v>25</v>
      </c>
      <c r="D3765" s="7" t="str">
        <f>"董姣姣"</f>
        <v>董姣姣</v>
      </c>
      <c r="E3765" s="7" t="str">
        <f t="shared" si="146"/>
        <v>女</v>
      </c>
    </row>
    <row r="3766" spans="1:5" ht="30" customHeight="1">
      <c r="A3766" s="6">
        <v>3764</v>
      </c>
      <c r="B3766" s="7" t="str">
        <f>"29802021051309241194461"</f>
        <v>29802021051309241194461</v>
      </c>
      <c r="C3766" s="7" t="s">
        <v>25</v>
      </c>
      <c r="D3766" s="7" t="str">
        <f>"胡丽琴"</f>
        <v>胡丽琴</v>
      </c>
      <c r="E3766" s="7" t="str">
        <f t="shared" si="146"/>
        <v>女</v>
      </c>
    </row>
    <row r="3767" spans="1:5" ht="30" customHeight="1">
      <c r="A3767" s="6">
        <v>3765</v>
      </c>
      <c r="B3767" s="7" t="str">
        <f>"29802021051311290794870"</f>
        <v>29802021051311290794870</v>
      </c>
      <c r="C3767" s="7" t="s">
        <v>25</v>
      </c>
      <c r="D3767" s="7" t="str">
        <f>"郑英园"</f>
        <v>郑英园</v>
      </c>
      <c r="E3767" s="7" t="str">
        <f t="shared" si="146"/>
        <v>女</v>
      </c>
    </row>
    <row r="3768" spans="1:5" ht="30" customHeight="1">
      <c r="A3768" s="6">
        <v>3766</v>
      </c>
      <c r="B3768" s="7" t="str">
        <f>"29802021051312265594985"</f>
        <v>29802021051312265594985</v>
      </c>
      <c r="C3768" s="7" t="s">
        <v>25</v>
      </c>
      <c r="D3768" s="7" t="str">
        <f>"张艳"</f>
        <v>张艳</v>
      </c>
      <c r="E3768" s="7" t="str">
        <f t="shared" si="146"/>
        <v>女</v>
      </c>
    </row>
    <row r="3769" spans="1:5" ht="30" customHeight="1">
      <c r="A3769" s="6">
        <v>3767</v>
      </c>
      <c r="B3769" s="7" t="str">
        <f>"29802021051411352096878"</f>
        <v>29802021051411352096878</v>
      </c>
      <c r="C3769" s="7" t="s">
        <v>25</v>
      </c>
      <c r="D3769" s="7" t="str">
        <f>"谭旭艳"</f>
        <v>谭旭艳</v>
      </c>
      <c r="E3769" s="7" t="str">
        <f t="shared" si="146"/>
        <v>女</v>
      </c>
    </row>
    <row r="3770" spans="1:5" ht="30" customHeight="1">
      <c r="A3770" s="6">
        <v>3768</v>
      </c>
      <c r="B3770" s="7" t="str">
        <f>"29802021051413114697069"</f>
        <v>29802021051413114697069</v>
      </c>
      <c r="C3770" s="7" t="s">
        <v>25</v>
      </c>
      <c r="D3770" s="7" t="str">
        <f>"吴谊"</f>
        <v>吴谊</v>
      </c>
      <c r="E3770" s="7" t="str">
        <f t="shared" si="146"/>
        <v>女</v>
      </c>
    </row>
    <row r="3771" spans="1:5" ht="30" customHeight="1">
      <c r="A3771" s="6">
        <v>3769</v>
      </c>
      <c r="B3771" s="7" t="str">
        <f>"29802021051416080697427"</f>
        <v>29802021051416080697427</v>
      </c>
      <c r="C3771" s="7" t="s">
        <v>25</v>
      </c>
      <c r="D3771" s="7" t="str">
        <f>"高朝群"</f>
        <v>高朝群</v>
      </c>
      <c r="E3771" s="7" t="str">
        <f t="shared" si="146"/>
        <v>女</v>
      </c>
    </row>
    <row r="3772" spans="1:5" ht="30" customHeight="1">
      <c r="A3772" s="6">
        <v>3770</v>
      </c>
      <c r="B3772" s="7" t="str">
        <f>"29802021051418545197738"</f>
        <v>29802021051418545197738</v>
      </c>
      <c r="C3772" s="7" t="s">
        <v>25</v>
      </c>
      <c r="D3772" s="7" t="str">
        <f>"陈小敏"</f>
        <v>陈小敏</v>
      </c>
      <c r="E3772" s="7" t="str">
        <f t="shared" si="146"/>
        <v>女</v>
      </c>
    </row>
    <row r="3773" spans="1:5" ht="30" customHeight="1">
      <c r="A3773" s="6">
        <v>3771</v>
      </c>
      <c r="B3773" s="7" t="str">
        <f>"29802021051420453097911"</f>
        <v>29802021051420453097911</v>
      </c>
      <c r="C3773" s="7" t="s">
        <v>25</v>
      </c>
      <c r="D3773" s="7" t="str">
        <f>"吴靚虹"</f>
        <v>吴靚虹</v>
      </c>
      <c r="E3773" s="7" t="str">
        <f t="shared" si="146"/>
        <v>女</v>
      </c>
    </row>
    <row r="3774" spans="1:5" ht="30" customHeight="1">
      <c r="A3774" s="6">
        <v>3772</v>
      </c>
      <c r="B3774" s="7" t="str">
        <f>"29802021051422534398134"</f>
        <v>29802021051422534398134</v>
      </c>
      <c r="C3774" s="7" t="s">
        <v>25</v>
      </c>
      <c r="D3774" s="7" t="str">
        <f>"李红"</f>
        <v>李红</v>
      </c>
      <c r="E3774" s="7" t="str">
        <f t="shared" si="146"/>
        <v>女</v>
      </c>
    </row>
    <row r="3775" spans="1:5" ht="30" customHeight="1">
      <c r="A3775" s="6">
        <v>3773</v>
      </c>
      <c r="B3775" s="7" t="str">
        <f>"29802021051423023998149"</f>
        <v>29802021051423023998149</v>
      </c>
      <c r="C3775" s="7" t="s">
        <v>25</v>
      </c>
      <c r="D3775" s="7" t="str">
        <f>"钱闪灿"</f>
        <v>钱闪灿</v>
      </c>
      <c r="E3775" s="7" t="str">
        <f t="shared" si="146"/>
        <v>女</v>
      </c>
    </row>
    <row r="3776" spans="1:5" ht="30" customHeight="1">
      <c r="A3776" s="6">
        <v>3774</v>
      </c>
      <c r="B3776" s="7" t="str">
        <f>"29802021051423184198175"</f>
        <v>29802021051423184198175</v>
      </c>
      <c r="C3776" s="7" t="s">
        <v>25</v>
      </c>
      <c r="D3776" s="7" t="str">
        <f>"黄倩"</f>
        <v>黄倩</v>
      </c>
      <c r="E3776" s="7" t="str">
        <f t="shared" si="146"/>
        <v>女</v>
      </c>
    </row>
    <row r="3777" spans="1:5" ht="30" customHeight="1">
      <c r="A3777" s="6">
        <v>3775</v>
      </c>
      <c r="B3777" s="7" t="str">
        <f>"29802021051509505898410"</f>
        <v>29802021051509505898410</v>
      </c>
      <c r="C3777" s="7" t="s">
        <v>25</v>
      </c>
      <c r="D3777" s="7" t="str">
        <f>"陈雪"</f>
        <v>陈雪</v>
      </c>
      <c r="E3777" s="7" t="str">
        <f t="shared" si="146"/>
        <v>女</v>
      </c>
    </row>
    <row r="3778" spans="1:5" ht="30" customHeight="1">
      <c r="A3778" s="6">
        <v>3776</v>
      </c>
      <c r="B3778" s="7" t="str">
        <f>"29802021051013110984978"</f>
        <v>29802021051013110984978</v>
      </c>
      <c r="C3778" s="7" t="s">
        <v>26</v>
      </c>
      <c r="D3778" s="7" t="str">
        <f>"王彬彬"</f>
        <v>王彬彬</v>
      </c>
      <c r="E3778" s="7" t="str">
        <f t="shared" si="146"/>
        <v>女</v>
      </c>
    </row>
    <row r="3779" spans="1:5" ht="30" customHeight="1">
      <c r="A3779" s="6">
        <v>3777</v>
      </c>
      <c r="B3779" s="7" t="str">
        <f>"29802021051114441089636"</f>
        <v>29802021051114441089636</v>
      </c>
      <c r="C3779" s="7" t="s">
        <v>26</v>
      </c>
      <c r="D3779" s="7" t="str">
        <f>"陈小蕊"</f>
        <v>陈小蕊</v>
      </c>
      <c r="E3779" s="7" t="str">
        <f t="shared" si="146"/>
        <v>女</v>
      </c>
    </row>
    <row r="3780" spans="1:5" ht="30" customHeight="1">
      <c r="A3780" s="6">
        <v>3778</v>
      </c>
      <c r="B3780" s="7" t="str">
        <f>"29802021051414021197165"</f>
        <v>29802021051414021197165</v>
      </c>
      <c r="C3780" s="7" t="s">
        <v>26</v>
      </c>
      <c r="D3780" s="7" t="str">
        <f>"高倩"</f>
        <v>高倩</v>
      </c>
      <c r="E3780" s="7" t="str">
        <f t="shared" si="146"/>
        <v>女</v>
      </c>
    </row>
    <row r="3781" spans="1:5" ht="30" customHeight="1">
      <c r="A3781" s="6">
        <v>3779</v>
      </c>
      <c r="B3781" s="7" t="str">
        <f>"29802021051508190098326"</f>
        <v>29802021051508190098326</v>
      </c>
      <c r="C3781" s="7" t="s">
        <v>26</v>
      </c>
      <c r="D3781" s="7" t="str">
        <f>"陈宥汕"</f>
        <v>陈宥汕</v>
      </c>
      <c r="E3781" s="7" t="str">
        <f t="shared" si="146"/>
        <v>女</v>
      </c>
    </row>
    <row r="3782" spans="1:5" ht="30" customHeight="1">
      <c r="A3782" s="6">
        <v>3780</v>
      </c>
      <c r="B3782" s="7" t="str">
        <f>"29802021051512441198709"</f>
        <v>29802021051512441198709</v>
      </c>
      <c r="C3782" s="7" t="s">
        <v>26</v>
      </c>
      <c r="D3782" s="7" t="str">
        <f>"邱天颖"</f>
        <v>邱天颖</v>
      </c>
      <c r="E3782" s="7" t="str">
        <f t="shared" si="146"/>
        <v>女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Hmz</cp:lastModifiedBy>
  <dcterms:created xsi:type="dcterms:W3CDTF">2021-05-19T03:00:34Z</dcterms:created>
  <dcterms:modified xsi:type="dcterms:W3CDTF">2021-05-19T08:12:00Z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A1209358F33045508C4CA742ECC68C96</vt:lpwstr>
  </property>
  <property fmtid="{D5CDD505-2E9C-101B-9397-08002B2CF9AE}" pid="4" name="KSOProductBuildV">
    <vt:lpwstr>2052-11.8.2.8411</vt:lpwstr>
  </property>
</Properties>
</file>