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195" sheetId="1" r:id="rId1"/>
  </sheets>
  <definedNames>
    <definedName name="_xlnm.Print_Titles" localSheetId="0">'195'!$3:$3</definedName>
  </definedNames>
  <calcPr fullCalcOnLoad="1"/>
</workbook>
</file>

<file path=xl/sharedStrings.xml><?xml version="1.0" encoding="utf-8"?>
<sst xmlns="http://schemas.openxmlformats.org/spreadsheetml/2006/main" count="170" uniqueCount="47">
  <si>
    <t>序号</t>
  </si>
  <si>
    <t>报考岗位</t>
  </si>
  <si>
    <t>姓名</t>
  </si>
  <si>
    <t>准考证号</t>
  </si>
  <si>
    <t>教育综
合知识</t>
  </si>
  <si>
    <t>学科专
业知识</t>
  </si>
  <si>
    <t>笔试合
成成绩</t>
  </si>
  <si>
    <t>加分</t>
  </si>
  <si>
    <t>笔试
总成绩</t>
  </si>
  <si>
    <t>面试成绩</t>
  </si>
  <si>
    <t>最终成绩</t>
  </si>
  <si>
    <t>2019_初中语文1组</t>
  </si>
  <si>
    <t>2020_初中语文2组</t>
  </si>
  <si>
    <t>2021_初中数学1组</t>
  </si>
  <si>
    <t>2022_初中数学2组</t>
  </si>
  <si>
    <t>2023_初中英语1组</t>
  </si>
  <si>
    <t>2024_初中英语2组</t>
  </si>
  <si>
    <t>2025_初中物理1组</t>
  </si>
  <si>
    <t>2026_初中物理2组</t>
  </si>
  <si>
    <t>2027_初中化学1组</t>
  </si>
  <si>
    <t>2028_初中化学2组</t>
  </si>
  <si>
    <t>2029_初中道德与法治1组</t>
  </si>
  <si>
    <t>2030_初中道德与法治2组</t>
  </si>
  <si>
    <t>2031_初中历史1组</t>
  </si>
  <si>
    <t>2032_初中历史2组</t>
  </si>
  <si>
    <t>2033_初中地理1组</t>
  </si>
  <si>
    <t>2034_初中地理2组</t>
  </si>
  <si>
    <t>2036_初中音乐2组</t>
  </si>
  <si>
    <t>2037_初中体育1组</t>
  </si>
  <si>
    <t>2038_初中体育2组</t>
  </si>
  <si>
    <t>2039_初中美术1组</t>
  </si>
  <si>
    <t>2040_初中美术2组</t>
  </si>
  <si>
    <t>2041_小学语文1组</t>
  </si>
  <si>
    <t>2042_小学语文2组</t>
  </si>
  <si>
    <t>2043_小学数学1组</t>
  </si>
  <si>
    <t>2044_小学数学2组</t>
  </si>
  <si>
    <t>2045_小学英语1组</t>
  </si>
  <si>
    <t>2046_小学英语2组</t>
  </si>
  <si>
    <t>2047_小学音乐1组</t>
  </si>
  <si>
    <t>2048_小学音乐2组</t>
  </si>
  <si>
    <t>2049_小学体育1组</t>
  </si>
  <si>
    <t>2050_小学体育2组</t>
  </si>
  <si>
    <t>2051_小学美术1组</t>
  </si>
  <si>
    <t>2052_小学美术2组</t>
  </si>
  <si>
    <t>2053_小学道德与法治1组</t>
  </si>
  <si>
    <t>2054_小学道德与法治2组</t>
  </si>
  <si>
    <t>利辛县2020年中小学新任教师第二次公开招聘初中和小学教师
培训人员名单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</si>
</sst>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5.875" style="1" customWidth="1"/>
    <col min="2" max="2" width="24.25390625" style="1" customWidth="1"/>
    <col min="3" max="3" width="8.50390625" style="1" customWidth="1"/>
    <col min="4" max="4" width="13.00390625" style="1" customWidth="1"/>
    <col min="5" max="7" width="9.00390625" style="1" customWidth="1"/>
    <col min="8" max="8" width="6.00390625" style="1" customWidth="1"/>
    <col min="9" max="9" width="9.00390625" style="1" customWidth="1"/>
    <col min="10" max="10" width="11.125" style="1" customWidth="1"/>
    <col min="11" max="11" width="10.875" style="1" customWidth="1"/>
    <col min="12" max="219" width="9.00390625" style="1" customWidth="1"/>
    <col min="220" max="16384" width="9.00390625" style="3" customWidth="1"/>
  </cols>
  <sheetData>
    <row r="1" spans="1:11" ht="57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s="1" customFormat="1" ht="36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4" t="s">
        <v>9</v>
      </c>
      <c r="K3" s="4" t="s">
        <v>10</v>
      </c>
    </row>
    <row r="4" spans="1:11" s="2" customFormat="1" ht="21" customHeight="1">
      <c r="A4" s="6">
        <v>1</v>
      </c>
      <c r="B4" s="6" t="s">
        <v>11</v>
      </c>
      <c r="C4" s="6" t="str">
        <f>"王乐晨"</f>
        <v>王乐晨</v>
      </c>
      <c r="D4" s="6" t="str">
        <f>"20200105917"</f>
        <v>20200105917</v>
      </c>
      <c r="E4" s="6">
        <v>90.5</v>
      </c>
      <c r="F4" s="6">
        <v>102.94</v>
      </c>
      <c r="G4" s="6">
        <v>97.96</v>
      </c>
      <c r="H4" s="6"/>
      <c r="I4" s="6">
        <v>97.96</v>
      </c>
      <c r="J4" s="6">
        <v>85.8</v>
      </c>
      <c r="K4" s="7">
        <f aca="true" t="shared" si="0" ref="K4:K30">I4/1.2*0.6+J4*0.4</f>
        <v>83.3</v>
      </c>
    </row>
    <row r="5" spans="1:11" s="2" customFormat="1" ht="21" customHeight="1">
      <c r="A5" s="6">
        <v>2</v>
      </c>
      <c r="B5" s="6" t="s">
        <v>11</v>
      </c>
      <c r="C5" s="6" t="str">
        <f>"袁保红"</f>
        <v>袁保红</v>
      </c>
      <c r="D5" s="6" t="str">
        <f>"20200105827"</f>
        <v>20200105827</v>
      </c>
      <c r="E5" s="6">
        <v>94.05</v>
      </c>
      <c r="F5" s="6">
        <v>97.2</v>
      </c>
      <c r="G5" s="6">
        <v>95.94</v>
      </c>
      <c r="H5" s="6"/>
      <c r="I5" s="6">
        <v>95.94</v>
      </c>
      <c r="J5" s="6">
        <v>85.6</v>
      </c>
      <c r="K5" s="7">
        <f>I5/1.2*0.6+J5*0.4</f>
        <v>82.21000000000001</v>
      </c>
    </row>
    <row r="6" spans="1:11" s="2" customFormat="1" ht="21" customHeight="1">
      <c r="A6" s="6">
        <v>3</v>
      </c>
      <c r="B6" s="6" t="s">
        <v>11</v>
      </c>
      <c r="C6" s="6" t="str">
        <f>"王欣欣"</f>
        <v>王欣欣</v>
      </c>
      <c r="D6" s="6" t="str">
        <f>"20200212130"</f>
        <v>20200212130</v>
      </c>
      <c r="E6" s="6">
        <v>89.45</v>
      </c>
      <c r="F6" s="6">
        <v>100.37</v>
      </c>
      <c r="G6" s="6">
        <v>96</v>
      </c>
      <c r="H6" s="6"/>
      <c r="I6" s="6">
        <v>96</v>
      </c>
      <c r="J6" s="6">
        <v>85</v>
      </c>
      <c r="K6" s="7">
        <f t="shared" si="0"/>
        <v>82</v>
      </c>
    </row>
    <row r="7" spans="1:11" s="2" customFormat="1" ht="21" customHeight="1">
      <c r="A7" s="6">
        <v>4</v>
      </c>
      <c r="B7" s="6" t="s">
        <v>11</v>
      </c>
      <c r="C7" s="6" t="str">
        <f>"戴志康"</f>
        <v>戴志康</v>
      </c>
      <c r="D7" s="6" t="str">
        <f>"20200105716"</f>
        <v>20200105716</v>
      </c>
      <c r="E7" s="6">
        <v>82.55</v>
      </c>
      <c r="F7" s="6">
        <v>107.13</v>
      </c>
      <c r="G7" s="6">
        <v>97.3</v>
      </c>
      <c r="H7" s="6"/>
      <c r="I7" s="6">
        <v>97.3</v>
      </c>
      <c r="J7" s="6">
        <v>80.8</v>
      </c>
      <c r="K7" s="7">
        <f>I7/1.2*0.6+J7*0.4</f>
        <v>80.97</v>
      </c>
    </row>
    <row r="8" spans="1:11" s="2" customFormat="1" ht="21" customHeight="1">
      <c r="A8" s="6">
        <v>5</v>
      </c>
      <c r="B8" s="6" t="s">
        <v>11</v>
      </c>
      <c r="C8" s="6" t="str">
        <f>"朱雨青"</f>
        <v>朱雨青</v>
      </c>
      <c r="D8" s="6" t="str">
        <f>"20200105718"</f>
        <v>20200105718</v>
      </c>
      <c r="E8" s="6">
        <v>84.05</v>
      </c>
      <c r="F8" s="6">
        <v>102.69</v>
      </c>
      <c r="G8" s="6">
        <v>95.23</v>
      </c>
      <c r="H8" s="6"/>
      <c r="I8" s="6">
        <v>95.23</v>
      </c>
      <c r="J8" s="6">
        <v>83.2</v>
      </c>
      <c r="K8" s="7">
        <f t="shared" si="0"/>
        <v>80.89500000000001</v>
      </c>
    </row>
    <row r="9" spans="1:11" s="2" customFormat="1" ht="21" customHeight="1">
      <c r="A9" s="6">
        <v>6</v>
      </c>
      <c r="B9" s="6" t="s">
        <v>12</v>
      </c>
      <c r="C9" s="6" t="str">
        <f>"代秀娟"</f>
        <v>代秀娟</v>
      </c>
      <c r="D9" s="6" t="str">
        <f>"20200105815"</f>
        <v>20200105815</v>
      </c>
      <c r="E9" s="6">
        <v>90.55</v>
      </c>
      <c r="F9" s="6">
        <v>103.09</v>
      </c>
      <c r="G9" s="6">
        <v>98.07</v>
      </c>
      <c r="H9" s="6"/>
      <c r="I9" s="6">
        <v>98.07</v>
      </c>
      <c r="J9" s="6">
        <v>89</v>
      </c>
      <c r="K9" s="7">
        <f t="shared" si="0"/>
        <v>84.63499999999999</v>
      </c>
    </row>
    <row r="10" spans="1:11" s="2" customFormat="1" ht="21" customHeight="1">
      <c r="A10" s="6">
        <v>7</v>
      </c>
      <c r="B10" s="6" t="s">
        <v>12</v>
      </c>
      <c r="C10" s="6" t="str">
        <f>"邵海艳"</f>
        <v>邵海艳</v>
      </c>
      <c r="D10" s="6" t="str">
        <f>"20200105805"</f>
        <v>20200105805</v>
      </c>
      <c r="E10" s="6">
        <v>99.95</v>
      </c>
      <c r="F10" s="6">
        <v>95.2</v>
      </c>
      <c r="G10" s="6">
        <v>97.1</v>
      </c>
      <c r="H10" s="6"/>
      <c r="I10" s="6">
        <v>97.1</v>
      </c>
      <c r="J10" s="6">
        <v>87</v>
      </c>
      <c r="K10" s="7">
        <f aca="true" t="shared" si="1" ref="K10:K15">I10/1.2*0.6+J10*0.4</f>
        <v>83.35000000000001</v>
      </c>
    </row>
    <row r="11" spans="1:11" s="2" customFormat="1" ht="21" customHeight="1">
      <c r="A11" s="6">
        <v>8</v>
      </c>
      <c r="B11" s="6" t="s">
        <v>12</v>
      </c>
      <c r="C11" s="6" t="str">
        <f>"刘练"</f>
        <v>刘练</v>
      </c>
      <c r="D11" s="6" t="str">
        <f>"20200212128"</f>
        <v>20200212128</v>
      </c>
      <c r="E11" s="6">
        <v>83.75</v>
      </c>
      <c r="F11" s="6">
        <v>105.41</v>
      </c>
      <c r="G11" s="6">
        <v>96.75</v>
      </c>
      <c r="H11" s="6"/>
      <c r="I11" s="6">
        <v>96.75</v>
      </c>
      <c r="J11" s="6">
        <v>85.8</v>
      </c>
      <c r="K11" s="7">
        <f t="shared" si="1"/>
        <v>82.695</v>
      </c>
    </row>
    <row r="12" spans="1:11" s="2" customFormat="1" ht="21" customHeight="1">
      <c r="A12" s="6">
        <v>9</v>
      </c>
      <c r="B12" s="6" t="s">
        <v>12</v>
      </c>
      <c r="C12" s="6" t="str">
        <f>"张振宇"</f>
        <v>张振宇</v>
      </c>
      <c r="D12" s="6" t="str">
        <f>"20200212126"</f>
        <v>20200212126</v>
      </c>
      <c r="E12" s="6">
        <v>95.55</v>
      </c>
      <c r="F12" s="6">
        <v>95.25</v>
      </c>
      <c r="G12" s="6">
        <v>95.37</v>
      </c>
      <c r="H12" s="6"/>
      <c r="I12" s="6">
        <v>95.37</v>
      </c>
      <c r="J12" s="6">
        <v>83.4</v>
      </c>
      <c r="K12" s="7">
        <f t="shared" si="1"/>
        <v>81.04500000000002</v>
      </c>
    </row>
    <row r="13" spans="1:11" s="2" customFormat="1" ht="21" customHeight="1">
      <c r="A13" s="6">
        <v>10</v>
      </c>
      <c r="B13" s="6" t="s">
        <v>12</v>
      </c>
      <c r="C13" s="6" t="str">
        <f>"孙雨晴"</f>
        <v>孙雨晴</v>
      </c>
      <c r="D13" s="6" t="str">
        <f>"20200105614"</f>
        <v>20200105614</v>
      </c>
      <c r="E13" s="6">
        <v>101.3</v>
      </c>
      <c r="F13" s="6">
        <v>95.6</v>
      </c>
      <c r="G13" s="6">
        <v>97.88</v>
      </c>
      <c r="H13" s="6"/>
      <c r="I13" s="6">
        <v>97.88</v>
      </c>
      <c r="J13" s="6">
        <v>79.4</v>
      </c>
      <c r="K13" s="7">
        <f t="shared" si="1"/>
        <v>80.7</v>
      </c>
    </row>
    <row r="14" spans="1:11" s="2" customFormat="1" ht="21" customHeight="1">
      <c r="A14" s="6">
        <v>11</v>
      </c>
      <c r="B14" s="6" t="s">
        <v>13</v>
      </c>
      <c r="C14" s="6" t="str">
        <f>"武昕晨"</f>
        <v>武昕晨</v>
      </c>
      <c r="D14" s="6" t="str">
        <f>"20200106116"</f>
        <v>20200106116</v>
      </c>
      <c r="E14" s="6">
        <v>92.85</v>
      </c>
      <c r="F14" s="6">
        <v>99.86</v>
      </c>
      <c r="G14" s="6">
        <v>97.06</v>
      </c>
      <c r="H14" s="6"/>
      <c r="I14" s="6">
        <v>97.06</v>
      </c>
      <c r="J14" s="6">
        <v>83.4</v>
      </c>
      <c r="K14" s="7">
        <f t="shared" si="1"/>
        <v>81.89000000000001</v>
      </c>
    </row>
    <row r="15" spans="1:11" s="2" customFormat="1" ht="21" customHeight="1">
      <c r="A15" s="6">
        <v>12</v>
      </c>
      <c r="B15" s="6" t="s">
        <v>13</v>
      </c>
      <c r="C15" s="6" t="str">
        <f>"陆美"</f>
        <v>陆美</v>
      </c>
      <c r="D15" s="6" t="str">
        <f>"20200106225"</f>
        <v>20200106225</v>
      </c>
      <c r="E15" s="6">
        <v>90.2</v>
      </c>
      <c r="F15" s="6">
        <v>102.58</v>
      </c>
      <c r="G15" s="6">
        <v>97.63</v>
      </c>
      <c r="H15" s="6"/>
      <c r="I15" s="6">
        <v>97.63</v>
      </c>
      <c r="J15" s="6">
        <v>78.8</v>
      </c>
      <c r="K15" s="7">
        <f t="shared" si="1"/>
        <v>80.335</v>
      </c>
    </row>
    <row r="16" spans="1:11" s="2" customFormat="1" ht="21" customHeight="1">
      <c r="A16" s="6">
        <v>13</v>
      </c>
      <c r="B16" s="6" t="s">
        <v>13</v>
      </c>
      <c r="C16" s="6" t="str">
        <f>"李晓磊"</f>
        <v>李晓磊</v>
      </c>
      <c r="D16" s="6" t="str">
        <f>"20200212017"</f>
        <v>20200212017</v>
      </c>
      <c r="E16" s="6">
        <v>91.55</v>
      </c>
      <c r="F16" s="6">
        <v>90.33</v>
      </c>
      <c r="G16" s="6">
        <v>90.82</v>
      </c>
      <c r="H16" s="6"/>
      <c r="I16" s="6">
        <v>90.82</v>
      </c>
      <c r="J16" s="6">
        <v>83</v>
      </c>
      <c r="K16" s="7">
        <f t="shared" si="0"/>
        <v>78.61000000000001</v>
      </c>
    </row>
    <row r="17" spans="1:11" s="2" customFormat="1" ht="21" customHeight="1">
      <c r="A17" s="6">
        <v>14</v>
      </c>
      <c r="B17" s="6" t="s">
        <v>13</v>
      </c>
      <c r="C17" s="6" t="str">
        <f>"刘会松"</f>
        <v>刘会松</v>
      </c>
      <c r="D17" s="6" t="str">
        <f>"20200106025"</f>
        <v>20200106025</v>
      </c>
      <c r="E17" s="6">
        <v>90.2</v>
      </c>
      <c r="F17" s="6">
        <v>87.92</v>
      </c>
      <c r="G17" s="6">
        <v>88.83</v>
      </c>
      <c r="H17" s="6"/>
      <c r="I17" s="6">
        <v>88.83</v>
      </c>
      <c r="J17" s="6">
        <v>84</v>
      </c>
      <c r="K17" s="7">
        <f t="shared" si="0"/>
        <v>78.015</v>
      </c>
    </row>
    <row r="18" spans="1:11" s="2" customFormat="1" ht="21" customHeight="1">
      <c r="A18" s="6">
        <v>15</v>
      </c>
      <c r="B18" s="6" t="s">
        <v>14</v>
      </c>
      <c r="C18" s="6" t="str">
        <f>"范露雯"</f>
        <v>范露雯</v>
      </c>
      <c r="D18" s="6" t="str">
        <f>"20200106011"</f>
        <v>20200106011</v>
      </c>
      <c r="E18" s="6">
        <v>95.3</v>
      </c>
      <c r="F18" s="6">
        <v>101.84</v>
      </c>
      <c r="G18" s="6">
        <v>99.22</v>
      </c>
      <c r="H18" s="6"/>
      <c r="I18" s="6">
        <v>99.22</v>
      </c>
      <c r="J18" s="6">
        <v>83.8</v>
      </c>
      <c r="K18" s="7">
        <f t="shared" si="0"/>
        <v>83.13</v>
      </c>
    </row>
    <row r="19" spans="1:11" s="2" customFormat="1" ht="21" customHeight="1">
      <c r="A19" s="6">
        <v>16</v>
      </c>
      <c r="B19" s="6" t="s">
        <v>14</v>
      </c>
      <c r="C19" s="6" t="str">
        <f>"冯丽"</f>
        <v>冯丽</v>
      </c>
      <c r="D19" s="6" t="str">
        <f>"20200106125"</f>
        <v>20200106125</v>
      </c>
      <c r="E19" s="6">
        <v>82.9</v>
      </c>
      <c r="F19" s="6">
        <v>105.25</v>
      </c>
      <c r="G19" s="6">
        <v>96.31</v>
      </c>
      <c r="H19" s="6"/>
      <c r="I19" s="6">
        <v>96.31</v>
      </c>
      <c r="J19" s="6">
        <v>84</v>
      </c>
      <c r="K19" s="7">
        <f t="shared" si="0"/>
        <v>81.755</v>
      </c>
    </row>
    <row r="20" spans="1:11" s="2" customFormat="1" ht="21" customHeight="1">
      <c r="A20" s="6">
        <v>17</v>
      </c>
      <c r="B20" s="6" t="s">
        <v>14</v>
      </c>
      <c r="C20" s="6" t="str">
        <f>"李萍"</f>
        <v>李萍</v>
      </c>
      <c r="D20" s="6" t="str">
        <f>"20200106221"</f>
        <v>20200106221</v>
      </c>
      <c r="E20" s="6">
        <v>96.6</v>
      </c>
      <c r="F20" s="6">
        <v>90.21</v>
      </c>
      <c r="G20" s="6">
        <v>92.77</v>
      </c>
      <c r="H20" s="6"/>
      <c r="I20" s="6">
        <v>92.77</v>
      </c>
      <c r="J20" s="6">
        <v>85.6</v>
      </c>
      <c r="K20" s="7">
        <f t="shared" si="0"/>
        <v>80.625</v>
      </c>
    </row>
    <row r="21" spans="1:11" s="2" customFormat="1" ht="21" customHeight="1">
      <c r="A21" s="6">
        <v>18</v>
      </c>
      <c r="B21" s="6" t="s">
        <v>14</v>
      </c>
      <c r="C21" s="6" t="str">
        <f>"卢利智"</f>
        <v>卢利智</v>
      </c>
      <c r="D21" s="6" t="str">
        <f>"20200106127"</f>
        <v>20200106127</v>
      </c>
      <c r="E21" s="6">
        <v>96.55</v>
      </c>
      <c r="F21" s="6">
        <v>83.87</v>
      </c>
      <c r="G21" s="6">
        <v>88.94</v>
      </c>
      <c r="H21" s="6"/>
      <c r="I21" s="6">
        <v>88.94</v>
      </c>
      <c r="J21" s="6">
        <v>88</v>
      </c>
      <c r="K21" s="7">
        <f t="shared" si="0"/>
        <v>79.67000000000002</v>
      </c>
    </row>
    <row r="22" spans="1:11" s="2" customFormat="1" ht="21" customHeight="1">
      <c r="A22" s="6">
        <v>19</v>
      </c>
      <c r="B22" s="6" t="s">
        <v>15</v>
      </c>
      <c r="C22" s="6" t="str">
        <f>"黄雅洁"</f>
        <v>黄雅洁</v>
      </c>
      <c r="D22" s="6" t="str">
        <f>"20200106315"</f>
        <v>20200106315</v>
      </c>
      <c r="E22" s="6">
        <v>95.45</v>
      </c>
      <c r="F22" s="6">
        <v>99.42</v>
      </c>
      <c r="G22" s="6">
        <v>97.83</v>
      </c>
      <c r="H22" s="6"/>
      <c r="I22" s="6">
        <v>97.83</v>
      </c>
      <c r="J22" s="6">
        <v>86.2</v>
      </c>
      <c r="K22" s="7">
        <f>I22/1.2*0.6+J22*0.4</f>
        <v>83.39500000000001</v>
      </c>
    </row>
    <row r="23" spans="1:11" s="2" customFormat="1" ht="21" customHeight="1">
      <c r="A23" s="6">
        <v>20</v>
      </c>
      <c r="B23" s="6" t="s">
        <v>15</v>
      </c>
      <c r="C23" s="6" t="str">
        <f>"王晓倩"</f>
        <v>王晓倩</v>
      </c>
      <c r="D23" s="6" t="str">
        <f>"20200208029"</f>
        <v>20200208029</v>
      </c>
      <c r="E23" s="6">
        <v>91.8</v>
      </c>
      <c r="F23" s="6">
        <v>98.96</v>
      </c>
      <c r="G23" s="6">
        <v>96.1</v>
      </c>
      <c r="H23" s="6"/>
      <c r="I23" s="6">
        <v>96.1</v>
      </c>
      <c r="J23" s="6">
        <v>87.8</v>
      </c>
      <c r="K23" s="7">
        <f>I23/1.2*0.6+J23*0.4</f>
        <v>83.16999999999999</v>
      </c>
    </row>
    <row r="24" spans="1:11" s="2" customFormat="1" ht="21" customHeight="1">
      <c r="A24" s="6">
        <v>21</v>
      </c>
      <c r="B24" s="6" t="s">
        <v>15</v>
      </c>
      <c r="C24" s="6" t="str">
        <f>"李蒙蒙"</f>
        <v>李蒙蒙</v>
      </c>
      <c r="D24" s="6" t="str">
        <f>"20200206610"</f>
        <v>20200206610</v>
      </c>
      <c r="E24" s="6">
        <v>91.6</v>
      </c>
      <c r="F24" s="6">
        <v>102.02</v>
      </c>
      <c r="G24" s="6">
        <v>97.85</v>
      </c>
      <c r="H24" s="6"/>
      <c r="I24" s="6">
        <v>97.85</v>
      </c>
      <c r="J24" s="6">
        <v>84.8</v>
      </c>
      <c r="K24" s="7">
        <f>I24/1.2*0.6+J24*0.4</f>
        <v>82.845</v>
      </c>
    </row>
    <row r="25" spans="1:11" s="2" customFormat="1" ht="21" customHeight="1">
      <c r="A25" s="6">
        <v>22</v>
      </c>
      <c r="B25" s="6" t="s">
        <v>15</v>
      </c>
      <c r="C25" s="6" t="str">
        <f>"王林林"</f>
        <v>王林林</v>
      </c>
      <c r="D25" s="6" t="str">
        <f>"20200106305"</f>
        <v>20200106305</v>
      </c>
      <c r="E25" s="6">
        <v>88.95</v>
      </c>
      <c r="F25" s="6">
        <v>99.46</v>
      </c>
      <c r="G25" s="6">
        <v>95.26</v>
      </c>
      <c r="H25" s="6"/>
      <c r="I25" s="6">
        <v>95.26</v>
      </c>
      <c r="J25" s="6">
        <v>84</v>
      </c>
      <c r="K25" s="7">
        <f t="shared" si="0"/>
        <v>81.23</v>
      </c>
    </row>
    <row r="26" spans="1:11" s="2" customFormat="1" ht="21" customHeight="1">
      <c r="A26" s="6">
        <v>23</v>
      </c>
      <c r="B26" s="6" t="s">
        <v>16</v>
      </c>
      <c r="C26" s="6" t="str">
        <f>"侯大禹"</f>
        <v>侯大禹</v>
      </c>
      <c r="D26" s="6" t="str">
        <f>"20200206528"</f>
        <v>20200206528</v>
      </c>
      <c r="E26" s="6">
        <v>95.9</v>
      </c>
      <c r="F26" s="6">
        <v>103.6</v>
      </c>
      <c r="G26" s="6">
        <v>100.52</v>
      </c>
      <c r="H26" s="6"/>
      <c r="I26" s="6">
        <v>100.52</v>
      </c>
      <c r="J26" s="6">
        <v>83</v>
      </c>
      <c r="K26" s="7">
        <f t="shared" si="0"/>
        <v>83.46000000000001</v>
      </c>
    </row>
    <row r="27" spans="1:11" s="2" customFormat="1" ht="21" customHeight="1">
      <c r="A27" s="6">
        <v>24</v>
      </c>
      <c r="B27" s="6" t="s">
        <v>16</v>
      </c>
      <c r="C27" s="6" t="str">
        <f>"李森"</f>
        <v>李森</v>
      </c>
      <c r="D27" s="6" t="str">
        <f>"20200206601"</f>
        <v>20200206601</v>
      </c>
      <c r="E27" s="6">
        <v>99.35</v>
      </c>
      <c r="F27" s="6">
        <v>96.38</v>
      </c>
      <c r="G27" s="6">
        <v>97.57</v>
      </c>
      <c r="H27" s="6"/>
      <c r="I27" s="6">
        <v>97.57</v>
      </c>
      <c r="J27" s="6">
        <v>83.9</v>
      </c>
      <c r="K27" s="7">
        <f t="shared" si="0"/>
        <v>82.345</v>
      </c>
    </row>
    <row r="28" spans="1:11" s="2" customFormat="1" ht="21" customHeight="1">
      <c r="A28" s="6">
        <v>25</v>
      </c>
      <c r="B28" s="6" t="s">
        <v>17</v>
      </c>
      <c r="C28" s="6" t="str">
        <f>"李琼琼"</f>
        <v>李琼琼</v>
      </c>
      <c r="D28" s="6" t="str">
        <f>"20200208926"</f>
        <v>20200208926</v>
      </c>
      <c r="E28" s="6">
        <v>92.95</v>
      </c>
      <c r="F28" s="6">
        <v>68.66</v>
      </c>
      <c r="G28" s="6">
        <v>78.38</v>
      </c>
      <c r="H28" s="6"/>
      <c r="I28" s="6">
        <v>78.38</v>
      </c>
      <c r="J28" s="6">
        <v>86</v>
      </c>
      <c r="K28" s="7">
        <f t="shared" si="0"/>
        <v>73.59</v>
      </c>
    </row>
    <row r="29" spans="1:11" s="2" customFormat="1" ht="21" customHeight="1">
      <c r="A29" s="6">
        <v>26</v>
      </c>
      <c r="B29" s="6" t="s">
        <v>17</v>
      </c>
      <c r="C29" s="6" t="str">
        <f>"黄伟岭"</f>
        <v>黄伟岭</v>
      </c>
      <c r="D29" s="6" t="str">
        <f>"20200212206"</f>
        <v>20200212206</v>
      </c>
      <c r="E29" s="6">
        <v>91.4</v>
      </c>
      <c r="F29" s="6">
        <v>68.03</v>
      </c>
      <c r="G29" s="6">
        <v>77.38</v>
      </c>
      <c r="H29" s="6"/>
      <c r="I29" s="6">
        <v>77.38</v>
      </c>
      <c r="J29" s="6">
        <v>83.8</v>
      </c>
      <c r="K29" s="7">
        <f t="shared" si="0"/>
        <v>72.21000000000001</v>
      </c>
    </row>
    <row r="30" spans="1:11" s="2" customFormat="1" ht="21" customHeight="1">
      <c r="A30" s="6">
        <v>27</v>
      </c>
      <c r="B30" s="6" t="s">
        <v>18</v>
      </c>
      <c r="C30" s="6" t="str">
        <f>"李飞翔"</f>
        <v>李飞翔</v>
      </c>
      <c r="D30" s="6" t="str">
        <f>"20200208919"</f>
        <v>20200208919</v>
      </c>
      <c r="E30" s="6">
        <v>87.55</v>
      </c>
      <c r="F30" s="6">
        <v>87.33</v>
      </c>
      <c r="G30" s="6">
        <v>87.42</v>
      </c>
      <c r="H30" s="6"/>
      <c r="I30" s="6">
        <v>87.42</v>
      </c>
      <c r="J30" s="6">
        <v>83.2</v>
      </c>
      <c r="K30" s="7">
        <f t="shared" si="0"/>
        <v>76.99000000000001</v>
      </c>
    </row>
    <row r="31" spans="1:11" s="2" customFormat="1" ht="21" customHeight="1">
      <c r="A31" s="6">
        <v>28</v>
      </c>
      <c r="B31" s="6" t="s">
        <v>18</v>
      </c>
      <c r="C31" s="6" t="str">
        <f>"董华山"</f>
        <v>董华山</v>
      </c>
      <c r="D31" s="6" t="str">
        <f>"20200208921"</f>
        <v>20200208921</v>
      </c>
      <c r="E31" s="6">
        <v>86.25</v>
      </c>
      <c r="F31" s="6">
        <v>71.02</v>
      </c>
      <c r="G31" s="6">
        <v>77.11</v>
      </c>
      <c r="H31" s="6"/>
      <c r="I31" s="6">
        <v>77.11</v>
      </c>
      <c r="J31" s="6">
        <v>81</v>
      </c>
      <c r="K31" s="7">
        <f>I31/1.2*0.6+J31*0.4</f>
        <v>70.955</v>
      </c>
    </row>
    <row r="32" spans="1:11" s="2" customFormat="1" ht="21" customHeight="1">
      <c r="A32" s="6">
        <v>29</v>
      </c>
      <c r="B32" s="6" t="s">
        <v>19</v>
      </c>
      <c r="C32" s="6" t="str">
        <f>"郑梦梦"</f>
        <v>郑梦梦</v>
      </c>
      <c r="D32" s="6" t="str">
        <f>"20200206710"</f>
        <v>20200206710</v>
      </c>
      <c r="E32" s="6">
        <v>95.25</v>
      </c>
      <c r="F32" s="6">
        <v>103.96</v>
      </c>
      <c r="G32" s="6">
        <v>100.48</v>
      </c>
      <c r="H32" s="6"/>
      <c r="I32" s="6">
        <v>100.48</v>
      </c>
      <c r="J32" s="6">
        <v>86.6</v>
      </c>
      <c r="K32" s="7">
        <f aca="true" t="shared" si="2" ref="K32:K51">I32/1.2*0.6+J32*0.4</f>
        <v>84.88</v>
      </c>
    </row>
    <row r="33" spans="1:11" s="2" customFormat="1" ht="21" customHeight="1">
      <c r="A33" s="6">
        <v>30</v>
      </c>
      <c r="B33" s="6" t="s">
        <v>19</v>
      </c>
      <c r="C33" s="6" t="str">
        <f>"冯杰"</f>
        <v>冯杰</v>
      </c>
      <c r="D33" s="6" t="str">
        <f>"20200206701"</f>
        <v>20200206701</v>
      </c>
      <c r="E33" s="6">
        <v>94.2</v>
      </c>
      <c r="F33" s="6">
        <v>95.43</v>
      </c>
      <c r="G33" s="6">
        <v>94.94</v>
      </c>
      <c r="H33" s="6"/>
      <c r="I33" s="6">
        <v>94.94</v>
      </c>
      <c r="J33" s="6">
        <v>84.2</v>
      </c>
      <c r="K33" s="7">
        <f t="shared" si="2"/>
        <v>81.15</v>
      </c>
    </row>
    <row r="34" spans="1:11" s="2" customFormat="1" ht="21" customHeight="1">
      <c r="A34" s="6">
        <v>31</v>
      </c>
      <c r="B34" s="6" t="s">
        <v>20</v>
      </c>
      <c r="C34" s="6" t="str">
        <f>"纪冬妹"</f>
        <v>纪冬妹</v>
      </c>
      <c r="D34" s="6" t="str">
        <f>"20200206820"</f>
        <v>20200206820</v>
      </c>
      <c r="E34" s="6">
        <v>88.7</v>
      </c>
      <c r="F34" s="6">
        <v>105.95</v>
      </c>
      <c r="G34" s="6">
        <v>99.05</v>
      </c>
      <c r="H34" s="6"/>
      <c r="I34" s="6">
        <v>99.05</v>
      </c>
      <c r="J34" s="6">
        <v>81</v>
      </c>
      <c r="K34" s="7">
        <f>I34/1.2*0.6+J34*0.4</f>
        <v>81.925</v>
      </c>
    </row>
    <row r="35" spans="1:11" s="2" customFormat="1" ht="21" customHeight="1">
      <c r="A35" s="6">
        <v>32</v>
      </c>
      <c r="B35" s="6" t="s">
        <v>20</v>
      </c>
      <c r="C35" s="6" t="str">
        <f>"王维佳"</f>
        <v>王维佳</v>
      </c>
      <c r="D35" s="6" t="str">
        <f>"20200206804"</f>
        <v>20200206804</v>
      </c>
      <c r="E35" s="6">
        <v>87.75</v>
      </c>
      <c r="F35" s="6">
        <v>107.58</v>
      </c>
      <c r="G35" s="6">
        <v>99.65</v>
      </c>
      <c r="H35" s="6"/>
      <c r="I35" s="6">
        <v>99.65</v>
      </c>
      <c r="J35" s="6">
        <v>80</v>
      </c>
      <c r="K35" s="7">
        <f>I35/1.2*0.6+J35*0.4</f>
        <v>81.825</v>
      </c>
    </row>
    <row r="36" spans="1:11" s="2" customFormat="1" ht="21" customHeight="1">
      <c r="A36" s="6">
        <v>33</v>
      </c>
      <c r="B36" s="6" t="s">
        <v>21</v>
      </c>
      <c r="C36" s="6" t="str">
        <f>"俞杰"</f>
        <v>俞杰</v>
      </c>
      <c r="D36" s="6" t="str">
        <f>"20200211823"</f>
        <v>20200211823</v>
      </c>
      <c r="E36" s="6">
        <v>100.65</v>
      </c>
      <c r="F36" s="6">
        <v>98.3</v>
      </c>
      <c r="G36" s="6">
        <v>99.24</v>
      </c>
      <c r="H36" s="6"/>
      <c r="I36" s="6">
        <v>99.24</v>
      </c>
      <c r="J36" s="6">
        <v>82.8</v>
      </c>
      <c r="K36" s="7">
        <f t="shared" si="2"/>
        <v>82.74</v>
      </c>
    </row>
    <row r="37" spans="1:11" s="2" customFormat="1" ht="21" customHeight="1">
      <c r="A37" s="6">
        <v>34</v>
      </c>
      <c r="B37" s="6" t="s">
        <v>21</v>
      </c>
      <c r="C37" s="6" t="str">
        <f>"李皖晋"</f>
        <v>李皖晋</v>
      </c>
      <c r="D37" s="6" t="str">
        <f>"20200211803"</f>
        <v>20200211803</v>
      </c>
      <c r="E37" s="6">
        <v>88.7</v>
      </c>
      <c r="F37" s="6">
        <v>99.2</v>
      </c>
      <c r="G37" s="6">
        <v>95</v>
      </c>
      <c r="H37" s="6"/>
      <c r="I37" s="6">
        <v>95</v>
      </c>
      <c r="J37" s="6">
        <v>85.6</v>
      </c>
      <c r="K37" s="7">
        <f t="shared" si="2"/>
        <v>81.74000000000001</v>
      </c>
    </row>
    <row r="38" spans="1:11" s="2" customFormat="1" ht="21" customHeight="1">
      <c r="A38" s="6">
        <v>35</v>
      </c>
      <c r="B38" s="6" t="s">
        <v>21</v>
      </c>
      <c r="C38" s="6" t="str">
        <f>"张金梅"</f>
        <v>张金梅</v>
      </c>
      <c r="D38" s="6" t="str">
        <f>"20200207807"</f>
        <v>20200207807</v>
      </c>
      <c r="E38" s="6">
        <v>92.35</v>
      </c>
      <c r="F38" s="6">
        <v>96.52</v>
      </c>
      <c r="G38" s="6">
        <v>94.85</v>
      </c>
      <c r="H38" s="6"/>
      <c r="I38" s="6">
        <v>94.85</v>
      </c>
      <c r="J38" s="6">
        <v>83.4</v>
      </c>
      <c r="K38" s="7">
        <f t="shared" si="2"/>
        <v>80.78500000000001</v>
      </c>
    </row>
    <row r="39" spans="1:11" s="2" customFormat="1" ht="21" customHeight="1">
      <c r="A39" s="6">
        <v>36</v>
      </c>
      <c r="B39" s="6" t="s">
        <v>21</v>
      </c>
      <c r="C39" s="6" t="str">
        <f>"王梦"</f>
        <v>王梦</v>
      </c>
      <c r="D39" s="6" t="str">
        <f>"20200211809"</f>
        <v>20200211809</v>
      </c>
      <c r="E39" s="6">
        <v>78.5</v>
      </c>
      <c r="F39" s="6">
        <v>96.1</v>
      </c>
      <c r="G39" s="6">
        <v>89.06</v>
      </c>
      <c r="H39" s="6"/>
      <c r="I39" s="6">
        <v>89.06</v>
      </c>
      <c r="J39" s="6">
        <v>85.8</v>
      </c>
      <c r="K39" s="7">
        <f t="shared" si="2"/>
        <v>78.85</v>
      </c>
    </row>
    <row r="40" spans="1:11" s="2" customFormat="1" ht="21" customHeight="1">
      <c r="A40" s="6">
        <v>37</v>
      </c>
      <c r="B40" s="6" t="s">
        <v>22</v>
      </c>
      <c r="C40" s="6" t="str">
        <f>"卜继玲"</f>
        <v>卜继玲</v>
      </c>
      <c r="D40" s="6" t="str">
        <f>"20200211808"</f>
        <v>20200211808</v>
      </c>
      <c r="E40" s="6">
        <v>93.35</v>
      </c>
      <c r="F40" s="6">
        <v>104.8</v>
      </c>
      <c r="G40" s="6">
        <v>100.22</v>
      </c>
      <c r="H40" s="6"/>
      <c r="I40" s="6">
        <v>100.22</v>
      </c>
      <c r="J40" s="6">
        <v>85.4</v>
      </c>
      <c r="K40" s="7">
        <f t="shared" si="2"/>
        <v>84.27000000000001</v>
      </c>
    </row>
    <row r="41" spans="1:11" s="2" customFormat="1" ht="21" customHeight="1">
      <c r="A41" s="6">
        <v>38</v>
      </c>
      <c r="B41" s="6" t="s">
        <v>22</v>
      </c>
      <c r="C41" s="6" t="str">
        <f>"程亚娟"</f>
        <v>程亚娟</v>
      </c>
      <c r="D41" s="6" t="str">
        <f>"20200211814"</f>
        <v>20200211814</v>
      </c>
      <c r="E41" s="6">
        <v>99.8</v>
      </c>
      <c r="F41" s="6">
        <v>97.16</v>
      </c>
      <c r="G41" s="6">
        <v>98.22</v>
      </c>
      <c r="H41" s="6"/>
      <c r="I41" s="6">
        <v>98.22</v>
      </c>
      <c r="J41" s="6">
        <v>83.8</v>
      </c>
      <c r="K41" s="7">
        <f t="shared" si="2"/>
        <v>82.63000000000001</v>
      </c>
    </row>
    <row r="42" spans="1:11" s="2" customFormat="1" ht="21" customHeight="1">
      <c r="A42" s="6">
        <v>39</v>
      </c>
      <c r="B42" s="6" t="s">
        <v>22</v>
      </c>
      <c r="C42" s="6" t="str">
        <f>"王月儿"</f>
        <v>王月儿</v>
      </c>
      <c r="D42" s="6" t="str">
        <f>"20200207809"</f>
        <v>20200207809</v>
      </c>
      <c r="E42" s="6">
        <v>83.25</v>
      </c>
      <c r="F42" s="6">
        <v>99.66</v>
      </c>
      <c r="G42" s="6">
        <v>93.1</v>
      </c>
      <c r="H42" s="6"/>
      <c r="I42" s="6">
        <v>93.1</v>
      </c>
      <c r="J42" s="6">
        <v>87</v>
      </c>
      <c r="K42" s="7">
        <f>I42/1.2*0.6+J42*0.4</f>
        <v>81.35</v>
      </c>
    </row>
    <row r="43" spans="1:11" s="2" customFormat="1" ht="21" customHeight="1">
      <c r="A43" s="6">
        <v>40</v>
      </c>
      <c r="B43" s="6" t="s">
        <v>22</v>
      </c>
      <c r="C43" s="6" t="str">
        <f>"杨玲"</f>
        <v>杨玲</v>
      </c>
      <c r="D43" s="6" t="str">
        <f>"20200211813"</f>
        <v>20200211813</v>
      </c>
      <c r="E43" s="6">
        <v>92.2</v>
      </c>
      <c r="F43" s="6">
        <v>98.28</v>
      </c>
      <c r="G43" s="6">
        <v>95.85</v>
      </c>
      <c r="H43" s="6"/>
      <c r="I43" s="6">
        <v>95.85</v>
      </c>
      <c r="J43" s="6">
        <v>83</v>
      </c>
      <c r="K43" s="7">
        <f>I43/1.2*0.6+J43*0.4</f>
        <v>81.125</v>
      </c>
    </row>
    <row r="44" spans="1:11" s="2" customFormat="1" ht="21" customHeight="1">
      <c r="A44" s="6">
        <v>41</v>
      </c>
      <c r="B44" s="6" t="s">
        <v>23</v>
      </c>
      <c r="C44" s="6" t="str">
        <f>"王雅茹"</f>
        <v>王雅茹</v>
      </c>
      <c r="D44" s="6" t="str">
        <f>"20200209018"</f>
        <v>20200209018</v>
      </c>
      <c r="E44" s="6">
        <v>91.8</v>
      </c>
      <c r="F44" s="6">
        <v>99.98</v>
      </c>
      <c r="G44" s="6">
        <v>96.71</v>
      </c>
      <c r="H44" s="6"/>
      <c r="I44" s="6">
        <v>96.71</v>
      </c>
      <c r="J44" s="6">
        <v>83.8</v>
      </c>
      <c r="K44" s="7">
        <f t="shared" si="2"/>
        <v>81.875</v>
      </c>
    </row>
    <row r="45" spans="1:11" s="2" customFormat="1" ht="21" customHeight="1">
      <c r="A45" s="6">
        <v>42</v>
      </c>
      <c r="B45" s="6" t="s">
        <v>23</v>
      </c>
      <c r="C45" s="6" t="str">
        <f>"陈家铭"</f>
        <v>陈家铭</v>
      </c>
      <c r="D45" s="6" t="str">
        <f>"20200209017"</f>
        <v>20200209017</v>
      </c>
      <c r="E45" s="6">
        <v>93.3</v>
      </c>
      <c r="F45" s="6">
        <v>92.7</v>
      </c>
      <c r="G45" s="6">
        <v>92.94</v>
      </c>
      <c r="H45" s="6"/>
      <c r="I45" s="6">
        <v>92.94</v>
      </c>
      <c r="J45" s="6">
        <v>83.4</v>
      </c>
      <c r="K45" s="7">
        <f t="shared" si="2"/>
        <v>79.83000000000001</v>
      </c>
    </row>
    <row r="46" spans="1:11" s="2" customFormat="1" ht="21" customHeight="1">
      <c r="A46" s="6">
        <v>43</v>
      </c>
      <c r="B46" s="6" t="s">
        <v>24</v>
      </c>
      <c r="C46" s="6" t="str">
        <f>"汪红梅"</f>
        <v>汪红梅</v>
      </c>
      <c r="D46" s="6" t="str">
        <f>"20200209019"</f>
        <v>20200209019</v>
      </c>
      <c r="E46" s="6">
        <v>100</v>
      </c>
      <c r="F46" s="6">
        <v>98.68</v>
      </c>
      <c r="G46" s="6">
        <v>99.21</v>
      </c>
      <c r="H46" s="6"/>
      <c r="I46" s="6">
        <v>99.21</v>
      </c>
      <c r="J46" s="6">
        <v>87.8</v>
      </c>
      <c r="K46" s="7">
        <f t="shared" si="2"/>
        <v>84.725</v>
      </c>
    </row>
    <row r="47" spans="1:11" s="2" customFormat="1" ht="21" customHeight="1">
      <c r="A47" s="6">
        <v>44</v>
      </c>
      <c r="B47" s="6" t="s">
        <v>24</v>
      </c>
      <c r="C47" s="6" t="str">
        <f>"路杨"</f>
        <v>路杨</v>
      </c>
      <c r="D47" s="6" t="str">
        <f>"20200209003"</f>
        <v>20200209003</v>
      </c>
      <c r="E47" s="6">
        <v>89.65</v>
      </c>
      <c r="F47" s="6">
        <v>98.96</v>
      </c>
      <c r="G47" s="6">
        <v>95.24</v>
      </c>
      <c r="H47" s="6"/>
      <c r="I47" s="6">
        <v>95.24</v>
      </c>
      <c r="J47" s="6">
        <v>86.8</v>
      </c>
      <c r="K47" s="7">
        <f t="shared" si="2"/>
        <v>82.34</v>
      </c>
    </row>
    <row r="48" spans="1:11" s="2" customFormat="1" ht="21" customHeight="1">
      <c r="A48" s="6">
        <v>45</v>
      </c>
      <c r="B48" s="6" t="s">
        <v>25</v>
      </c>
      <c r="C48" s="6" t="str">
        <f>"刘瑾玉"</f>
        <v>刘瑾玉</v>
      </c>
      <c r="D48" s="6" t="str">
        <f>"20200212309"</f>
        <v>20200212309</v>
      </c>
      <c r="E48" s="6">
        <v>93.1</v>
      </c>
      <c r="F48" s="6">
        <v>95.68</v>
      </c>
      <c r="G48" s="6">
        <v>94.65</v>
      </c>
      <c r="H48" s="6"/>
      <c r="I48" s="6">
        <v>94.65</v>
      </c>
      <c r="J48" s="6">
        <v>88</v>
      </c>
      <c r="K48" s="7">
        <f t="shared" si="2"/>
        <v>82.525</v>
      </c>
    </row>
    <row r="49" spans="1:11" s="2" customFormat="1" ht="21" customHeight="1">
      <c r="A49" s="6">
        <v>46</v>
      </c>
      <c r="B49" s="6" t="s">
        <v>25</v>
      </c>
      <c r="C49" s="6" t="str">
        <f>"孙子骥"</f>
        <v>孙子骥</v>
      </c>
      <c r="D49" s="6" t="str">
        <f>"20200212326"</f>
        <v>20200212326</v>
      </c>
      <c r="E49" s="6">
        <v>82.7</v>
      </c>
      <c r="F49" s="6">
        <v>98.18</v>
      </c>
      <c r="G49" s="6">
        <v>91.99</v>
      </c>
      <c r="H49" s="6"/>
      <c r="I49" s="6">
        <v>91.99</v>
      </c>
      <c r="J49" s="6">
        <v>84.6</v>
      </c>
      <c r="K49" s="7">
        <f t="shared" si="2"/>
        <v>79.835</v>
      </c>
    </row>
    <row r="50" spans="1:11" s="2" customFormat="1" ht="21" customHeight="1">
      <c r="A50" s="6">
        <v>47</v>
      </c>
      <c r="B50" s="6" t="s">
        <v>26</v>
      </c>
      <c r="C50" s="6" t="str">
        <f>"李辛未"</f>
        <v>李辛未</v>
      </c>
      <c r="D50" s="6" t="str">
        <f>"20200212317"</f>
        <v>20200212317</v>
      </c>
      <c r="E50" s="6">
        <v>88.75</v>
      </c>
      <c r="F50" s="6">
        <v>98.5</v>
      </c>
      <c r="G50" s="6">
        <v>94.6</v>
      </c>
      <c r="H50" s="6"/>
      <c r="I50" s="6">
        <v>94.6</v>
      </c>
      <c r="J50" s="6">
        <v>83.4</v>
      </c>
      <c r="K50" s="7">
        <f t="shared" si="2"/>
        <v>80.66</v>
      </c>
    </row>
    <row r="51" spans="1:11" s="2" customFormat="1" ht="21" customHeight="1">
      <c r="A51" s="6">
        <v>48</v>
      </c>
      <c r="B51" s="6" t="s">
        <v>26</v>
      </c>
      <c r="C51" s="6" t="str">
        <f>"王佳颖"</f>
        <v>王佳颖</v>
      </c>
      <c r="D51" s="6" t="str">
        <f>"20200212324"</f>
        <v>20200212324</v>
      </c>
      <c r="E51" s="6">
        <v>86.05</v>
      </c>
      <c r="F51" s="6">
        <v>93.02</v>
      </c>
      <c r="G51" s="6">
        <v>90.23</v>
      </c>
      <c r="H51" s="6"/>
      <c r="I51" s="6">
        <v>90.23</v>
      </c>
      <c r="J51" s="6">
        <v>81.8</v>
      </c>
      <c r="K51" s="7">
        <f t="shared" si="2"/>
        <v>77.83500000000001</v>
      </c>
    </row>
    <row r="52" spans="1:11" s="2" customFormat="1" ht="21" customHeight="1">
      <c r="A52" s="6">
        <v>49</v>
      </c>
      <c r="B52" s="6" t="s">
        <v>27</v>
      </c>
      <c r="C52" s="6" t="str">
        <f>"朱雨露"</f>
        <v>朱雨露</v>
      </c>
      <c r="D52" s="6" t="str">
        <f>"20200209308"</f>
        <v>20200209308</v>
      </c>
      <c r="E52" s="6">
        <v>88</v>
      </c>
      <c r="F52" s="6">
        <v>85.05</v>
      </c>
      <c r="G52" s="6">
        <v>86.23</v>
      </c>
      <c r="H52" s="6"/>
      <c r="I52" s="6">
        <v>86.23</v>
      </c>
      <c r="J52" s="6">
        <v>83.6</v>
      </c>
      <c r="K52" s="7">
        <f aca="true" t="shared" si="3" ref="K52:K83">I52/1.2*0.6+J52*0.4</f>
        <v>76.555</v>
      </c>
    </row>
    <row r="53" spans="1:11" s="2" customFormat="1" ht="21" customHeight="1">
      <c r="A53" s="6">
        <v>50</v>
      </c>
      <c r="B53" s="6" t="s">
        <v>27</v>
      </c>
      <c r="C53" s="6" t="str">
        <f>"张晓慧"</f>
        <v>张晓慧</v>
      </c>
      <c r="D53" s="6" t="str">
        <f>"20200209310"</f>
        <v>20200209310</v>
      </c>
      <c r="E53" s="6">
        <v>80.05</v>
      </c>
      <c r="F53" s="6">
        <v>80.79</v>
      </c>
      <c r="G53" s="6">
        <v>80.49</v>
      </c>
      <c r="H53" s="6"/>
      <c r="I53" s="6">
        <v>80.49</v>
      </c>
      <c r="J53" s="6">
        <v>78.6</v>
      </c>
      <c r="K53" s="7">
        <f t="shared" si="3"/>
        <v>71.685</v>
      </c>
    </row>
    <row r="54" spans="1:11" s="2" customFormat="1" ht="21" customHeight="1">
      <c r="A54" s="6">
        <v>51</v>
      </c>
      <c r="B54" s="6" t="s">
        <v>28</v>
      </c>
      <c r="C54" s="6" t="str">
        <f>"王峰伟"</f>
        <v>王峰伟</v>
      </c>
      <c r="D54" s="6" t="str">
        <f>"20200207601"</f>
        <v>20200207601</v>
      </c>
      <c r="E54" s="6">
        <v>83.9</v>
      </c>
      <c r="F54" s="6">
        <v>93.26</v>
      </c>
      <c r="G54" s="6">
        <v>89.52</v>
      </c>
      <c r="H54" s="6"/>
      <c r="I54" s="6">
        <v>89.52</v>
      </c>
      <c r="J54" s="6">
        <v>84.1</v>
      </c>
      <c r="K54" s="7">
        <f t="shared" si="3"/>
        <v>78.4</v>
      </c>
    </row>
    <row r="55" spans="1:11" s="2" customFormat="1" ht="21" customHeight="1">
      <c r="A55" s="6">
        <v>52</v>
      </c>
      <c r="B55" s="6" t="s">
        <v>28</v>
      </c>
      <c r="C55" s="6" t="str">
        <f>"韩志豪"</f>
        <v>韩志豪</v>
      </c>
      <c r="D55" s="6" t="str">
        <f>"20200207509"</f>
        <v>20200207509</v>
      </c>
      <c r="E55" s="6">
        <v>81</v>
      </c>
      <c r="F55" s="6">
        <v>90.19</v>
      </c>
      <c r="G55" s="6">
        <v>86.51</v>
      </c>
      <c r="H55" s="6"/>
      <c r="I55" s="6">
        <v>86.51</v>
      </c>
      <c r="J55" s="6">
        <v>85.1</v>
      </c>
      <c r="K55" s="7">
        <f t="shared" si="3"/>
        <v>77.295</v>
      </c>
    </row>
    <row r="56" spans="1:11" s="2" customFormat="1" ht="21" customHeight="1">
      <c r="A56" s="6">
        <v>53</v>
      </c>
      <c r="B56" s="6" t="s">
        <v>29</v>
      </c>
      <c r="C56" s="6" t="str">
        <f>"肖阳"</f>
        <v>肖阳</v>
      </c>
      <c r="D56" s="6" t="str">
        <f>"20200207614"</f>
        <v>20200207614</v>
      </c>
      <c r="E56" s="6">
        <v>85.3</v>
      </c>
      <c r="F56" s="6">
        <v>99.14</v>
      </c>
      <c r="G56" s="6">
        <v>93.6</v>
      </c>
      <c r="H56" s="6"/>
      <c r="I56" s="6">
        <v>93.6</v>
      </c>
      <c r="J56" s="6">
        <v>83</v>
      </c>
      <c r="K56" s="7">
        <f t="shared" si="3"/>
        <v>80</v>
      </c>
    </row>
    <row r="57" spans="1:11" s="2" customFormat="1" ht="21" customHeight="1">
      <c r="A57" s="6">
        <v>54</v>
      </c>
      <c r="B57" s="6" t="s">
        <v>29</v>
      </c>
      <c r="C57" s="6" t="str">
        <f>"李向阳"</f>
        <v>李向阳</v>
      </c>
      <c r="D57" s="6" t="str">
        <f>"20200207510"</f>
        <v>20200207510</v>
      </c>
      <c r="E57" s="6">
        <v>74.25</v>
      </c>
      <c r="F57" s="6">
        <v>93.46</v>
      </c>
      <c r="G57" s="6">
        <v>85.78</v>
      </c>
      <c r="H57" s="6"/>
      <c r="I57" s="6">
        <v>85.78</v>
      </c>
      <c r="J57" s="6">
        <v>79.9</v>
      </c>
      <c r="K57" s="7">
        <f t="shared" si="3"/>
        <v>74.85000000000001</v>
      </c>
    </row>
    <row r="58" spans="1:11" s="2" customFormat="1" ht="21" customHeight="1">
      <c r="A58" s="6">
        <v>55</v>
      </c>
      <c r="B58" s="6" t="s">
        <v>30</v>
      </c>
      <c r="C58" s="6" t="str">
        <f>"张梦园"</f>
        <v>张梦园</v>
      </c>
      <c r="D58" s="6" t="str">
        <f>"20200207116"</f>
        <v>20200207116</v>
      </c>
      <c r="E58" s="6">
        <v>96.9</v>
      </c>
      <c r="F58" s="6">
        <v>103.6</v>
      </c>
      <c r="G58" s="6">
        <v>100.92</v>
      </c>
      <c r="H58" s="6"/>
      <c r="I58" s="6">
        <v>100.92</v>
      </c>
      <c r="J58" s="6">
        <v>87.82</v>
      </c>
      <c r="K58" s="7">
        <f t="shared" si="3"/>
        <v>85.588</v>
      </c>
    </row>
    <row r="59" spans="1:11" s="2" customFormat="1" ht="21" customHeight="1">
      <c r="A59" s="6">
        <v>56</v>
      </c>
      <c r="B59" s="6" t="s">
        <v>30</v>
      </c>
      <c r="C59" s="6" t="str">
        <f>"潘宇"</f>
        <v>潘宇</v>
      </c>
      <c r="D59" s="6" t="str">
        <f>"20200207312"</f>
        <v>20200207312</v>
      </c>
      <c r="E59" s="6">
        <v>95.15</v>
      </c>
      <c r="F59" s="6">
        <v>101.96</v>
      </c>
      <c r="G59" s="6">
        <v>99.24</v>
      </c>
      <c r="H59" s="6"/>
      <c r="I59" s="6">
        <v>99.24</v>
      </c>
      <c r="J59" s="6">
        <v>85.64</v>
      </c>
      <c r="K59" s="7">
        <f t="shared" si="3"/>
        <v>83.876</v>
      </c>
    </row>
    <row r="60" spans="1:11" s="2" customFormat="1" ht="21" customHeight="1">
      <c r="A60" s="6">
        <v>57</v>
      </c>
      <c r="B60" s="6" t="s">
        <v>31</v>
      </c>
      <c r="C60" s="6" t="str">
        <f>"王文丽"</f>
        <v>王文丽</v>
      </c>
      <c r="D60" s="6" t="str">
        <f>"20200207207"</f>
        <v>20200207207</v>
      </c>
      <c r="E60" s="6">
        <v>97.85</v>
      </c>
      <c r="F60" s="6">
        <v>101.86</v>
      </c>
      <c r="G60" s="6">
        <v>100.26</v>
      </c>
      <c r="H60" s="6"/>
      <c r="I60" s="6">
        <v>100.26</v>
      </c>
      <c r="J60" s="6">
        <v>85.8</v>
      </c>
      <c r="K60" s="7">
        <f t="shared" si="3"/>
        <v>84.45</v>
      </c>
    </row>
    <row r="61" spans="1:11" s="2" customFormat="1" ht="21" customHeight="1">
      <c r="A61" s="6">
        <v>58</v>
      </c>
      <c r="B61" s="6" t="s">
        <v>31</v>
      </c>
      <c r="C61" s="6" t="str">
        <f>"郑晴伟"</f>
        <v>郑晴伟</v>
      </c>
      <c r="D61" s="6" t="str">
        <f>"20200207013"</f>
        <v>20200207013</v>
      </c>
      <c r="E61" s="6">
        <v>95.75</v>
      </c>
      <c r="F61" s="6">
        <v>103.31</v>
      </c>
      <c r="G61" s="6">
        <v>100.29</v>
      </c>
      <c r="H61" s="6"/>
      <c r="I61" s="6">
        <v>100.29</v>
      </c>
      <c r="J61" s="6">
        <v>83.4</v>
      </c>
      <c r="K61" s="7">
        <f t="shared" si="3"/>
        <v>83.50500000000001</v>
      </c>
    </row>
    <row r="62" spans="1:11" s="2" customFormat="1" ht="21" customHeight="1">
      <c r="A62" s="6">
        <v>59</v>
      </c>
      <c r="B62" s="6" t="s">
        <v>32</v>
      </c>
      <c r="C62" s="6" t="str">
        <f>"张程程"</f>
        <v>张程程</v>
      </c>
      <c r="D62" s="6" t="str">
        <f>"20200304805"</f>
        <v>20200304805</v>
      </c>
      <c r="E62" s="6">
        <v>98.45</v>
      </c>
      <c r="F62" s="6">
        <v>107.56</v>
      </c>
      <c r="G62" s="6">
        <v>103.92</v>
      </c>
      <c r="H62" s="6"/>
      <c r="I62" s="6">
        <v>103.92</v>
      </c>
      <c r="J62" s="6">
        <v>83.2</v>
      </c>
      <c r="K62" s="7">
        <f t="shared" si="3"/>
        <v>85.24000000000001</v>
      </c>
    </row>
    <row r="63" spans="1:11" s="2" customFormat="1" ht="21" customHeight="1">
      <c r="A63" s="6">
        <v>60</v>
      </c>
      <c r="B63" s="6" t="s">
        <v>32</v>
      </c>
      <c r="C63" s="6" t="str">
        <f>"秦晶晶"</f>
        <v>秦晶晶</v>
      </c>
      <c r="D63" s="6" t="str">
        <f>"20200303310"</f>
        <v>20200303310</v>
      </c>
      <c r="E63" s="6">
        <v>92.1</v>
      </c>
      <c r="F63" s="6">
        <v>107.26</v>
      </c>
      <c r="G63" s="6">
        <v>101.2</v>
      </c>
      <c r="H63" s="6"/>
      <c r="I63" s="6">
        <v>101.2</v>
      </c>
      <c r="J63" s="6">
        <v>84.4</v>
      </c>
      <c r="K63" s="7">
        <f t="shared" si="3"/>
        <v>84.36000000000001</v>
      </c>
    </row>
    <row r="64" spans="1:11" s="2" customFormat="1" ht="21" customHeight="1">
      <c r="A64" s="6">
        <v>61</v>
      </c>
      <c r="B64" s="6" t="s">
        <v>32</v>
      </c>
      <c r="C64" s="6" t="str">
        <f>"姜瑞"</f>
        <v>姜瑞</v>
      </c>
      <c r="D64" s="6" t="str">
        <f>"20200301322"</f>
        <v>20200301322</v>
      </c>
      <c r="E64" s="6">
        <v>98.7</v>
      </c>
      <c r="F64" s="6">
        <v>103.54</v>
      </c>
      <c r="G64" s="6">
        <v>101.6</v>
      </c>
      <c r="H64" s="6"/>
      <c r="I64" s="6">
        <v>101.6</v>
      </c>
      <c r="J64" s="6">
        <v>83.2</v>
      </c>
      <c r="K64" s="7">
        <f t="shared" si="3"/>
        <v>84.08000000000001</v>
      </c>
    </row>
    <row r="65" spans="1:11" s="2" customFormat="1" ht="21" customHeight="1">
      <c r="A65" s="6">
        <v>62</v>
      </c>
      <c r="B65" s="6" t="s">
        <v>32</v>
      </c>
      <c r="C65" s="6" t="str">
        <f>"王子"</f>
        <v>王子</v>
      </c>
      <c r="D65" s="6" t="str">
        <f>"20200301018"</f>
        <v>20200301018</v>
      </c>
      <c r="E65" s="6">
        <v>102.95</v>
      </c>
      <c r="F65" s="6">
        <v>96.38</v>
      </c>
      <c r="G65" s="6">
        <v>99.01</v>
      </c>
      <c r="H65" s="6"/>
      <c r="I65" s="6">
        <v>99.01</v>
      </c>
      <c r="J65" s="6">
        <v>86</v>
      </c>
      <c r="K65" s="7">
        <f t="shared" si="3"/>
        <v>83.905</v>
      </c>
    </row>
    <row r="66" spans="1:11" s="2" customFormat="1" ht="21" customHeight="1">
      <c r="A66" s="6">
        <v>63</v>
      </c>
      <c r="B66" s="6" t="s">
        <v>32</v>
      </c>
      <c r="C66" s="6" t="str">
        <f>"刘星光"</f>
        <v>刘星光</v>
      </c>
      <c r="D66" s="6" t="str">
        <f>"20200302116"</f>
        <v>20200302116</v>
      </c>
      <c r="E66" s="6">
        <v>96.05</v>
      </c>
      <c r="F66" s="6">
        <v>103.94</v>
      </c>
      <c r="G66" s="6">
        <v>100.78</v>
      </c>
      <c r="H66" s="6"/>
      <c r="I66" s="6">
        <v>100.78</v>
      </c>
      <c r="J66" s="6">
        <v>82.6</v>
      </c>
      <c r="K66" s="7">
        <f t="shared" si="3"/>
        <v>83.43</v>
      </c>
    </row>
    <row r="67" spans="1:11" s="2" customFormat="1" ht="21" customHeight="1">
      <c r="A67" s="6">
        <v>64</v>
      </c>
      <c r="B67" s="6" t="s">
        <v>32</v>
      </c>
      <c r="C67" s="6" t="str">
        <f>"孙婉婉"</f>
        <v>孙婉婉</v>
      </c>
      <c r="D67" s="6" t="str">
        <f>"20200301922"</f>
        <v>20200301922</v>
      </c>
      <c r="E67" s="6">
        <v>103.65</v>
      </c>
      <c r="F67" s="6">
        <v>96.72</v>
      </c>
      <c r="G67" s="6">
        <v>99.49</v>
      </c>
      <c r="H67" s="6"/>
      <c r="I67" s="6">
        <v>99.49</v>
      </c>
      <c r="J67" s="6">
        <v>82.8</v>
      </c>
      <c r="K67" s="7">
        <f t="shared" si="3"/>
        <v>82.865</v>
      </c>
    </row>
    <row r="68" spans="1:11" s="2" customFormat="1" ht="21" customHeight="1">
      <c r="A68" s="6">
        <v>65</v>
      </c>
      <c r="B68" s="6" t="s">
        <v>32</v>
      </c>
      <c r="C68" s="6" t="str">
        <f>"张金花"</f>
        <v>张金花</v>
      </c>
      <c r="D68" s="6" t="str">
        <f>"20200302527"</f>
        <v>20200302527</v>
      </c>
      <c r="E68" s="6">
        <v>97.35</v>
      </c>
      <c r="F68" s="6">
        <v>100.07</v>
      </c>
      <c r="G68" s="6">
        <v>98.98</v>
      </c>
      <c r="H68" s="6"/>
      <c r="I68" s="6">
        <v>98.98</v>
      </c>
      <c r="J68" s="6">
        <v>83</v>
      </c>
      <c r="K68" s="7">
        <f t="shared" si="3"/>
        <v>82.69</v>
      </c>
    </row>
    <row r="69" spans="1:11" s="2" customFormat="1" ht="21" customHeight="1">
      <c r="A69" s="6">
        <v>66</v>
      </c>
      <c r="B69" s="6" t="s">
        <v>32</v>
      </c>
      <c r="C69" s="6" t="str">
        <f>"刘营营"</f>
        <v>刘营营</v>
      </c>
      <c r="D69" s="6" t="str">
        <f>"20200304703"</f>
        <v>20200304703</v>
      </c>
      <c r="E69" s="6">
        <v>90.55</v>
      </c>
      <c r="F69" s="6">
        <v>104.32</v>
      </c>
      <c r="G69" s="6">
        <v>98.81</v>
      </c>
      <c r="H69" s="6"/>
      <c r="I69" s="6">
        <v>98.81</v>
      </c>
      <c r="J69" s="6">
        <v>83.2</v>
      </c>
      <c r="K69" s="7">
        <f t="shared" si="3"/>
        <v>82.685</v>
      </c>
    </row>
    <row r="70" spans="1:11" s="2" customFormat="1" ht="21" customHeight="1">
      <c r="A70" s="6">
        <v>67</v>
      </c>
      <c r="B70" s="6" t="s">
        <v>32</v>
      </c>
      <c r="C70" s="6" t="str">
        <f>"刁洪艳"</f>
        <v>刁洪艳</v>
      </c>
      <c r="D70" s="6" t="str">
        <f>"20200303416"</f>
        <v>20200303416</v>
      </c>
      <c r="E70" s="6">
        <v>93.65</v>
      </c>
      <c r="F70" s="6">
        <v>103.89</v>
      </c>
      <c r="G70" s="6">
        <v>99.79</v>
      </c>
      <c r="H70" s="6"/>
      <c r="I70" s="6">
        <v>99.79</v>
      </c>
      <c r="J70" s="6">
        <v>81.8</v>
      </c>
      <c r="K70" s="7">
        <f t="shared" si="3"/>
        <v>82.61500000000001</v>
      </c>
    </row>
    <row r="71" spans="1:11" s="2" customFormat="1" ht="21" customHeight="1">
      <c r="A71" s="6">
        <v>68</v>
      </c>
      <c r="B71" s="6" t="s">
        <v>33</v>
      </c>
      <c r="C71" s="6" t="str">
        <f>"谭康"</f>
        <v>谭康</v>
      </c>
      <c r="D71" s="6" t="str">
        <f>"20200305520"</f>
        <v>20200305520</v>
      </c>
      <c r="E71" s="6">
        <v>103</v>
      </c>
      <c r="F71" s="6">
        <v>107.56</v>
      </c>
      <c r="G71" s="6">
        <v>105.74</v>
      </c>
      <c r="H71" s="6"/>
      <c r="I71" s="6">
        <v>105.74</v>
      </c>
      <c r="J71" s="6">
        <v>83</v>
      </c>
      <c r="K71" s="7">
        <f t="shared" si="3"/>
        <v>86.07</v>
      </c>
    </row>
    <row r="72" spans="1:11" s="2" customFormat="1" ht="21" customHeight="1">
      <c r="A72" s="6">
        <v>69</v>
      </c>
      <c r="B72" s="6" t="s">
        <v>33</v>
      </c>
      <c r="C72" s="6" t="str">
        <f>"马珍珍"</f>
        <v>马珍珍</v>
      </c>
      <c r="D72" s="6" t="str">
        <f>"20200302812"</f>
        <v>20200302812</v>
      </c>
      <c r="E72" s="6">
        <v>98.1</v>
      </c>
      <c r="F72" s="6">
        <v>106.13</v>
      </c>
      <c r="G72" s="6">
        <v>102.92</v>
      </c>
      <c r="H72" s="6"/>
      <c r="I72" s="6">
        <v>102.92</v>
      </c>
      <c r="J72" s="6">
        <v>84.4</v>
      </c>
      <c r="K72" s="7">
        <f t="shared" si="3"/>
        <v>85.22</v>
      </c>
    </row>
    <row r="73" spans="1:11" s="2" customFormat="1" ht="21" customHeight="1">
      <c r="A73" s="6">
        <v>70</v>
      </c>
      <c r="B73" s="6" t="s">
        <v>33</v>
      </c>
      <c r="C73" s="6" t="str">
        <f>"储家娜"</f>
        <v>储家娜</v>
      </c>
      <c r="D73" s="6" t="str">
        <f>"20200303817"</f>
        <v>20200303817</v>
      </c>
      <c r="E73" s="6">
        <v>96.3</v>
      </c>
      <c r="F73" s="6">
        <v>107.96</v>
      </c>
      <c r="G73" s="6">
        <v>103.3</v>
      </c>
      <c r="H73" s="6"/>
      <c r="I73" s="6">
        <v>103.3</v>
      </c>
      <c r="J73" s="6">
        <v>83.4</v>
      </c>
      <c r="K73" s="7">
        <f t="shared" si="3"/>
        <v>85.01</v>
      </c>
    </row>
    <row r="74" spans="1:11" s="2" customFormat="1" ht="21" customHeight="1">
      <c r="A74" s="6">
        <v>71</v>
      </c>
      <c r="B74" s="6" t="s">
        <v>33</v>
      </c>
      <c r="C74" s="6" t="str">
        <f>"江洪丽"</f>
        <v>江洪丽</v>
      </c>
      <c r="D74" s="6" t="str">
        <f>"20200305212"</f>
        <v>20200305212</v>
      </c>
      <c r="E74" s="6">
        <v>93.95</v>
      </c>
      <c r="F74" s="6">
        <v>105.93</v>
      </c>
      <c r="G74" s="6">
        <v>101.14</v>
      </c>
      <c r="H74" s="6"/>
      <c r="I74" s="6">
        <v>101.14</v>
      </c>
      <c r="J74" s="6">
        <v>85.8</v>
      </c>
      <c r="K74" s="7">
        <f t="shared" si="3"/>
        <v>84.89</v>
      </c>
    </row>
    <row r="75" spans="1:11" s="2" customFormat="1" ht="21" customHeight="1">
      <c r="A75" s="6">
        <v>72</v>
      </c>
      <c r="B75" s="6" t="s">
        <v>33</v>
      </c>
      <c r="C75" s="6" t="str">
        <f>"戴艳"</f>
        <v>戴艳</v>
      </c>
      <c r="D75" s="6" t="str">
        <f>"20200304406"</f>
        <v>20200304406</v>
      </c>
      <c r="E75" s="6">
        <v>104.25</v>
      </c>
      <c r="F75" s="6">
        <v>102.42</v>
      </c>
      <c r="G75" s="6">
        <v>103.15</v>
      </c>
      <c r="H75" s="6"/>
      <c r="I75" s="6">
        <v>103.15</v>
      </c>
      <c r="J75" s="6">
        <v>83.2</v>
      </c>
      <c r="K75" s="7">
        <f t="shared" si="3"/>
        <v>84.855</v>
      </c>
    </row>
    <row r="76" spans="1:11" s="2" customFormat="1" ht="21" customHeight="1">
      <c r="A76" s="6">
        <v>73</v>
      </c>
      <c r="B76" s="6" t="s">
        <v>33</v>
      </c>
      <c r="C76" s="6" t="str">
        <f>"侯爱慈"</f>
        <v>侯爱慈</v>
      </c>
      <c r="D76" s="6" t="str">
        <f>"20200303429"</f>
        <v>20200303429</v>
      </c>
      <c r="E76" s="6">
        <v>98.45</v>
      </c>
      <c r="F76" s="6">
        <v>104.71</v>
      </c>
      <c r="G76" s="6">
        <v>102.21</v>
      </c>
      <c r="H76" s="6"/>
      <c r="I76" s="6">
        <v>102.21</v>
      </c>
      <c r="J76" s="6">
        <v>83</v>
      </c>
      <c r="K76" s="7">
        <f t="shared" si="3"/>
        <v>84.305</v>
      </c>
    </row>
    <row r="77" spans="1:11" s="2" customFormat="1" ht="21" customHeight="1">
      <c r="A77" s="6">
        <v>74</v>
      </c>
      <c r="B77" s="6" t="s">
        <v>33</v>
      </c>
      <c r="C77" s="6" t="str">
        <f>"袁媛"</f>
        <v>袁媛</v>
      </c>
      <c r="D77" s="6" t="str">
        <f>"20200305616"</f>
        <v>20200305616</v>
      </c>
      <c r="E77" s="6">
        <v>98.15</v>
      </c>
      <c r="F77" s="6">
        <v>104.36</v>
      </c>
      <c r="G77" s="6">
        <v>101.88</v>
      </c>
      <c r="H77" s="6"/>
      <c r="I77" s="6">
        <v>101.88</v>
      </c>
      <c r="J77" s="6">
        <v>83.4</v>
      </c>
      <c r="K77" s="7">
        <f t="shared" si="3"/>
        <v>84.30000000000001</v>
      </c>
    </row>
    <row r="78" spans="1:11" s="2" customFormat="1" ht="21" customHeight="1">
      <c r="A78" s="6">
        <v>75</v>
      </c>
      <c r="B78" s="6" t="s">
        <v>33</v>
      </c>
      <c r="C78" s="6" t="str">
        <f>"刁洪艳"</f>
        <v>刁洪艳</v>
      </c>
      <c r="D78" s="6" t="str">
        <f>"20200300629"</f>
        <v>20200300629</v>
      </c>
      <c r="E78" s="6">
        <v>98.05</v>
      </c>
      <c r="F78" s="6">
        <v>103.31</v>
      </c>
      <c r="G78" s="6">
        <v>101.21</v>
      </c>
      <c r="H78" s="6"/>
      <c r="I78" s="6">
        <v>101.21</v>
      </c>
      <c r="J78" s="6">
        <v>84.2</v>
      </c>
      <c r="K78" s="7">
        <f t="shared" si="3"/>
        <v>84.285</v>
      </c>
    </row>
    <row r="79" spans="1:11" s="2" customFormat="1" ht="21" customHeight="1">
      <c r="A79" s="6">
        <v>76</v>
      </c>
      <c r="B79" s="6" t="s">
        <v>34</v>
      </c>
      <c r="C79" s="6" t="str">
        <f>"纪孟琦"</f>
        <v>纪孟琦</v>
      </c>
      <c r="D79" s="6" t="str">
        <f>"20200211322"</f>
        <v>20200211322</v>
      </c>
      <c r="E79" s="6">
        <v>98.15</v>
      </c>
      <c r="F79" s="6">
        <v>93.78</v>
      </c>
      <c r="G79" s="6">
        <v>95.53</v>
      </c>
      <c r="H79" s="6"/>
      <c r="I79" s="6">
        <v>95.53</v>
      </c>
      <c r="J79" s="6">
        <v>82.8</v>
      </c>
      <c r="K79" s="7">
        <f t="shared" si="3"/>
        <v>80.88499999999999</v>
      </c>
    </row>
    <row r="80" spans="1:11" s="2" customFormat="1" ht="21" customHeight="1">
      <c r="A80" s="6">
        <v>77</v>
      </c>
      <c r="B80" s="6" t="s">
        <v>34</v>
      </c>
      <c r="C80" s="6" t="str">
        <f>"李鑫鑫"</f>
        <v>李鑫鑫</v>
      </c>
      <c r="D80" s="6" t="str">
        <f>"20200209702"</f>
        <v>20200209702</v>
      </c>
      <c r="E80" s="6">
        <v>104.8</v>
      </c>
      <c r="F80" s="6">
        <v>88.27</v>
      </c>
      <c r="G80" s="6">
        <v>94.88</v>
      </c>
      <c r="H80" s="6"/>
      <c r="I80" s="6">
        <v>94.88</v>
      </c>
      <c r="J80" s="6">
        <v>81</v>
      </c>
      <c r="K80" s="7">
        <f t="shared" si="3"/>
        <v>79.84</v>
      </c>
    </row>
    <row r="81" spans="1:11" s="2" customFormat="1" ht="21" customHeight="1">
      <c r="A81" s="6">
        <v>78</v>
      </c>
      <c r="B81" s="6" t="s">
        <v>34</v>
      </c>
      <c r="C81" s="6" t="str">
        <f>"侯志强"</f>
        <v>侯志强</v>
      </c>
      <c r="D81" s="6" t="str">
        <f>"20200210803"</f>
        <v>20200210803</v>
      </c>
      <c r="E81" s="6">
        <v>98</v>
      </c>
      <c r="F81" s="6">
        <v>88.77</v>
      </c>
      <c r="G81" s="6">
        <v>92.46</v>
      </c>
      <c r="H81" s="6"/>
      <c r="I81" s="6">
        <v>92.46</v>
      </c>
      <c r="J81" s="6">
        <v>83.2</v>
      </c>
      <c r="K81" s="7">
        <f t="shared" si="3"/>
        <v>79.50999999999999</v>
      </c>
    </row>
    <row r="82" spans="1:11" s="2" customFormat="1" ht="21" customHeight="1">
      <c r="A82" s="6">
        <v>79</v>
      </c>
      <c r="B82" s="6" t="s">
        <v>34</v>
      </c>
      <c r="C82" s="6" t="str">
        <f>"丰晨秋"</f>
        <v>丰晨秋</v>
      </c>
      <c r="D82" s="6" t="str">
        <f>"20200209818"</f>
        <v>20200209818</v>
      </c>
      <c r="E82" s="6">
        <v>98.6</v>
      </c>
      <c r="F82" s="6">
        <v>87.34</v>
      </c>
      <c r="G82" s="6">
        <v>91.84</v>
      </c>
      <c r="H82" s="6"/>
      <c r="I82" s="6">
        <v>91.84</v>
      </c>
      <c r="J82" s="6">
        <v>82.8</v>
      </c>
      <c r="K82" s="7">
        <f t="shared" si="3"/>
        <v>79.04</v>
      </c>
    </row>
    <row r="83" spans="1:11" s="2" customFormat="1" ht="21" customHeight="1">
      <c r="A83" s="6">
        <v>80</v>
      </c>
      <c r="B83" s="6" t="s">
        <v>34</v>
      </c>
      <c r="C83" s="6" t="str">
        <f>"曹亮"</f>
        <v>曹亮</v>
      </c>
      <c r="D83" s="6" t="str">
        <f>"20200306816"</f>
        <v>20200306816</v>
      </c>
      <c r="E83" s="6">
        <v>87.35</v>
      </c>
      <c r="F83" s="6">
        <v>95.42</v>
      </c>
      <c r="G83" s="6">
        <v>92.19</v>
      </c>
      <c r="H83" s="6"/>
      <c r="I83" s="6">
        <v>92.19</v>
      </c>
      <c r="J83" s="6">
        <v>82</v>
      </c>
      <c r="K83" s="7">
        <f t="shared" si="3"/>
        <v>78.89500000000001</v>
      </c>
    </row>
    <row r="84" spans="1:11" s="2" customFormat="1" ht="21" customHeight="1">
      <c r="A84" s="6">
        <v>81</v>
      </c>
      <c r="B84" s="6" t="s">
        <v>34</v>
      </c>
      <c r="C84" s="6" t="str">
        <f>"刘春发"</f>
        <v>刘春发</v>
      </c>
      <c r="D84" s="6" t="str">
        <f>"20200209406"</f>
        <v>20200209406</v>
      </c>
      <c r="E84" s="6">
        <v>77.05</v>
      </c>
      <c r="F84" s="6">
        <v>106.48</v>
      </c>
      <c r="G84" s="6">
        <v>94.71</v>
      </c>
      <c r="H84" s="6"/>
      <c r="I84" s="6">
        <v>94.71</v>
      </c>
      <c r="J84" s="6">
        <v>78.6</v>
      </c>
      <c r="K84" s="7">
        <f aca="true" t="shared" si="4" ref="K84:K115">I84/1.2*0.6+J84*0.4</f>
        <v>78.79499999999999</v>
      </c>
    </row>
    <row r="85" spans="1:11" s="2" customFormat="1" ht="21" customHeight="1">
      <c r="A85" s="6">
        <v>82</v>
      </c>
      <c r="B85" s="6" t="s">
        <v>34</v>
      </c>
      <c r="C85" s="6" t="str">
        <f>"马璇"</f>
        <v>马璇</v>
      </c>
      <c r="D85" s="6" t="str">
        <f>"20200209718"</f>
        <v>20200209718</v>
      </c>
      <c r="E85" s="6">
        <v>76.9</v>
      </c>
      <c r="F85" s="6">
        <v>100.38</v>
      </c>
      <c r="G85" s="6">
        <v>90.99</v>
      </c>
      <c r="H85" s="6"/>
      <c r="I85" s="6">
        <v>90.99</v>
      </c>
      <c r="J85" s="6">
        <v>82.8</v>
      </c>
      <c r="K85" s="7">
        <f t="shared" si="4"/>
        <v>78.615</v>
      </c>
    </row>
    <row r="86" spans="1:11" s="2" customFormat="1" ht="21" customHeight="1">
      <c r="A86" s="6">
        <v>83</v>
      </c>
      <c r="B86" s="6" t="s">
        <v>34</v>
      </c>
      <c r="C86" s="6" t="str">
        <f>"许赛南"</f>
        <v>许赛南</v>
      </c>
      <c r="D86" s="6" t="str">
        <f>"20200306806"</f>
        <v>20200306806</v>
      </c>
      <c r="E86" s="6">
        <v>95.65</v>
      </c>
      <c r="F86" s="6">
        <v>91.85</v>
      </c>
      <c r="G86" s="6">
        <v>93.37</v>
      </c>
      <c r="H86" s="6"/>
      <c r="I86" s="6">
        <v>93.37</v>
      </c>
      <c r="J86" s="6">
        <v>79.4</v>
      </c>
      <c r="K86" s="7">
        <f t="shared" si="4"/>
        <v>78.44500000000001</v>
      </c>
    </row>
    <row r="87" spans="1:11" s="2" customFormat="1" ht="21" customHeight="1">
      <c r="A87" s="6">
        <v>84</v>
      </c>
      <c r="B87" s="6" t="s">
        <v>34</v>
      </c>
      <c r="C87" s="6" t="str">
        <f>"刘晔"</f>
        <v>刘晔</v>
      </c>
      <c r="D87" s="6" t="str">
        <f>"20200211405"</f>
        <v>20200211405</v>
      </c>
      <c r="E87" s="6">
        <v>95.85</v>
      </c>
      <c r="F87" s="6">
        <v>88.34</v>
      </c>
      <c r="G87" s="6">
        <v>91.34</v>
      </c>
      <c r="H87" s="6"/>
      <c r="I87" s="6">
        <v>91.34</v>
      </c>
      <c r="J87" s="6">
        <v>81.8</v>
      </c>
      <c r="K87" s="7">
        <f t="shared" si="4"/>
        <v>78.39</v>
      </c>
    </row>
    <row r="88" spans="1:11" s="2" customFormat="1" ht="21" customHeight="1">
      <c r="A88" s="6">
        <v>85</v>
      </c>
      <c r="B88" s="6" t="s">
        <v>35</v>
      </c>
      <c r="C88" s="6" t="str">
        <f>"余志伟"</f>
        <v>余志伟</v>
      </c>
      <c r="D88" s="6" t="str">
        <f>"20200210403"</f>
        <v>20200210403</v>
      </c>
      <c r="E88" s="6">
        <v>95.65</v>
      </c>
      <c r="F88" s="6">
        <v>106.55</v>
      </c>
      <c r="G88" s="6">
        <v>102.19</v>
      </c>
      <c r="H88" s="6"/>
      <c r="I88" s="6">
        <v>102.19</v>
      </c>
      <c r="J88" s="6">
        <v>78.4</v>
      </c>
      <c r="K88" s="7">
        <f t="shared" si="4"/>
        <v>82.455</v>
      </c>
    </row>
    <row r="89" spans="1:11" s="2" customFormat="1" ht="21" customHeight="1">
      <c r="A89" s="6">
        <v>86</v>
      </c>
      <c r="B89" s="6" t="s">
        <v>35</v>
      </c>
      <c r="C89" s="6" t="str">
        <f>"管时锦"</f>
        <v>管时锦</v>
      </c>
      <c r="D89" s="6" t="str">
        <f>"20200306815"</f>
        <v>20200306815</v>
      </c>
      <c r="E89" s="6">
        <v>90.6</v>
      </c>
      <c r="F89" s="6">
        <v>101.09</v>
      </c>
      <c r="G89" s="6">
        <v>96.89</v>
      </c>
      <c r="H89" s="6"/>
      <c r="I89" s="6">
        <v>96.89</v>
      </c>
      <c r="J89" s="6">
        <v>81.2</v>
      </c>
      <c r="K89" s="7">
        <f t="shared" si="4"/>
        <v>80.92500000000001</v>
      </c>
    </row>
    <row r="90" spans="1:11" s="2" customFormat="1" ht="21" customHeight="1">
      <c r="A90" s="6">
        <v>87</v>
      </c>
      <c r="B90" s="6" t="s">
        <v>35</v>
      </c>
      <c r="C90" s="6" t="str">
        <f>"徐婕"</f>
        <v>徐婕</v>
      </c>
      <c r="D90" s="6" t="str">
        <f>"20200210030"</f>
        <v>20200210030</v>
      </c>
      <c r="E90" s="6">
        <v>99.35</v>
      </c>
      <c r="F90" s="6">
        <v>98.49</v>
      </c>
      <c r="G90" s="6">
        <v>98.83</v>
      </c>
      <c r="H90" s="6"/>
      <c r="I90" s="6">
        <v>98.83</v>
      </c>
      <c r="J90" s="6">
        <v>77.8</v>
      </c>
      <c r="K90" s="7">
        <f t="shared" si="4"/>
        <v>80.535</v>
      </c>
    </row>
    <row r="91" spans="1:11" s="2" customFormat="1" ht="21" customHeight="1">
      <c r="A91" s="6">
        <v>88</v>
      </c>
      <c r="B91" s="6" t="s">
        <v>35</v>
      </c>
      <c r="C91" s="6" t="str">
        <f>"郭肖颖"</f>
        <v>郭肖颖</v>
      </c>
      <c r="D91" s="6" t="str">
        <f>"20200306801"</f>
        <v>20200306801</v>
      </c>
      <c r="E91" s="6">
        <v>87.75</v>
      </c>
      <c r="F91" s="6">
        <v>93.02</v>
      </c>
      <c r="G91" s="6">
        <v>90.91</v>
      </c>
      <c r="H91" s="6"/>
      <c r="I91" s="6">
        <v>90.91</v>
      </c>
      <c r="J91" s="6">
        <v>86.6</v>
      </c>
      <c r="K91" s="7">
        <f t="shared" si="4"/>
        <v>80.095</v>
      </c>
    </row>
    <row r="92" spans="1:11" s="2" customFormat="1" ht="21" customHeight="1">
      <c r="A92" s="6">
        <v>89</v>
      </c>
      <c r="B92" s="6" t="s">
        <v>35</v>
      </c>
      <c r="C92" s="6" t="str">
        <f>"段涛"</f>
        <v>段涛</v>
      </c>
      <c r="D92" s="6" t="str">
        <f>"20200209906"</f>
        <v>20200209906</v>
      </c>
      <c r="E92" s="6">
        <v>93.5</v>
      </c>
      <c r="F92" s="6">
        <v>89.57</v>
      </c>
      <c r="G92" s="6">
        <v>91.14</v>
      </c>
      <c r="H92" s="6"/>
      <c r="I92" s="6">
        <v>91.14</v>
      </c>
      <c r="J92" s="6">
        <v>84.4</v>
      </c>
      <c r="K92" s="7">
        <f t="shared" si="4"/>
        <v>79.33000000000001</v>
      </c>
    </row>
    <row r="93" spans="1:11" s="2" customFormat="1" ht="21" customHeight="1">
      <c r="A93" s="6">
        <v>90</v>
      </c>
      <c r="B93" s="6" t="s">
        <v>35</v>
      </c>
      <c r="C93" s="6" t="str">
        <f>"罗运兴"</f>
        <v>罗运兴</v>
      </c>
      <c r="D93" s="6" t="str">
        <f>"20200307008"</f>
        <v>20200307008</v>
      </c>
      <c r="E93" s="6">
        <v>91.5</v>
      </c>
      <c r="F93" s="6">
        <v>94.46</v>
      </c>
      <c r="G93" s="6">
        <v>93.28</v>
      </c>
      <c r="H93" s="6"/>
      <c r="I93" s="6">
        <v>93.28</v>
      </c>
      <c r="J93" s="6">
        <v>81.2</v>
      </c>
      <c r="K93" s="7">
        <f t="shared" si="4"/>
        <v>79.12</v>
      </c>
    </row>
    <row r="94" spans="1:11" s="2" customFormat="1" ht="21" customHeight="1">
      <c r="A94" s="6">
        <v>91</v>
      </c>
      <c r="B94" s="6" t="s">
        <v>35</v>
      </c>
      <c r="C94" s="6" t="str">
        <f>"冯梅梅"</f>
        <v>冯梅梅</v>
      </c>
      <c r="D94" s="6" t="str">
        <f>"20200210405"</f>
        <v>20200210405</v>
      </c>
      <c r="E94" s="6">
        <v>92.45</v>
      </c>
      <c r="F94" s="6">
        <v>92.02</v>
      </c>
      <c r="G94" s="6">
        <v>92.19</v>
      </c>
      <c r="H94" s="6"/>
      <c r="I94" s="6">
        <v>92.19</v>
      </c>
      <c r="J94" s="6">
        <v>82.4</v>
      </c>
      <c r="K94" s="7">
        <f t="shared" si="4"/>
        <v>79.055</v>
      </c>
    </row>
    <row r="95" spans="1:11" s="2" customFormat="1" ht="21" customHeight="1">
      <c r="A95" s="6">
        <v>92</v>
      </c>
      <c r="B95" s="6" t="s">
        <v>35</v>
      </c>
      <c r="C95" s="6" t="str">
        <f>"王琳珺"</f>
        <v>王琳珺</v>
      </c>
      <c r="D95" s="6" t="str">
        <f>"20200210616"</f>
        <v>20200210616</v>
      </c>
      <c r="E95" s="6">
        <v>91</v>
      </c>
      <c r="F95" s="6">
        <v>95.84</v>
      </c>
      <c r="G95" s="6">
        <v>93.9</v>
      </c>
      <c r="H95" s="6"/>
      <c r="I95" s="6">
        <v>93.9</v>
      </c>
      <c r="J95" s="6">
        <v>79</v>
      </c>
      <c r="K95" s="7">
        <f t="shared" si="4"/>
        <v>78.55000000000001</v>
      </c>
    </row>
    <row r="96" spans="1:11" s="2" customFormat="1" ht="21" customHeight="1">
      <c r="A96" s="6">
        <v>93</v>
      </c>
      <c r="B96" s="6" t="s">
        <v>36</v>
      </c>
      <c r="C96" s="6" t="str">
        <f>"魏诗雨"</f>
        <v>魏诗雨</v>
      </c>
      <c r="D96" s="6" t="str">
        <f>"20200100821"</f>
        <v>20200100821</v>
      </c>
      <c r="E96" s="6">
        <v>97.15</v>
      </c>
      <c r="F96" s="6">
        <v>103.64</v>
      </c>
      <c r="G96" s="6">
        <v>101.04</v>
      </c>
      <c r="H96" s="6"/>
      <c r="I96" s="6">
        <v>101.04</v>
      </c>
      <c r="J96" s="6">
        <v>83.4</v>
      </c>
      <c r="K96" s="7">
        <f t="shared" si="4"/>
        <v>83.88000000000001</v>
      </c>
    </row>
    <row r="97" spans="1:11" s="2" customFormat="1" ht="21" customHeight="1">
      <c r="A97" s="6">
        <v>94</v>
      </c>
      <c r="B97" s="6" t="s">
        <v>36</v>
      </c>
      <c r="C97" s="6" t="str">
        <f>"苏韩"</f>
        <v>苏韩</v>
      </c>
      <c r="D97" s="6" t="str">
        <f>"20200211827"</f>
        <v>20200211827</v>
      </c>
      <c r="E97" s="6">
        <v>96.6</v>
      </c>
      <c r="F97" s="6">
        <v>91.8</v>
      </c>
      <c r="G97" s="6">
        <v>93.72</v>
      </c>
      <c r="H97" s="6"/>
      <c r="I97" s="6">
        <v>93.72</v>
      </c>
      <c r="J97" s="6">
        <v>85.4</v>
      </c>
      <c r="K97" s="7">
        <f t="shared" si="4"/>
        <v>81.02000000000001</v>
      </c>
    </row>
    <row r="98" spans="1:11" s="2" customFormat="1" ht="21" customHeight="1">
      <c r="A98" s="6">
        <v>95</v>
      </c>
      <c r="B98" s="6" t="s">
        <v>36</v>
      </c>
      <c r="C98" s="6" t="str">
        <f>"贾茹梦"</f>
        <v>贾茹梦</v>
      </c>
      <c r="D98" s="6" t="str">
        <f>"20200101112"</f>
        <v>20200101112</v>
      </c>
      <c r="E98" s="6">
        <v>97.3</v>
      </c>
      <c r="F98" s="6">
        <v>85.64</v>
      </c>
      <c r="G98" s="6">
        <v>90.3</v>
      </c>
      <c r="H98" s="6"/>
      <c r="I98" s="6">
        <v>90.3</v>
      </c>
      <c r="J98" s="6">
        <v>82.8</v>
      </c>
      <c r="K98" s="7">
        <f t="shared" si="4"/>
        <v>78.27</v>
      </c>
    </row>
    <row r="99" spans="1:11" s="2" customFormat="1" ht="21" customHeight="1">
      <c r="A99" s="6">
        <v>96</v>
      </c>
      <c r="B99" s="6" t="s">
        <v>36</v>
      </c>
      <c r="C99" s="6" t="str">
        <f>"吕娜利"</f>
        <v>吕娜利</v>
      </c>
      <c r="D99" s="6" t="str">
        <f>"20200101217"</f>
        <v>20200101217</v>
      </c>
      <c r="E99" s="6">
        <v>90.4</v>
      </c>
      <c r="F99" s="6">
        <v>88.68</v>
      </c>
      <c r="G99" s="6">
        <v>89.37</v>
      </c>
      <c r="H99" s="6"/>
      <c r="I99" s="6">
        <v>89.37</v>
      </c>
      <c r="J99" s="6">
        <v>81.6</v>
      </c>
      <c r="K99" s="7">
        <f t="shared" si="4"/>
        <v>77.325</v>
      </c>
    </row>
    <row r="100" spans="1:11" s="2" customFormat="1" ht="21" customHeight="1">
      <c r="A100" s="6">
        <v>97</v>
      </c>
      <c r="B100" s="6" t="s">
        <v>36</v>
      </c>
      <c r="C100" s="6" t="str">
        <f>"卢晚情"</f>
        <v>卢晚情</v>
      </c>
      <c r="D100" s="6" t="str">
        <f>"20200100830"</f>
        <v>20200100830</v>
      </c>
      <c r="E100" s="6">
        <v>92.2</v>
      </c>
      <c r="F100" s="6">
        <v>82.14</v>
      </c>
      <c r="G100" s="6">
        <v>86.16</v>
      </c>
      <c r="H100" s="6"/>
      <c r="I100" s="6">
        <v>86.16</v>
      </c>
      <c r="J100" s="6">
        <v>85.6</v>
      </c>
      <c r="K100" s="7">
        <f t="shared" si="4"/>
        <v>77.32</v>
      </c>
    </row>
    <row r="101" spans="1:11" s="2" customFormat="1" ht="21" customHeight="1">
      <c r="A101" s="6">
        <v>98</v>
      </c>
      <c r="B101" s="6" t="s">
        <v>36</v>
      </c>
      <c r="C101" s="6" t="str">
        <f>"葛瑞雪"</f>
        <v>葛瑞雪</v>
      </c>
      <c r="D101" s="6" t="str">
        <f>"20200100916"</f>
        <v>20200100916</v>
      </c>
      <c r="E101" s="6">
        <v>89.7</v>
      </c>
      <c r="F101" s="6">
        <v>84.02</v>
      </c>
      <c r="G101" s="6">
        <v>86.29</v>
      </c>
      <c r="H101" s="6"/>
      <c r="I101" s="6">
        <v>86.29</v>
      </c>
      <c r="J101" s="6">
        <v>85.4</v>
      </c>
      <c r="K101" s="7">
        <f t="shared" si="4"/>
        <v>77.305</v>
      </c>
    </row>
    <row r="102" spans="1:11" s="2" customFormat="1" ht="21" customHeight="1">
      <c r="A102" s="6">
        <v>99</v>
      </c>
      <c r="B102" s="6" t="s">
        <v>36</v>
      </c>
      <c r="C102" s="6" t="str">
        <f>"韩庆素"</f>
        <v>韩庆素</v>
      </c>
      <c r="D102" s="6" t="str">
        <f>"20200100507"</f>
        <v>20200100507</v>
      </c>
      <c r="E102" s="6">
        <v>93.7</v>
      </c>
      <c r="F102" s="6">
        <v>84.88</v>
      </c>
      <c r="G102" s="6">
        <v>88.41</v>
      </c>
      <c r="H102" s="6"/>
      <c r="I102" s="6">
        <v>88.41</v>
      </c>
      <c r="J102" s="6">
        <v>82.4</v>
      </c>
      <c r="K102" s="7">
        <f t="shared" si="4"/>
        <v>77.16499999999999</v>
      </c>
    </row>
    <row r="103" spans="1:11" s="2" customFormat="1" ht="21" customHeight="1">
      <c r="A103" s="6">
        <v>100</v>
      </c>
      <c r="B103" s="6" t="s">
        <v>37</v>
      </c>
      <c r="C103" s="6" t="str">
        <f>"聂建梅"</f>
        <v>聂建梅</v>
      </c>
      <c r="D103" s="6" t="str">
        <f>"20200100116"</f>
        <v>20200100116</v>
      </c>
      <c r="E103" s="6">
        <v>90.6</v>
      </c>
      <c r="F103" s="6">
        <v>94.64</v>
      </c>
      <c r="G103" s="6">
        <v>93.02</v>
      </c>
      <c r="H103" s="6"/>
      <c r="I103" s="6">
        <v>93.02</v>
      </c>
      <c r="J103" s="6">
        <v>86.5</v>
      </c>
      <c r="K103" s="7">
        <f t="shared" si="4"/>
        <v>81.11</v>
      </c>
    </row>
    <row r="104" spans="1:11" s="2" customFormat="1" ht="21" customHeight="1">
      <c r="A104" s="6">
        <v>101</v>
      </c>
      <c r="B104" s="6" t="s">
        <v>37</v>
      </c>
      <c r="C104" s="6" t="str">
        <f>"王欢"</f>
        <v>王欢</v>
      </c>
      <c r="D104" s="6" t="str">
        <f>"20200101401"</f>
        <v>20200101401</v>
      </c>
      <c r="E104" s="6">
        <v>95.35</v>
      </c>
      <c r="F104" s="6">
        <v>92.86</v>
      </c>
      <c r="G104" s="6">
        <v>93.86</v>
      </c>
      <c r="H104" s="6"/>
      <c r="I104" s="6">
        <v>93.86</v>
      </c>
      <c r="J104" s="6">
        <v>85.2</v>
      </c>
      <c r="K104" s="7">
        <f t="shared" si="4"/>
        <v>81.01</v>
      </c>
    </row>
    <row r="105" spans="1:11" s="2" customFormat="1" ht="21" customHeight="1">
      <c r="A105" s="6">
        <v>102</v>
      </c>
      <c r="B105" s="6" t="s">
        <v>37</v>
      </c>
      <c r="C105" s="6" t="str">
        <f>"刘涛"</f>
        <v>刘涛</v>
      </c>
      <c r="D105" s="6" t="str">
        <f>"20200101416"</f>
        <v>20200101416</v>
      </c>
      <c r="E105" s="6">
        <v>92.1</v>
      </c>
      <c r="F105" s="6">
        <v>95.38</v>
      </c>
      <c r="G105" s="6">
        <v>94.07</v>
      </c>
      <c r="H105" s="6"/>
      <c r="I105" s="6">
        <v>94.07</v>
      </c>
      <c r="J105" s="6">
        <v>84.8</v>
      </c>
      <c r="K105" s="7">
        <f t="shared" si="4"/>
        <v>80.955</v>
      </c>
    </row>
    <row r="106" spans="1:11" s="2" customFormat="1" ht="21" customHeight="1">
      <c r="A106" s="6">
        <v>103</v>
      </c>
      <c r="B106" s="6" t="s">
        <v>37</v>
      </c>
      <c r="C106" s="6" t="str">
        <f>"邹文"</f>
        <v>邹文</v>
      </c>
      <c r="D106" s="6" t="str">
        <f>"20200100828"</f>
        <v>20200100828</v>
      </c>
      <c r="E106" s="6">
        <v>96.55</v>
      </c>
      <c r="F106" s="6">
        <v>89.82</v>
      </c>
      <c r="G106" s="6">
        <v>92.51</v>
      </c>
      <c r="H106" s="6"/>
      <c r="I106" s="6">
        <v>92.51</v>
      </c>
      <c r="J106" s="6">
        <v>85</v>
      </c>
      <c r="K106" s="7">
        <f t="shared" si="4"/>
        <v>80.255</v>
      </c>
    </row>
    <row r="107" spans="1:11" s="2" customFormat="1" ht="21" customHeight="1">
      <c r="A107" s="6">
        <v>104</v>
      </c>
      <c r="B107" s="6" t="s">
        <v>37</v>
      </c>
      <c r="C107" s="6" t="str">
        <f>"杨曼丽"</f>
        <v>杨曼丽</v>
      </c>
      <c r="D107" s="6" t="str">
        <f>"20200100701"</f>
        <v>20200100701</v>
      </c>
      <c r="E107" s="6">
        <v>96.4</v>
      </c>
      <c r="F107" s="6">
        <v>90.52</v>
      </c>
      <c r="G107" s="6">
        <v>92.87</v>
      </c>
      <c r="H107" s="6"/>
      <c r="I107" s="6">
        <v>92.87</v>
      </c>
      <c r="J107" s="6">
        <v>83.4</v>
      </c>
      <c r="K107" s="7">
        <f t="shared" si="4"/>
        <v>79.79500000000002</v>
      </c>
    </row>
    <row r="108" spans="1:11" s="2" customFormat="1" ht="21" customHeight="1">
      <c r="A108" s="6">
        <v>105</v>
      </c>
      <c r="B108" s="6" t="s">
        <v>37</v>
      </c>
      <c r="C108" s="6" t="str">
        <f>"张婷婷"</f>
        <v>张婷婷</v>
      </c>
      <c r="D108" s="6" t="str">
        <f>"20200100307"</f>
        <v>20200100307</v>
      </c>
      <c r="E108" s="6">
        <v>96.7</v>
      </c>
      <c r="F108" s="6">
        <v>90.74</v>
      </c>
      <c r="G108" s="6">
        <v>93.12</v>
      </c>
      <c r="H108" s="6"/>
      <c r="I108" s="6">
        <v>93.12</v>
      </c>
      <c r="J108" s="6">
        <v>82.4</v>
      </c>
      <c r="K108" s="7">
        <f t="shared" si="4"/>
        <v>79.52000000000001</v>
      </c>
    </row>
    <row r="109" spans="1:11" s="2" customFormat="1" ht="21" customHeight="1">
      <c r="A109" s="6">
        <v>106</v>
      </c>
      <c r="B109" s="6" t="s">
        <v>37</v>
      </c>
      <c r="C109" s="6" t="str">
        <f>"陶荣伟"</f>
        <v>陶荣伟</v>
      </c>
      <c r="D109" s="6" t="str">
        <f>"20200101010"</f>
        <v>20200101010</v>
      </c>
      <c r="E109" s="6">
        <v>93.4</v>
      </c>
      <c r="F109" s="6">
        <v>91.46</v>
      </c>
      <c r="G109" s="6">
        <v>92.24</v>
      </c>
      <c r="H109" s="6"/>
      <c r="I109" s="6">
        <v>92.24</v>
      </c>
      <c r="J109" s="6">
        <v>82.4</v>
      </c>
      <c r="K109" s="7">
        <f t="shared" si="4"/>
        <v>79.08</v>
      </c>
    </row>
    <row r="110" spans="1:11" s="2" customFormat="1" ht="21" customHeight="1">
      <c r="A110" s="6">
        <v>107</v>
      </c>
      <c r="B110" s="6" t="s">
        <v>38</v>
      </c>
      <c r="C110" s="6" t="str">
        <f>"刘倩倩"</f>
        <v>刘倩倩</v>
      </c>
      <c r="D110" s="6" t="str">
        <f>"20200105309"</f>
        <v>20200105309</v>
      </c>
      <c r="E110" s="6">
        <v>89.8</v>
      </c>
      <c r="F110" s="6">
        <v>84.72</v>
      </c>
      <c r="G110" s="6">
        <v>86.75</v>
      </c>
      <c r="H110" s="6"/>
      <c r="I110" s="6">
        <v>86.75</v>
      </c>
      <c r="J110" s="6">
        <v>81.04</v>
      </c>
      <c r="K110" s="7">
        <f t="shared" si="4"/>
        <v>75.791</v>
      </c>
    </row>
    <row r="111" spans="1:11" s="2" customFormat="1" ht="21" customHeight="1">
      <c r="A111" s="6">
        <v>108</v>
      </c>
      <c r="B111" s="6" t="s">
        <v>38</v>
      </c>
      <c r="C111" s="6" t="str">
        <f>"高佳慧"</f>
        <v>高佳慧</v>
      </c>
      <c r="D111" s="6" t="str">
        <f>"20200105526"</f>
        <v>20200105526</v>
      </c>
      <c r="E111" s="6">
        <v>80.85</v>
      </c>
      <c r="F111" s="6">
        <v>85.57</v>
      </c>
      <c r="G111" s="6">
        <v>83.68</v>
      </c>
      <c r="H111" s="6"/>
      <c r="I111" s="6">
        <v>83.68</v>
      </c>
      <c r="J111" s="6">
        <v>84.82</v>
      </c>
      <c r="K111" s="7">
        <f t="shared" si="4"/>
        <v>75.768</v>
      </c>
    </row>
    <row r="112" spans="1:11" s="2" customFormat="1" ht="21" customHeight="1">
      <c r="A112" s="6">
        <v>109</v>
      </c>
      <c r="B112" s="6" t="s">
        <v>38</v>
      </c>
      <c r="C112" s="6" t="str">
        <f>"段席席"</f>
        <v>段席席</v>
      </c>
      <c r="D112" s="6" t="str">
        <f>"20200105318"</f>
        <v>20200105318</v>
      </c>
      <c r="E112" s="6">
        <v>78.65</v>
      </c>
      <c r="F112" s="6">
        <v>85.38</v>
      </c>
      <c r="G112" s="6">
        <v>82.69</v>
      </c>
      <c r="H112" s="6"/>
      <c r="I112" s="6">
        <v>82.69</v>
      </c>
      <c r="J112" s="6">
        <v>82</v>
      </c>
      <c r="K112" s="7">
        <f t="shared" si="4"/>
        <v>74.14500000000001</v>
      </c>
    </row>
    <row r="113" spans="1:11" s="2" customFormat="1" ht="21" customHeight="1">
      <c r="A113" s="6">
        <v>110</v>
      </c>
      <c r="B113" s="6" t="s">
        <v>38</v>
      </c>
      <c r="C113" s="6" t="str">
        <f>"冉胜男"</f>
        <v>冉胜男</v>
      </c>
      <c r="D113" s="6" t="str">
        <f>"20200211710"</f>
        <v>20200211710</v>
      </c>
      <c r="E113" s="6">
        <v>77.65</v>
      </c>
      <c r="F113" s="6">
        <v>81.82</v>
      </c>
      <c r="G113" s="6">
        <v>80.15</v>
      </c>
      <c r="H113" s="6"/>
      <c r="I113" s="6">
        <v>80.15</v>
      </c>
      <c r="J113" s="6">
        <v>82.46</v>
      </c>
      <c r="K113" s="7">
        <f t="shared" si="4"/>
        <v>73.059</v>
      </c>
    </row>
    <row r="114" spans="1:11" s="2" customFormat="1" ht="21" customHeight="1">
      <c r="A114" s="6">
        <v>111</v>
      </c>
      <c r="B114" s="6" t="s">
        <v>38</v>
      </c>
      <c r="C114" s="6" t="str">
        <f>"张彤彤"</f>
        <v>张彤彤</v>
      </c>
      <c r="D114" s="6" t="str">
        <f>"20200105506"</f>
        <v>20200105506</v>
      </c>
      <c r="E114" s="6">
        <v>86.25</v>
      </c>
      <c r="F114" s="6">
        <v>78.05</v>
      </c>
      <c r="G114" s="6">
        <v>81.33</v>
      </c>
      <c r="H114" s="6"/>
      <c r="I114" s="6">
        <v>81.33</v>
      </c>
      <c r="J114" s="6">
        <v>80.9</v>
      </c>
      <c r="K114" s="7">
        <f t="shared" si="4"/>
        <v>73.025</v>
      </c>
    </row>
    <row r="115" spans="1:11" s="2" customFormat="1" ht="21" customHeight="1">
      <c r="A115" s="6">
        <v>112</v>
      </c>
      <c r="B115" s="6" t="s">
        <v>38</v>
      </c>
      <c r="C115" s="6" t="str">
        <f>"薛梦"</f>
        <v>薛梦</v>
      </c>
      <c r="D115" s="6" t="str">
        <f>"20200105326"</f>
        <v>20200105326</v>
      </c>
      <c r="E115" s="6">
        <v>88.9</v>
      </c>
      <c r="F115" s="6">
        <v>82.3</v>
      </c>
      <c r="G115" s="6">
        <v>84.94</v>
      </c>
      <c r="H115" s="6"/>
      <c r="I115" s="6">
        <v>84.94</v>
      </c>
      <c r="J115" s="6">
        <v>76.2</v>
      </c>
      <c r="K115" s="7">
        <f t="shared" si="4"/>
        <v>72.95</v>
      </c>
    </row>
    <row r="116" spans="1:11" s="2" customFormat="1" ht="21" customHeight="1">
      <c r="A116" s="6">
        <v>113</v>
      </c>
      <c r="B116" s="6" t="s">
        <v>38</v>
      </c>
      <c r="C116" s="6" t="str">
        <f>"卞若楠"</f>
        <v>卞若楠</v>
      </c>
      <c r="D116" s="6" t="str">
        <f>"20200105512"</f>
        <v>20200105512</v>
      </c>
      <c r="E116" s="6">
        <v>84.1</v>
      </c>
      <c r="F116" s="6">
        <v>74.52</v>
      </c>
      <c r="G116" s="6">
        <v>78.35</v>
      </c>
      <c r="H116" s="6"/>
      <c r="I116" s="6">
        <v>78.35</v>
      </c>
      <c r="J116" s="6">
        <v>79.3</v>
      </c>
      <c r="K116" s="7">
        <f aca="true" t="shared" si="5" ref="K116:K147">I116/1.2*0.6+J116*0.4</f>
        <v>70.89500000000001</v>
      </c>
    </row>
    <row r="117" spans="1:11" s="2" customFormat="1" ht="21" customHeight="1">
      <c r="A117" s="6">
        <v>114</v>
      </c>
      <c r="B117" s="6" t="s">
        <v>39</v>
      </c>
      <c r="C117" s="6" t="str">
        <f>"马丽丽"</f>
        <v>马丽丽</v>
      </c>
      <c r="D117" s="6" t="str">
        <f>"20200105417"</f>
        <v>20200105417</v>
      </c>
      <c r="E117" s="6">
        <v>91.95</v>
      </c>
      <c r="F117" s="6">
        <v>91.17</v>
      </c>
      <c r="G117" s="6">
        <v>91.48</v>
      </c>
      <c r="H117" s="6"/>
      <c r="I117" s="6">
        <v>91.48</v>
      </c>
      <c r="J117" s="6">
        <v>78.24</v>
      </c>
      <c r="K117" s="7">
        <f t="shared" si="5"/>
        <v>77.036</v>
      </c>
    </row>
    <row r="118" spans="1:11" s="2" customFormat="1" ht="21" customHeight="1">
      <c r="A118" s="6">
        <v>115</v>
      </c>
      <c r="B118" s="6" t="s">
        <v>39</v>
      </c>
      <c r="C118" s="6" t="str">
        <f>"张振威"</f>
        <v>张振威</v>
      </c>
      <c r="D118" s="6" t="str">
        <f>"20200105209"</f>
        <v>20200105209</v>
      </c>
      <c r="E118" s="6">
        <v>89.3</v>
      </c>
      <c r="F118" s="6">
        <v>71.51</v>
      </c>
      <c r="G118" s="6">
        <v>78.63</v>
      </c>
      <c r="H118" s="6"/>
      <c r="I118" s="6">
        <v>78.63</v>
      </c>
      <c r="J118" s="6">
        <v>84.3</v>
      </c>
      <c r="K118" s="7">
        <f t="shared" si="5"/>
        <v>73.035</v>
      </c>
    </row>
    <row r="119" spans="1:11" s="2" customFormat="1" ht="21" customHeight="1">
      <c r="A119" s="6">
        <v>116</v>
      </c>
      <c r="B119" s="6" t="s">
        <v>39</v>
      </c>
      <c r="C119" s="6" t="str">
        <f>"闫曼丽"</f>
        <v>闫曼丽</v>
      </c>
      <c r="D119" s="6" t="str">
        <f>"20200105401"</f>
        <v>20200105401</v>
      </c>
      <c r="E119" s="6">
        <v>88.15</v>
      </c>
      <c r="F119" s="6">
        <v>79.16</v>
      </c>
      <c r="G119" s="6">
        <v>82.76</v>
      </c>
      <c r="H119" s="6"/>
      <c r="I119" s="6">
        <v>82.76</v>
      </c>
      <c r="J119" s="6">
        <v>78</v>
      </c>
      <c r="K119" s="7">
        <f t="shared" si="5"/>
        <v>72.58000000000001</v>
      </c>
    </row>
    <row r="120" spans="1:11" s="2" customFormat="1" ht="21" customHeight="1">
      <c r="A120" s="6">
        <v>117</v>
      </c>
      <c r="B120" s="6" t="s">
        <v>39</v>
      </c>
      <c r="C120" s="6" t="str">
        <f>"岳程程"</f>
        <v>岳程程</v>
      </c>
      <c r="D120" s="6" t="str">
        <f>"20200105415"</f>
        <v>20200105415</v>
      </c>
      <c r="E120" s="6">
        <v>81.5</v>
      </c>
      <c r="F120" s="6">
        <v>81.07</v>
      </c>
      <c r="G120" s="6">
        <v>81.24</v>
      </c>
      <c r="H120" s="6"/>
      <c r="I120" s="6">
        <v>81.24</v>
      </c>
      <c r="J120" s="6">
        <v>78.3</v>
      </c>
      <c r="K120" s="7">
        <f t="shared" si="5"/>
        <v>71.94</v>
      </c>
    </row>
    <row r="121" spans="1:11" s="2" customFormat="1" ht="21" customHeight="1">
      <c r="A121" s="6">
        <v>118</v>
      </c>
      <c r="B121" s="6" t="s">
        <v>39</v>
      </c>
      <c r="C121" s="6" t="str">
        <f>"孙博扬"</f>
        <v>孙博扬</v>
      </c>
      <c r="D121" s="6" t="str">
        <f>"20200105302"</f>
        <v>20200105302</v>
      </c>
      <c r="E121" s="6">
        <v>76.15</v>
      </c>
      <c r="F121" s="6">
        <v>79.68</v>
      </c>
      <c r="G121" s="6">
        <v>78.27</v>
      </c>
      <c r="H121" s="6"/>
      <c r="I121" s="6">
        <v>78.27</v>
      </c>
      <c r="J121" s="6">
        <v>80.62</v>
      </c>
      <c r="K121" s="7">
        <f t="shared" si="5"/>
        <v>71.38300000000001</v>
      </c>
    </row>
    <row r="122" spans="1:11" s="2" customFormat="1" ht="21" customHeight="1">
      <c r="A122" s="6">
        <v>119</v>
      </c>
      <c r="B122" s="6" t="s">
        <v>39</v>
      </c>
      <c r="C122" s="6" t="str">
        <f>"荣欢"</f>
        <v>荣欢</v>
      </c>
      <c r="D122" s="6" t="str">
        <f>"20200105503"</f>
        <v>20200105503</v>
      </c>
      <c r="E122" s="6">
        <v>75.8</v>
      </c>
      <c r="F122" s="6">
        <v>78.06</v>
      </c>
      <c r="G122" s="6">
        <v>77.16</v>
      </c>
      <c r="H122" s="6"/>
      <c r="I122" s="6">
        <v>77.16</v>
      </c>
      <c r="J122" s="6">
        <v>80.7</v>
      </c>
      <c r="K122" s="7">
        <f t="shared" si="5"/>
        <v>70.86</v>
      </c>
    </row>
    <row r="123" spans="1:11" s="2" customFormat="1" ht="21" customHeight="1">
      <c r="A123" s="6">
        <v>120</v>
      </c>
      <c r="B123" s="6" t="s">
        <v>40</v>
      </c>
      <c r="C123" s="6" t="str">
        <f>"吕孟祥"</f>
        <v>吕孟祥</v>
      </c>
      <c r="D123" s="6" t="str">
        <f>"20200104916"</f>
        <v>20200104916</v>
      </c>
      <c r="E123" s="6">
        <v>95.05</v>
      </c>
      <c r="F123" s="6">
        <v>96.4</v>
      </c>
      <c r="G123" s="6">
        <v>95.86</v>
      </c>
      <c r="H123" s="6"/>
      <c r="I123" s="6">
        <v>95.86</v>
      </c>
      <c r="J123" s="6">
        <v>82.6</v>
      </c>
      <c r="K123" s="7">
        <f t="shared" si="5"/>
        <v>80.97</v>
      </c>
    </row>
    <row r="124" spans="1:11" s="2" customFormat="1" ht="21" customHeight="1">
      <c r="A124" s="6">
        <v>121</v>
      </c>
      <c r="B124" s="6" t="s">
        <v>40</v>
      </c>
      <c r="C124" s="6" t="str">
        <f>"孙玲玲"</f>
        <v>孙玲玲</v>
      </c>
      <c r="D124" s="6" t="str">
        <f>"20200104904"</f>
        <v>20200104904</v>
      </c>
      <c r="E124" s="6">
        <v>93.7</v>
      </c>
      <c r="F124" s="6">
        <v>91.71</v>
      </c>
      <c r="G124" s="6">
        <v>92.51</v>
      </c>
      <c r="H124" s="6"/>
      <c r="I124" s="6">
        <v>92.51</v>
      </c>
      <c r="J124" s="6">
        <v>82.5</v>
      </c>
      <c r="K124" s="7">
        <f t="shared" si="5"/>
        <v>79.255</v>
      </c>
    </row>
    <row r="125" spans="1:11" s="2" customFormat="1" ht="21" customHeight="1">
      <c r="A125" s="6">
        <v>122</v>
      </c>
      <c r="B125" s="6" t="s">
        <v>40</v>
      </c>
      <c r="C125" s="6" t="str">
        <f>"张梦楠"</f>
        <v>张梦楠</v>
      </c>
      <c r="D125" s="6" t="str">
        <f>"20200105129"</f>
        <v>20200105129</v>
      </c>
      <c r="E125" s="6">
        <v>89.65</v>
      </c>
      <c r="F125" s="6">
        <v>88.04</v>
      </c>
      <c r="G125" s="6">
        <v>88.68</v>
      </c>
      <c r="H125" s="6"/>
      <c r="I125" s="6">
        <v>88.68</v>
      </c>
      <c r="J125" s="6">
        <v>84</v>
      </c>
      <c r="K125" s="7">
        <f t="shared" si="5"/>
        <v>77.94</v>
      </c>
    </row>
    <row r="126" spans="1:11" s="2" customFormat="1" ht="21" customHeight="1">
      <c r="A126" s="6">
        <v>123</v>
      </c>
      <c r="B126" s="6" t="s">
        <v>40</v>
      </c>
      <c r="C126" s="6" t="str">
        <f>"张庭芳"</f>
        <v>张庭芳</v>
      </c>
      <c r="D126" s="6" t="str">
        <f>"20200104917"</f>
        <v>20200104917</v>
      </c>
      <c r="E126" s="6">
        <v>89.8</v>
      </c>
      <c r="F126" s="6">
        <v>88.66</v>
      </c>
      <c r="G126" s="6">
        <v>89.12</v>
      </c>
      <c r="H126" s="6"/>
      <c r="I126" s="6">
        <v>89.12</v>
      </c>
      <c r="J126" s="6">
        <v>82.4</v>
      </c>
      <c r="K126" s="7">
        <f t="shared" si="5"/>
        <v>77.52000000000001</v>
      </c>
    </row>
    <row r="127" spans="1:11" s="2" customFormat="1" ht="21" customHeight="1">
      <c r="A127" s="6">
        <v>124</v>
      </c>
      <c r="B127" s="6" t="s">
        <v>40</v>
      </c>
      <c r="C127" s="6" t="str">
        <f>"马晨阳"</f>
        <v>马晨阳</v>
      </c>
      <c r="D127" s="6" t="str">
        <f>"20200104221"</f>
        <v>20200104221</v>
      </c>
      <c r="E127" s="6">
        <v>86.8</v>
      </c>
      <c r="F127" s="6">
        <v>86.28</v>
      </c>
      <c r="G127" s="6">
        <v>86.49</v>
      </c>
      <c r="H127" s="6"/>
      <c r="I127" s="6">
        <v>86.49</v>
      </c>
      <c r="J127" s="6">
        <v>84.3</v>
      </c>
      <c r="K127" s="7">
        <f t="shared" si="5"/>
        <v>76.965</v>
      </c>
    </row>
    <row r="128" spans="1:11" s="2" customFormat="1" ht="21" customHeight="1">
      <c r="A128" s="6">
        <v>125</v>
      </c>
      <c r="B128" s="6" t="s">
        <v>40</v>
      </c>
      <c r="C128" s="6" t="str">
        <f>"李伟哲"</f>
        <v>李伟哲</v>
      </c>
      <c r="D128" s="6" t="str">
        <f>"20200105106"</f>
        <v>20200105106</v>
      </c>
      <c r="E128" s="6">
        <v>88.85</v>
      </c>
      <c r="F128" s="6">
        <v>86.34</v>
      </c>
      <c r="G128" s="6">
        <v>87.34</v>
      </c>
      <c r="H128" s="6"/>
      <c r="I128" s="6">
        <v>87.34</v>
      </c>
      <c r="J128" s="6">
        <v>83.2</v>
      </c>
      <c r="K128" s="7">
        <f t="shared" si="5"/>
        <v>76.95000000000002</v>
      </c>
    </row>
    <row r="129" spans="1:11" s="2" customFormat="1" ht="21" customHeight="1">
      <c r="A129" s="6">
        <v>126</v>
      </c>
      <c r="B129" s="6" t="s">
        <v>40</v>
      </c>
      <c r="C129" s="6" t="str">
        <f>"张曼丽"</f>
        <v>张曼丽</v>
      </c>
      <c r="D129" s="6" t="str">
        <f>"20200104130"</f>
        <v>20200104130</v>
      </c>
      <c r="E129" s="6">
        <v>83.8</v>
      </c>
      <c r="F129" s="6">
        <v>84.21</v>
      </c>
      <c r="G129" s="6">
        <v>84.05</v>
      </c>
      <c r="H129" s="6"/>
      <c r="I129" s="6">
        <v>84.05</v>
      </c>
      <c r="J129" s="6">
        <v>84</v>
      </c>
      <c r="K129" s="7">
        <f t="shared" si="5"/>
        <v>75.625</v>
      </c>
    </row>
    <row r="130" spans="1:11" s="2" customFormat="1" ht="21" customHeight="1">
      <c r="A130" s="6">
        <v>127</v>
      </c>
      <c r="B130" s="6" t="s">
        <v>41</v>
      </c>
      <c r="C130" s="6" t="str">
        <f>"谢珍"</f>
        <v>谢珍</v>
      </c>
      <c r="D130" s="6" t="str">
        <f>"20200212215"</f>
        <v>20200212215</v>
      </c>
      <c r="E130" s="6">
        <v>93.3</v>
      </c>
      <c r="F130" s="6">
        <v>88.29</v>
      </c>
      <c r="G130" s="6">
        <v>90.29</v>
      </c>
      <c r="H130" s="6"/>
      <c r="I130" s="6">
        <v>90.29</v>
      </c>
      <c r="J130" s="6">
        <v>86.3</v>
      </c>
      <c r="K130" s="7">
        <f t="shared" si="5"/>
        <v>79.665</v>
      </c>
    </row>
    <row r="131" spans="1:11" s="2" customFormat="1" ht="21" customHeight="1">
      <c r="A131" s="6">
        <v>128</v>
      </c>
      <c r="B131" s="6" t="s">
        <v>41</v>
      </c>
      <c r="C131" s="6" t="str">
        <f>"郭超"</f>
        <v>郭超</v>
      </c>
      <c r="D131" s="6" t="str">
        <f>"20200104714"</f>
        <v>20200104714</v>
      </c>
      <c r="E131" s="6">
        <v>88.45</v>
      </c>
      <c r="F131" s="6">
        <v>94.56</v>
      </c>
      <c r="G131" s="6">
        <v>92.12</v>
      </c>
      <c r="H131" s="6"/>
      <c r="I131" s="6">
        <v>92.12</v>
      </c>
      <c r="J131" s="6">
        <v>83.3</v>
      </c>
      <c r="K131" s="7">
        <f t="shared" si="5"/>
        <v>79.38000000000001</v>
      </c>
    </row>
    <row r="132" spans="1:11" s="2" customFormat="1" ht="21" customHeight="1">
      <c r="A132" s="6">
        <v>129</v>
      </c>
      <c r="B132" s="6" t="s">
        <v>41</v>
      </c>
      <c r="C132" s="6" t="str">
        <f>"张冬"</f>
        <v>张冬</v>
      </c>
      <c r="D132" s="6" t="str">
        <f>"20200105016"</f>
        <v>20200105016</v>
      </c>
      <c r="E132" s="6">
        <v>97.4</v>
      </c>
      <c r="F132" s="6">
        <v>89.59</v>
      </c>
      <c r="G132" s="6">
        <v>92.71</v>
      </c>
      <c r="H132" s="6"/>
      <c r="I132" s="6">
        <v>92.71</v>
      </c>
      <c r="J132" s="6">
        <v>82.2</v>
      </c>
      <c r="K132" s="7">
        <f t="shared" si="5"/>
        <v>79.235</v>
      </c>
    </row>
    <row r="133" spans="1:11" s="2" customFormat="1" ht="21" customHeight="1">
      <c r="A133" s="6">
        <v>130</v>
      </c>
      <c r="B133" s="6" t="s">
        <v>41</v>
      </c>
      <c r="C133" s="6" t="str">
        <f>"陆星星"</f>
        <v>陆星星</v>
      </c>
      <c r="D133" s="6" t="str">
        <f>"20200104707"</f>
        <v>20200104707</v>
      </c>
      <c r="E133" s="6">
        <v>94</v>
      </c>
      <c r="F133" s="6">
        <v>90.3</v>
      </c>
      <c r="G133" s="6">
        <v>91.78</v>
      </c>
      <c r="H133" s="6"/>
      <c r="I133" s="6">
        <v>91.78</v>
      </c>
      <c r="J133" s="6">
        <v>82.2</v>
      </c>
      <c r="K133" s="7">
        <f t="shared" si="5"/>
        <v>78.77000000000001</v>
      </c>
    </row>
    <row r="134" spans="1:11" s="2" customFormat="1" ht="21" customHeight="1">
      <c r="A134" s="6">
        <v>131</v>
      </c>
      <c r="B134" s="6" t="s">
        <v>41</v>
      </c>
      <c r="C134" s="6" t="str">
        <f>"童蕊蕊"</f>
        <v>童蕊蕊</v>
      </c>
      <c r="D134" s="6" t="str">
        <f>"20200104514"</f>
        <v>20200104514</v>
      </c>
      <c r="E134" s="6">
        <v>87.2</v>
      </c>
      <c r="F134" s="6">
        <v>94.3</v>
      </c>
      <c r="G134" s="6">
        <v>91.46</v>
      </c>
      <c r="H134" s="6"/>
      <c r="I134" s="6">
        <v>91.46</v>
      </c>
      <c r="J134" s="6">
        <v>81</v>
      </c>
      <c r="K134" s="7">
        <f t="shared" si="5"/>
        <v>78.13</v>
      </c>
    </row>
    <row r="135" spans="1:11" s="2" customFormat="1" ht="21" customHeight="1">
      <c r="A135" s="6">
        <v>132</v>
      </c>
      <c r="B135" s="6" t="s">
        <v>41</v>
      </c>
      <c r="C135" s="6" t="str">
        <f>"刘俊峰"</f>
        <v>刘俊峰</v>
      </c>
      <c r="D135" s="6" t="str">
        <f>"20200104915"</f>
        <v>20200104915</v>
      </c>
      <c r="E135" s="6">
        <v>94.75</v>
      </c>
      <c r="F135" s="6">
        <v>86.72</v>
      </c>
      <c r="G135" s="6">
        <v>89.93</v>
      </c>
      <c r="H135" s="6"/>
      <c r="I135" s="6">
        <v>89.93</v>
      </c>
      <c r="J135" s="6">
        <v>82.6</v>
      </c>
      <c r="K135" s="7">
        <f t="shared" si="5"/>
        <v>78.005</v>
      </c>
    </row>
    <row r="136" spans="1:11" s="2" customFormat="1" ht="21" customHeight="1">
      <c r="A136" s="6">
        <v>133</v>
      </c>
      <c r="B136" s="6" t="s">
        <v>42</v>
      </c>
      <c r="C136" s="6" t="str">
        <f>"李欣婷"</f>
        <v>李欣婷</v>
      </c>
      <c r="D136" s="6" t="str">
        <f>"20200103821"</f>
        <v>20200103821</v>
      </c>
      <c r="E136" s="6">
        <v>95.15</v>
      </c>
      <c r="F136" s="6">
        <v>104.44</v>
      </c>
      <c r="G136" s="6">
        <v>100.72</v>
      </c>
      <c r="H136" s="6"/>
      <c r="I136" s="6">
        <v>100.72</v>
      </c>
      <c r="J136" s="6">
        <v>86.2</v>
      </c>
      <c r="K136" s="7">
        <f t="shared" si="5"/>
        <v>84.84</v>
      </c>
    </row>
    <row r="137" spans="1:11" s="2" customFormat="1" ht="21" customHeight="1">
      <c r="A137" s="6">
        <v>134</v>
      </c>
      <c r="B137" s="6" t="s">
        <v>42</v>
      </c>
      <c r="C137" s="6" t="str">
        <f>"姜力"</f>
        <v>姜力</v>
      </c>
      <c r="D137" s="6" t="str">
        <f>"20200103514"</f>
        <v>20200103514</v>
      </c>
      <c r="E137" s="6">
        <v>99.35</v>
      </c>
      <c r="F137" s="6">
        <v>98.91</v>
      </c>
      <c r="G137" s="6">
        <v>99.09</v>
      </c>
      <c r="H137" s="6"/>
      <c r="I137" s="6">
        <v>99.09</v>
      </c>
      <c r="J137" s="6">
        <v>87.44</v>
      </c>
      <c r="K137" s="7">
        <f t="shared" si="5"/>
        <v>84.521</v>
      </c>
    </row>
    <row r="138" spans="1:11" s="2" customFormat="1" ht="21" customHeight="1">
      <c r="A138" s="6">
        <v>135</v>
      </c>
      <c r="B138" s="6" t="s">
        <v>42</v>
      </c>
      <c r="C138" s="6" t="str">
        <f>"尚蕊蕊"</f>
        <v>尚蕊蕊</v>
      </c>
      <c r="D138" s="6" t="str">
        <f>"20200103326"</f>
        <v>20200103326</v>
      </c>
      <c r="E138" s="6">
        <v>102.7</v>
      </c>
      <c r="F138" s="6">
        <v>97.98</v>
      </c>
      <c r="G138" s="6">
        <v>99.87</v>
      </c>
      <c r="H138" s="6"/>
      <c r="I138" s="6">
        <v>99.87</v>
      </c>
      <c r="J138" s="6">
        <v>84.9</v>
      </c>
      <c r="K138" s="7">
        <f t="shared" si="5"/>
        <v>83.89500000000001</v>
      </c>
    </row>
    <row r="139" spans="1:11" s="2" customFormat="1" ht="21" customHeight="1">
      <c r="A139" s="6">
        <v>136</v>
      </c>
      <c r="B139" s="6" t="s">
        <v>42</v>
      </c>
      <c r="C139" s="6" t="str">
        <f>"王路路"</f>
        <v>王路路</v>
      </c>
      <c r="D139" s="6" t="str">
        <f>"20200102503"</f>
        <v>20200102503</v>
      </c>
      <c r="E139" s="6">
        <v>94.75</v>
      </c>
      <c r="F139" s="6">
        <v>103.05</v>
      </c>
      <c r="G139" s="6">
        <v>99.73</v>
      </c>
      <c r="H139" s="6"/>
      <c r="I139" s="6">
        <v>99.73</v>
      </c>
      <c r="J139" s="6">
        <v>84.28</v>
      </c>
      <c r="K139" s="7">
        <f t="shared" si="5"/>
        <v>83.577</v>
      </c>
    </row>
    <row r="140" spans="1:11" s="2" customFormat="1" ht="21" customHeight="1">
      <c r="A140" s="6">
        <v>137</v>
      </c>
      <c r="B140" s="6" t="s">
        <v>42</v>
      </c>
      <c r="C140" s="6" t="str">
        <f>"杜敏"</f>
        <v>杜敏</v>
      </c>
      <c r="D140" s="6" t="str">
        <f>"20200103207"</f>
        <v>20200103207</v>
      </c>
      <c r="E140" s="6">
        <v>99.6</v>
      </c>
      <c r="F140" s="6">
        <v>96.23</v>
      </c>
      <c r="G140" s="6">
        <v>97.58</v>
      </c>
      <c r="H140" s="6"/>
      <c r="I140" s="6">
        <v>97.58</v>
      </c>
      <c r="J140" s="6">
        <v>85.7</v>
      </c>
      <c r="K140" s="7">
        <f t="shared" si="5"/>
        <v>83.07</v>
      </c>
    </row>
    <row r="141" spans="1:11" s="2" customFormat="1" ht="21" customHeight="1">
      <c r="A141" s="6">
        <v>138</v>
      </c>
      <c r="B141" s="6" t="s">
        <v>42</v>
      </c>
      <c r="C141" s="6" t="str">
        <f>"王健"</f>
        <v>王健</v>
      </c>
      <c r="D141" s="6" t="str">
        <f>"20200102910"</f>
        <v>20200102910</v>
      </c>
      <c r="E141" s="6">
        <v>96.45</v>
      </c>
      <c r="F141" s="6">
        <v>99.03</v>
      </c>
      <c r="G141" s="6">
        <v>98</v>
      </c>
      <c r="H141" s="6"/>
      <c r="I141" s="6">
        <v>98</v>
      </c>
      <c r="J141" s="6">
        <v>85.16</v>
      </c>
      <c r="K141" s="7">
        <f t="shared" si="5"/>
        <v>83.064</v>
      </c>
    </row>
    <row r="142" spans="1:11" s="2" customFormat="1" ht="21" customHeight="1">
      <c r="A142" s="6">
        <v>139</v>
      </c>
      <c r="B142" s="6" t="s">
        <v>42</v>
      </c>
      <c r="C142" s="6" t="str">
        <f>"吴若愚"</f>
        <v>吴若愚</v>
      </c>
      <c r="D142" s="6" t="str">
        <f>"20200102608"</f>
        <v>20200102608</v>
      </c>
      <c r="E142" s="6">
        <v>90.25</v>
      </c>
      <c r="F142" s="6">
        <v>100.09</v>
      </c>
      <c r="G142" s="6">
        <v>96.15</v>
      </c>
      <c r="H142" s="6"/>
      <c r="I142" s="6">
        <v>96.15</v>
      </c>
      <c r="J142" s="6">
        <v>86.86</v>
      </c>
      <c r="K142" s="7">
        <f t="shared" si="5"/>
        <v>82.81900000000002</v>
      </c>
    </row>
    <row r="143" spans="1:11" s="2" customFormat="1" ht="21" customHeight="1">
      <c r="A143" s="6">
        <v>140</v>
      </c>
      <c r="B143" s="6" t="s">
        <v>43</v>
      </c>
      <c r="C143" s="6" t="str">
        <f>"殷双玲"</f>
        <v>殷双玲</v>
      </c>
      <c r="D143" s="6" t="str">
        <f>"20200103110"</f>
        <v>20200103110</v>
      </c>
      <c r="E143" s="6">
        <v>99.45</v>
      </c>
      <c r="F143" s="6">
        <v>100.69</v>
      </c>
      <c r="G143" s="6">
        <v>100.19</v>
      </c>
      <c r="H143" s="6"/>
      <c r="I143" s="6">
        <v>100.19</v>
      </c>
      <c r="J143" s="6">
        <v>87</v>
      </c>
      <c r="K143" s="7">
        <f t="shared" si="5"/>
        <v>84.89500000000001</v>
      </c>
    </row>
    <row r="144" spans="1:11" s="2" customFormat="1" ht="21" customHeight="1">
      <c r="A144" s="6">
        <v>141</v>
      </c>
      <c r="B144" s="6" t="s">
        <v>43</v>
      </c>
      <c r="C144" s="6" t="str">
        <f>"张珊珊"</f>
        <v>张珊珊</v>
      </c>
      <c r="D144" s="6" t="str">
        <f>"20200102419"</f>
        <v>20200102419</v>
      </c>
      <c r="E144" s="6">
        <v>99.65</v>
      </c>
      <c r="F144" s="6">
        <v>101.35</v>
      </c>
      <c r="G144" s="6">
        <v>100.67</v>
      </c>
      <c r="H144" s="6"/>
      <c r="I144" s="6">
        <v>100.67</v>
      </c>
      <c r="J144" s="6">
        <v>84.7</v>
      </c>
      <c r="K144" s="7">
        <f t="shared" si="5"/>
        <v>84.215</v>
      </c>
    </row>
    <row r="145" spans="1:11" s="2" customFormat="1" ht="21" customHeight="1">
      <c r="A145" s="6">
        <v>142</v>
      </c>
      <c r="B145" s="6" t="s">
        <v>43</v>
      </c>
      <c r="C145" s="6" t="str">
        <f>"赵允芳"</f>
        <v>赵允芳</v>
      </c>
      <c r="D145" s="6" t="str">
        <f>"20200104030"</f>
        <v>20200104030</v>
      </c>
      <c r="E145" s="6">
        <v>95.95</v>
      </c>
      <c r="F145" s="6">
        <v>102.29</v>
      </c>
      <c r="G145" s="6">
        <v>99.75</v>
      </c>
      <c r="H145" s="6"/>
      <c r="I145" s="6">
        <v>99.75</v>
      </c>
      <c r="J145" s="6">
        <v>85.54</v>
      </c>
      <c r="K145" s="7">
        <f t="shared" si="5"/>
        <v>84.09100000000001</v>
      </c>
    </row>
    <row r="146" spans="1:11" s="2" customFormat="1" ht="21" customHeight="1">
      <c r="A146" s="6">
        <v>143</v>
      </c>
      <c r="B146" s="6" t="s">
        <v>43</v>
      </c>
      <c r="C146" s="6" t="str">
        <f>"转雪莉"</f>
        <v>转雪莉</v>
      </c>
      <c r="D146" s="6" t="str">
        <f>"20200102919"</f>
        <v>20200102919</v>
      </c>
      <c r="E146" s="6">
        <v>101.4</v>
      </c>
      <c r="F146" s="6">
        <v>97.01</v>
      </c>
      <c r="G146" s="6">
        <v>98.77</v>
      </c>
      <c r="H146" s="6"/>
      <c r="I146" s="6">
        <v>98.77</v>
      </c>
      <c r="J146" s="6">
        <v>86.4</v>
      </c>
      <c r="K146" s="7">
        <f t="shared" si="5"/>
        <v>83.945</v>
      </c>
    </row>
    <row r="147" spans="1:11" s="2" customFormat="1" ht="21" customHeight="1">
      <c r="A147" s="6">
        <v>144</v>
      </c>
      <c r="B147" s="6" t="s">
        <v>43</v>
      </c>
      <c r="C147" s="6" t="str">
        <f>"刘若雨"</f>
        <v>刘若雨</v>
      </c>
      <c r="D147" s="6" t="str">
        <f>"20200102430"</f>
        <v>20200102430</v>
      </c>
      <c r="E147" s="6">
        <v>98.5</v>
      </c>
      <c r="F147" s="6">
        <v>99.96</v>
      </c>
      <c r="G147" s="6">
        <v>99.38</v>
      </c>
      <c r="H147" s="6"/>
      <c r="I147" s="6">
        <v>99.38</v>
      </c>
      <c r="J147" s="6">
        <v>84.7</v>
      </c>
      <c r="K147" s="7">
        <f t="shared" si="5"/>
        <v>83.57</v>
      </c>
    </row>
    <row r="148" spans="1:11" s="2" customFormat="1" ht="21" customHeight="1">
      <c r="A148" s="6">
        <v>145</v>
      </c>
      <c r="B148" s="6" t="s">
        <v>43</v>
      </c>
      <c r="C148" s="6" t="str">
        <f>"朱晓燕"</f>
        <v>朱晓燕</v>
      </c>
      <c r="D148" s="6" t="str">
        <f>"20200103517"</f>
        <v>20200103517</v>
      </c>
      <c r="E148" s="6">
        <v>97.9</v>
      </c>
      <c r="F148" s="6">
        <v>100.35</v>
      </c>
      <c r="G148" s="6">
        <v>99.37</v>
      </c>
      <c r="H148" s="6"/>
      <c r="I148" s="6">
        <v>99.37</v>
      </c>
      <c r="J148" s="6">
        <v>84.52</v>
      </c>
      <c r="K148" s="7">
        <f>I148/1.2*0.6+J148*0.4</f>
        <v>83.493</v>
      </c>
    </row>
    <row r="149" spans="1:11" s="2" customFormat="1" ht="21" customHeight="1">
      <c r="A149" s="6">
        <v>146</v>
      </c>
      <c r="B149" s="6" t="s">
        <v>44</v>
      </c>
      <c r="C149" s="6" t="str">
        <f>"李硕"</f>
        <v>李硕</v>
      </c>
      <c r="D149" s="6" t="str">
        <f>"20200101628"</f>
        <v>20200101628</v>
      </c>
      <c r="E149" s="6">
        <v>97.3</v>
      </c>
      <c r="F149" s="6">
        <v>105.36</v>
      </c>
      <c r="G149" s="6">
        <v>102.14</v>
      </c>
      <c r="H149" s="6"/>
      <c r="I149" s="6">
        <v>102.14</v>
      </c>
      <c r="J149" s="6">
        <v>81.49</v>
      </c>
      <c r="K149" s="7">
        <f>I149/1.2*0.6+J149*0.4</f>
        <v>83.666</v>
      </c>
    </row>
    <row r="150" spans="1:11" s="2" customFormat="1" ht="21" customHeight="1">
      <c r="A150" s="6">
        <v>147</v>
      </c>
      <c r="B150" s="6" t="s">
        <v>44</v>
      </c>
      <c r="C150" s="6" t="str">
        <f>"田有婧"</f>
        <v>田有婧</v>
      </c>
      <c r="D150" s="6" t="str">
        <f>"20200101613"</f>
        <v>20200101613</v>
      </c>
      <c r="E150" s="6">
        <v>97.35</v>
      </c>
      <c r="F150" s="6">
        <v>100.42</v>
      </c>
      <c r="G150" s="6">
        <v>99.19</v>
      </c>
      <c r="H150" s="6"/>
      <c r="I150" s="6">
        <v>99.19</v>
      </c>
      <c r="J150" s="6">
        <v>84.98</v>
      </c>
      <c r="K150" s="7">
        <f>I150/1.2*0.6+J150*0.4</f>
        <v>83.587</v>
      </c>
    </row>
    <row r="151" spans="1:11" s="2" customFormat="1" ht="21" customHeight="1">
      <c r="A151" s="6">
        <v>148</v>
      </c>
      <c r="B151" s="6" t="s">
        <v>44</v>
      </c>
      <c r="C151" s="6" t="str">
        <f>"王文娟"</f>
        <v>王文娟</v>
      </c>
      <c r="D151" s="6" t="str">
        <f>"20200101918"</f>
        <v>20200101918</v>
      </c>
      <c r="E151" s="6">
        <v>98.55</v>
      </c>
      <c r="F151" s="6">
        <v>91.06</v>
      </c>
      <c r="G151" s="6">
        <v>94.06</v>
      </c>
      <c r="H151" s="6"/>
      <c r="I151" s="6">
        <v>94.06</v>
      </c>
      <c r="J151" s="6">
        <v>85.97</v>
      </c>
      <c r="K151" s="7">
        <f>I151/1.2*0.6+J151*0.4</f>
        <v>81.418</v>
      </c>
    </row>
    <row r="152" spans="1:11" s="2" customFormat="1" ht="21" customHeight="1">
      <c r="A152" s="6">
        <v>149</v>
      </c>
      <c r="B152" s="6" t="s">
        <v>44</v>
      </c>
      <c r="C152" s="6" t="str">
        <f>"鲍雨"</f>
        <v>鲍雨</v>
      </c>
      <c r="D152" s="6" t="str">
        <f>"20200102030"</f>
        <v>20200102030</v>
      </c>
      <c r="E152" s="6">
        <v>87.6</v>
      </c>
      <c r="F152" s="6">
        <v>97.38</v>
      </c>
      <c r="G152" s="6">
        <v>93.47</v>
      </c>
      <c r="H152" s="6"/>
      <c r="I152" s="6">
        <v>93.47</v>
      </c>
      <c r="J152" s="6">
        <v>86.27</v>
      </c>
      <c r="K152" s="7">
        <f>I152/1.2*0.6+J152*0.4</f>
        <v>81.243</v>
      </c>
    </row>
    <row r="153" spans="1:11" s="2" customFormat="1" ht="21" customHeight="1">
      <c r="A153" s="6">
        <v>150</v>
      </c>
      <c r="B153" s="6" t="s">
        <v>44</v>
      </c>
      <c r="C153" s="6" t="str">
        <f>"丁家楠"</f>
        <v>丁家楠</v>
      </c>
      <c r="D153" s="6" t="str">
        <f>"20200101909"</f>
        <v>20200101909</v>
      </c>
      <c r="E153" s="6">
        <v>94.7</v>
      </c>
      <c r="F153" s="6">
        <v>96.74</v>
      </c>
      <c r="G153" s="6">
        <v>95.92</v>
      </c>
      <c r="H153" s="6"/>
      <c r="I153" s="6">
        <v>95.92</v>
      </c>
      <c r="J153" s="6">
        <v>79.6</v>
      </c>
      <c r="K153" s="7">
        <f>I153/1.2*0.6+J153*0.4</f>
        <v>79.8</v>
      </c>
    </row>
    <row r="154" spans="1:11" s="2" customFormat="1" ht="21" customHeight="1">
      <c r="A154" s="6">
        <v>151</v>
      </c>
      <c r="B154" s="6" t="s">
        <v>44</v>
      </c>
      <c r="C154" s="6" t="str">
        <f>"张楠"</f>
        <v>张楠</v>
      </c>
      <c r="D154" s="6" t="str">
        <f>"20200102111"</f>
        <v>20200102111</v>
      </c>
      <c r="E154" s="6">
        <v>84.65</v>
      </c>
      <c r="F154" s="6">
        <v>98.3</v>
      </c>
      <c r="G154" s="6">
        <v>92.84</v>
      </c>
      <c r="H154" s="6"/>
      <c r="I154" s="6">
        <v>92.84</v>
      </c>
      <c r="J154" s="6">
        <v>83.2</v>
      </c>
      <c r="K154" s="7">
        <f>I154/1.2*0.6+J154*0.4</f>
        <v>79.7</v>
      </c>
    </row>
    <row r="155" spans="1:11" s="2" customFormat="1" ht="21" customHeight="1">
      <c r="A155" s="6">
        <v>152</v>
      </c>
      <c r="B155" s="6" t="s">
        <v>45</v>
      </c>
      <c r="C155" s="6" t="str">
        <f>"梁巧莉"</f>
        <v>梁巧莉</v>
      </c>
      <c r="D155" s="6" t="str">
        <f>"20200101812"</f>
        <v>20200101812</v>
      </c>
      <c r="E155" s="6">
        <v>99.65</v>
      </c>
      <c r="F155" s="6">
        <v>106</v>
      </c>
      <c r="G155" s="6">
        <v>103.46</v>
      </c>
      <c r="H155" s="6"/>
      <c r="I155" s="6">
        <v>103.46</v>
      </c>
      <c r="J155" s="6">
        <v>84.45</v>
      </c>
      <c r="K155" s="7">
        <f>I155/1.2*0.6+J155*0.4</f>
        <v>85.50999999999999</v>
      </c>
    </row>
    <row r="156" spans="1:11" s="2" customFormat="1" ht="21" customHeight="1">
      <c r="A156" s="6">
        <v>153</v>
      </c>
      <c r="B156" s="6" t="s">
        <v>45</v>
      </c>
      <c r="C156" s="6" t="str">
        <f>"刘丽萍"</f>
        <v>刘丽萍</v>
      </c>
      <c r="D156" s="6" t="str">
        <f>"20200101907"</f>
        <v>20200101907</v>
      </c>
      <c r="E156" s="6">
        <v>92.7</v>
      </c>
      <c r="F156" s="6">
        <v>103.74</v>
      </c>
      <c r="G156" s="6">
        <v>99.32</v>
      </c>
      <c r="H156" s="6"/>
      <c r="I156" s="6">
        <v>99.32</v>
      </c>
      <c r="J156" s="6">
        <v>86.09</v>
      </c>
      <c r="K156" s="7">
        <f>I156/1.2*0.6+J156*0.4</f>
        <v>84.096</v>
      </c>
    </row>
    <row r="157" spans="1:11" s="2" customFormat="1" ht="21" customHeight="1">
      <c r="A157" s="6">
        <v>154</v>
      </c>
      <c r="B157" s="6" t="s">
        <v>45</v>
      </c>
      <c r="C157" s="6" t="str">
        <f>"郑继荣"</f>
        <v>郑继荣</v>
      </c>
      <c r="D157" s="6" t="str">
        <f>"20200101522"</f>
        <v>20200101522</v>
      </c>
      <c r="E157" s="6">
        <v>94.15</v>
      </c>
      <c r="F157" s="6">
        <v>100.28</v>
      </c>
      <c r="G157" s="6">
        <v>97.83</v>
      </c>
      <c r="H157" s="6"/>
      <c r="I157" s="6">
        <v>97.83</v>
      </c>
      <c r="J157" s="6">
        <v>87.09</v>
      </c>
      <c r="K157" s="7">
        <f>I157/1.2*0.6+J157*0.4</f>
        <v>83.751</v>
      </c>
    </row>
    <row r="158" spans="1:11" s="2" customFormat="1" ht="21" customHeight="1">
      <c r="A158" s="6">
        <v>155</v>
      </c>
      <c r="B158" s="6" t="s">
        <v>45</v>
      </c>
      <c r="C158" s="6" t="str">
        <f>"王玲"</f>
        <v>王玲</v>
      </c>
      <c r="D158" s="6" t="str">
        <f>"20200101530"</f>
        <v>20200101530</v>
      </c>
      <c r="E158" s="6">
        <v>93.2</v>
      </c>
      <c r="F158" s="6">
        <v>102.32</v>
      </c>
      <c r="G158" s="6">
        <v>98.67</v>
      </c>
      <c r="H158" s="6"/>
      <c r="I158" s="6">
        <v>98.67</v>
      </c>
      <c r="J158" s="6">
        <v>86.03</v>
      </c>
      <c r="K158" s="7">
        <f>I158/1.2*0.6+J158*0.4</f>
        <v>83.747</v>
      </c>
    </row>
    <row r="159" spans="1:11" s="2" customFormat="1" ht="21" customHeight="1">
      <c r="A159" s="6">
        <v>156</v>
      </c>
      <c r="B159" s="6" t="s">
        <v>45</v>
      </c>
      <c r="C159" s="6" t="str">
        <f>"张静"</f>
        <v>张静</v>
      </c>
      <c r="D159" s="6" t="str">
        <f>"20200101925"</f>
        <v>20200101925</v>
      </c>
      <c r="E159" s="6">
        <v>97.2</v>
      </c>
      <c r="F159" s="6">
        <v>100.26</v>
      </c>
      <c r="G159" s="6">
        <v>99.04</v>
      </c>
      <c r="H159" s="6"/>
      <c r="I159" s="6">
        <v>99.04</v>
      </c>
      <c r="J159" s="6">
        <v>85.1</v>
      </c>
      <c r="K159" s="7">
        <f>I159/1.2*0.6+J159*0.4</f>
        <v>83.56</v>
      </c>
    </row>
    <row r="160" spans="1:11" s="2" customFormat="1" ht="21" customHeight="1">
      <c r="A160" s="6">
        <v>157</v>
      </c>
      <c r="B160" s="6" t="s">
        <v>45</v>
      </c>
      <c r="C160" s="6" t="str">
        <f>"李优"</f>
        <v>李优</v>
      </c>
      <c r="D160" s="6" t="str">
        <f>"20200101524"</f>
        <v>20200101524</v>
      </c>
      <c r="E160" s="6">
        <v>88.7</v>
      </c>
      <c r="F160" s="6">
        <v>103.42</v>
      </c>
      <c r="G160" s="6">
        <v>97.53</v>
      </c>
      <c r="H160" s="6"/>
      <c r="I160" s="6">
        <v>97.53</v>
      </c>
      <c r="J160" s="6">
        <v>84.39</v>
      </c>
      <c r="K160" s="7">
        <f>I160/1.2*0.6+J160*0.4</f>
        <v>82.521</v>
      </c>
    </row>
    <row r="161" spans="1:11" s="2" customFormat="1" ht="21" customHeight="1">
      <c r="A161" s="6">
        <v>158</v>
      </c>
      <c r="B161" s="6" t="s">
        <v>45</v>
      </c>
      <c r="C161" s="6" t="str">
        <f>"苏玲玲"</f>
        <v>苏玲玲</v>
      </c>
      <c r="D161" s="6" t="str">
        <f>"20200101924"</f>
        <v>20200101924</v>
      </c>
      <c r="E161" s="6">
        <v>96.85</v>
      </c>
      <c r="F161" s="6">
        <v>103.08</v>
      </c>
      <c r="G161" s="6">
        <v>100.59</v>
      </c>
      <c r="H161" s="6"/>
      <c r="I161" s="6">
        <v>100.59</v>
      </c>
      <c r="J161" s="6">
        <v>80.32</v>
      </c>
      <c r="K161" s="7">
        <f>I161/1.2*0.6+J161*0.4</f>
        <v>82.423</v>
      </c>
    </row>
  </sheetData>
  <sheetProtection/>
  <mergeCells count="1">
    <mergeCell ref="A1:K1"/>
  </mergeCells>
  <printOptions horizontalCentered="1"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2016-07-28T00:26:55Z</cp:lastPrinted>
  <dcterms:created xsi:type="dcterms:W3CDTF">2009-07-14T03:19:54Z</dcterms:created>
  <dcterms:modified xsi:type="dcterms:W3CDTF">2021-04-13T01:03:55Z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