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录用嘎查村、社区服务工作人员名单（161名）" sheetId="8" r:id="rId1"/>
  </sheets>
  <calcPr calcId="144525"/>
</workbook>
</file>

<file path=xl/sharedStrings.xml><?xml version="1.0" encoding="utf-8"?>
<sst xmlns="http://schemas.openxmlformats.org/spreadsheetml/2006/main" count="822" uniqueCount="36">
  <si>
    <t>拟录用嘎查村、社区服务工作人员名单（161名）</t>
  </si>
  <si>
    <t>排名</t>
  </si>
  <si>
    <t>报考岗位</t>
  </si>
  <si>
    <t>姓名</t>
  </si>
  <si>
    <t>性别</t>
  </si>
  <si>
    <t>民族</t>
  </si>
  <si>
    <t>准考证号</t>
  </si>
  <si>
    <t>户籍所在地</t>
  </si>
  <si>
    <t>学历</t>
  </si>
  <si>
    <t>笔试成绩</t>
  </si>
  <si>
    <t>加分项</t>
  </si>
  <si>
    <t>笔试总成绩</t>
  </si>
  <si>
    <t>笔试总成绩
按60%折算</t>
  </si>
  <si>
    <t>面试成绩</t>
  </si>
  <si>
    <t>面试成绩
按40%折算</t>
  </si>
  <si>
    <t>总成绩</t>
  </si>
  <si>
    <t>101_面向社会招聘岗位（社会考生）</t>
  </si>
  <si>
    <t>女</t>
  </si>
  <si>
    <t>汉族</t>
  </si>
  <si>
    <t>乌兰木伦镇</t>
  </si>
  <si>
    <t>大学本科</t>
  </si>
  <si>
    <t>红庆河镇</t>
  </si>
  <si>
    <t>男</t>
  </si>
  <si>
    <t>伊金霍洛镇</t>
  </si>
  <si>
    <t>阿勒腾席热镇</t>
  </si>
  <si>
    <t>蒙古族</t>
  </si>
  <si>
    <t>硕士研究生</t>
  </si>
  <si>
    <t>札萨克镇</t>
  </si>
  <si>
    <t>苏布尔嘎镇</t>
  </si>
  <si>
    <t>纳林陶亥镇</t>
  </si>
  <si>
    <t>大学专科</t>
  </si>
  <si>
    <t>其他民族</t>
  </si>
  <si>
    <t>102_面向旗国资局备案国企职工岗位（国企考生）</t>
  </si>
  <si>
    <t>李慧</t>
  </si>
  <si>
    <t>103_蒙汉兼通人员岗位（蒙汉兼通考生）</t>
  </si>
  <si>
    <t>鄂温克族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</si>
</sst>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.000_ "/>
    <numFmt numFmtId="178" formatCode="0.000_ "/>
    <numFmt numFmtId="179" formatCode="0.00_ "/>
  </numFmts>
  <fonts count="26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6"/>
      <name val="黑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3"/>
  <sheetViews>
    <sheetView tabSelected="1" topLeftCell="A95" workbookViewId="0">
      <selection activeCell="T100" sqref="T100"/>
    </sheetView>
  </sheetViews>
  <sheetFormatPr defaultColWidth="9" defaultRowHeight="13.95" customHeight="1"/>
  <cols>
    <col min="1" max="1" width="9.75" style="1" customWidth="1"/>
    <col min="2" max="2" width="31.5" style="1" customWidth="1"/>
    <col min="3" max="5" width="12.125" style="1" customWidth="1"/>
    <col min="6" max="8" width="16.125" style="1" customWidth="1"/>
    <col min="9" max="9" width="11.125" style="1" hidden="1" customWidth="1"/>
    <col min="10" max="10" width="11.5" style="1" hidden="1" customWidth="1"/>
    <col min="11" max="11" width="13.875" style="1" hidden="1" customWidth="1"/>
    <col min="12" max="12" width="13.75" style="1" hidden="1" customWidth="1"/>
    <col min="13" max="13" width="9" style="1" hidden="1" customWidth="1"/>
    <col min="14" max="14" width="10.875" style="1" hidden="1" customWidth="1"/>
    <col min="15" max="16380" width="9" style="1"/>
    <col min="16381" max="16384" width="9" style="3"/>
  </cols>
  <sheetData>
    <row r="1" s="1" customFormat="1" ht="53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XFA1" s="3"/>
      <c r="XFB1" s="3"/>
      <c r="XFC1" s="3"/>
      <c r="XFD1" s="3"/>
    </row>
    <row r="2" s="1" customFormat="1" ht="39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5" t="s">
        <v>13</v>
      </c>
      <c r="N2" s="9" t="s">
        <v>14</v>
      </c>
      <c r="O2" s="5" t="s">
        <v>15</v>
      </c>
    </row>
    <row r="3" s="1" customFormat="1" ht="33" customHeight="1" spans="1:16384">
      <c r="A3" s="6">
        <v>1</v>
      </c>
      <c r="B3" s="6" t="s">
        <v>16</v>
      </c>
      <c r="C3" s="6" t="str">
        <f>"李敏"</f>
        <v>李敏</v>
      </c>
      <c r="D3" s="6" t="s">
        <v>17</v>
      </c>
      <c r="E3" s="6" t="s">
        <v>18</v>
      </c>
      <c r="F3" s="6" t="str">
        <f>"15010114323"</f>
        <v>15010114323</v>
      </c>
      <c r="G3" s="6" t="s">
        <v>19</v>
      </c>
      <c r="H3" s="6" t="s">
        <v>20</v>
      </c>
      <c r="I3" s="6">
        <v>78.76</v>
      </c>
      <c r="J3" s="6"/>
      <c r="K3" s="6">
        <v>78.76</v>
      </c>
      <c r="L3" s="10">
        <f t="shared" ref="L3:L66" si="0">SUM(K3*0.6)</f>
        <v>47.256</v>
      </c>
      <c r="M3" s="11">
        <v>79.36</v>
      </c>
      <c r="N3" s="12">
        <f t="shared" ref="N3:N66" si="1">SUM(M3*0.4)</f>
        <v>31.744</v>
      </c>
      <c r="O3" s="13">
        <f t="shared" ref="O3:O66" si="2">SUM(L3+N3)</f>
        <v>79</v>
      </c>
      <c r="XFA3" s="3"/>
      <c r="XFB3" s="3"/>
      <c r="XFC3" s="3"/>
      <c r="XFD3" s="3"/>
    </row>
    <row r="4" s="2" customFormat="1" ht="33" customHeight="1" spans="1:16380">
      <c r="A4" s="7">
        <v>2</v>
      </c>
      <c r="B4" s="7" t="s">
        <v>16</v>
      </c>
      <c r="C4" s="7" t="str">
        <f>"杜贵荣"</f>
        <v>杜贵荣</v>
      </c>
      <c r="D4" s="7" t="s">
        <v>17</v>
      </c>
      <c r="E4" s="6" t="s">
        <v>18</v>
      </c>
      <c r="F4" s="7" t="str">
        <f>"15010110213"</f>
        <v>15010110213</v>
      </c>
      <c r="G4" s="7" t="s">
        <v>21</v>
      </c>
      <c r="H4" s="7" t="s">
        <v>20</v>
      </c>
      <c r="I4" s="7">
        <v>80.74</v>
      </c>
      <c r="J4" s="7"/>
      <c r="K4" s="7">
        <v>80.74</v>
      </c>
      <c r="L4" s="10">
        <f t="shared" si="0"/>
        <v>48.444</v>
      </c>
      <c r="M4" s="11">
        <v>74.7</v>
      </c>
      <c r="N4" s="12">
        <f t="shared" si="1"/>
        <v>29.88</v>
      </c>
      <c r="O4" s="13">
        <f t="shared" si="2"/>
        <v>78.324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="1" customFormat="1" ht="33" customHeight="1" spans="1:16384">
      <c r="A5" s="6">
        <v>3</v>
      </c>
      <c r="B5" s="7" t="s">
        <v>16</v>
      </c>
      <c r="C5" s="7" t="str">
        <f>"王乐"</f>
        <v>王乐</v>
      </c>
      <c r="D5" s="7" t="s">
        <v>22</v>
      </c>
      <c r="E5" s="6" t="s">
        <v>18</v>
      </c>
      <c r="F5" s="7" t="str">
        <f>"15010120329"</f>
        <v>15010120329</v>
      </c>
      <c r="G5" s="7" t="s">
        <v>23</v>
      </c>
      <c r="H5" s="7" t="s">
        <v>20</v>
      </c>
      <c r="I5" s="7">
        <v>77.55</v>
      </c>
      <c r="J5" s="7"/>
      <c r="K5" s="7">
        <v>77.55</v>
      </c>
      <c r="L5" s="10">
        <f t="shared" si="0"/>
        <v>46.53</v>
      </c>
      <c r="M5" s="11">
        <v>77.6</v>
      </c>
      <c r="N5" s="12">
        <f t="shared" si="1"/>
        <v>31.04</v>
      </c>
      <c r="O5" s="13">
        <f t="shared" si="2"/>
        <v>77.57</v>
      </c>
      <c r="XFA5" s="3"/>
      <c r="XFB5" s="3"/>
      <c r="XFC5" s="3"/>
      <c r="XFD5" s="3"/>
    </row>
    <row r="6" s="1" customFormat="1" ht="33" customHeight="1" spans="1:16384">
      <c r="A6" s="6">
        <v>4</v>
      </c>
      <c r="B6" s="7" t="s">
        <v>16</v>
      </c>
      <c r="C6" s="7" t="str">
        <f>"崔鑫"</f>
        <v>崔鑫</v>
      </c>
      <c r="D6" s="7" t="s">
        <v>22</v>
      </c>
      <c r="E6" s="6" t="s">
        <v>18</v>
      </c>
      <c r="F6" s="7" t="str">
        <f>"15010120205"</f>
        <v>15010120205</v>
      </c>
      <c r="G6" s="7" t="s">
        <v>23</v>
      </c>
      <c r="H6" s="7" t="s">
        <v>20</v>
      </c>
      <c r="I6" s="7">
        <v>75.86</v>
      </c>
      <c r="J6" s="7"/>
      <c r="K6" s="7">
        <v>75.86</v>
      </c>
      <c r="L6" s="10">
        <f t="shared" si="0"/>
        <v>45.516</v>
      </c>
      <c r="M6" s="11">
        <v>80.02</v>
      </c>
      <c r="N6" s="12">
        <f t="shared" si="1"/>
        <v>32.008</v>
      </c>
      <c r="O6" s="13">
        <f t="shared" si="2"/>
        <v>77.524</v>
      </c>
      <c r="XFA6" s="3"/>
      <c r="XFB6" s="3"/>
      <c r="XFC6" s="3"/>
      <c r="XFD6" s="3"/>
    </row>
    <row r="7" s="1" customFormat="1" ht="33" customHeight="1" spans="1:16384">
      <c r="A7" s="7">
        <v>5</v>
      </c>
      <c r="B7" s="7" t="s">
        <v>16</v>
      </c>
      <c r="C7" s="7" t="str">
        <f>"呼可舒"</f>
        <v>呼可舒</v>
      </c>
      <c r="D7" s="7" t="s">
        <v>17</v>
      </c>
      <c r="E7" s="6" t="s">
        <v>18</v>
      </c>
      <c r="F7" s="7" t="str">
        <f>"15010110521"</f>
        <v>15010110521</v>
      </c>
      <c r="G7" s="7" t="s">
        <v>24</v>
      </c>
      <c r="H7" s="7" t="s">
        <v>20</v>
      </c>
      <c r="I7" s="7">
        <v>75.69</v>
      </c>
      <c r="J7" s="7"/>
      <c r="K7" s="7">
        <v>75.69</v>
      </c>
      <c r="L7" s="10">
        <f t="shared" si="0"/>
        <v>45.414</v>
      </c>
      <c r="M7" s="11">
        <v>80.24</v>
      </c>
      <c r="N7" s="12">
        <f t="shared" si="1"/>
        <v>32.096</v>
      </c>
      <c r="O7" s="13">
        <f t="shared" si="2"/>
        <v>77.51</v>
      </c>
      <c r="XFA7" s="3"/>
      <c r="XFB7" s="3"/>
      <c r="XFC7" s="3"/>
      <c r="XFD7" s="3"/>
    </row>
    <row r="8" s="1" customFormat="1" ht="33" customHeight="1" spans="1:16384">
      <c r="A8" s="6">
        <v>6</v>
      </c>
      <c r="B8" s="7" t="s">
        <v>16</v>
      </c>
      <c r="C8" s="7" t="str">
        <f>"王圆圆"</f>
        <v>王圆圆</v>
      </c>
      <c r="D8" s="7" t="s">
        <v>17</v>
      </c>
      <c r="E8" s="6" t="s">
        <v>18</v>
      </c>
      <c r="F8" s="7" t="str">
        <f>"15010113712"</f>
        <v>15010113712</v>
      </c>
      <c r="G8" s="7" t="s">
        <v>24</v>
      </c>
      <c r="H8" s="7" t="s">
        <v>20</v>
      </c>
      <c r="I8" s="7">
        <v>76.21</v>
      </c>
      <c r="J8" s="7"/>
      <c r="K8" s="7">
        <v>76.21</v>
      </c>
      <c r="L8" s="10">
        <f t="shared" si="0"/>
        <v>45.726</v>
      </c>
      <c r="M8" s="11">
        <v>79.34</v>
      </c>
      <c r="N8" s="12">
        <f t="shared" si="1"/>
        <v>31.736</v>
      </c>
      <c r="O8" s="13">
        <f t="shared" si="2"/>
        <v>77.462</v>
      </c>
      <c r="XFA8" s="3"/>
      <c r="XFB8" s="3"/>
      <c r="XFC8" s="3"/>
      <c r="XFD8" s="3"/>
    </row>
    <row r="9" s="1" customFormat="1" ht="33" customHeight="1" spans="1:16384">
      <c r="A9" s="6">
        <v>7</v>
      </c>
      <c r="B9" s="7" t="s">
        <v>16</v>
      </c>
      <c r="C9" s="7" t="str">
        <f>"李凌青"</f>
        <v>李凌青</v>
      </c>
      <c r="D9" s="7" t="s">
        <v>17</v>
      </c>
      <c r="E9" s="6" t="s">
        <v>25</v>
      </c>
      <c r="F9" s="7" t="str">
        <f>"15010110604"</f>
        <v>15010110604</v>
      </c>
      <c r="G9" s="7" t="s">
        <v>24</v>
      </c>
      <c r="H9" s="7" t="s">
        <v>20</v>
      </c>
      <c r="I9" s="7">
        <v>72.61</v>
      </c>
      <c r="J9" s="7">
        <v>2.5</v>
      </c>
      <c r="K9" s="7">
        <v>75.11</v>
      </c>
      <c r="L9" s="10">
        <f t="shared" si="0"/>
        <v>45.066</v>
      </c>
      <c r="M9" s="11">
        <v>79.42</v>
      </c>
      <c r="N9" s="12">
        <f t="shared" si="1"/>
        <v>31.768</v>
      </c>
      <c r="O9" s="13">
        <f t="shared" si="2"/>
        <v>76.834</v>
      </c>
      <c r="XFA9" s="3"/>
      <c r="XFB9" s="3"/>
      <c r="XFC9" s="3"/>
      <c r="XFD9" s="3"/>
    </row>
    <row r="10" s="1" customFormat="1" ht="33" customHeight="1" spans="1:16384">
      <c r="A10" s="7">
        <v>8</v>
      </c>
      <c r="B10" s="7" t="s">
        <v>16</v>
      </c>
      <c r="C10" s="7" t="str">
        <f>"武娟"</f>
        <v>武娟</v>
      </c>
      <c r="D10" s="7" t="s">
        <v>17</v>
      </c>
      <c r="E10" s="6" t="s">
        <v>18</v>
      </c>
      <c r="F10" s="7" t="str">
        <f>"15010113301"</f>
        <v>15010113301</v>
      </c>
      <c r="G10" s="7" t="s">
        <v>21</v>
      </c>
      <c r="H10" s="7" t="s">
        <v>20</v>
      </c>
      <c r="I10" s="7">
        <v>74.21</v>
      </c>
      <c r="J10" s="7"/>
      <c r="K10" s="7">
        <v>74.21</v>
      </c>
      <c r="L10" s="10">
        <f t="shared" si="0"/>
        <v>44.526</v>
      </c>
      <c r="M10" s="11">
        <v>80.56</v>
      </c>
      <c r="N10" s="12">
        <f t="shared" si="1"/>
        <v>32.224</v>
      </c>
      <c r="O10" s="13">
        <f t="shared" si="2"/>
        <v>76.75</v>
      </c>
      <c r="XFA10" s="3"/>
      <c r="XFB10" s="3"/>
      <c r="XFC10" s="3"/>
      <c r="XFD10" s="3"/>
    </row>
    <row r="11" s="1" customFormat="1" ht="33" customHeight="1" spans="1:16384">
      <c r="A11" s="6">
        <v>9</v>
      </c>
      <c r="B11" s="7" t="s">
        <v>16</v>
      </c>
      <c r="C11" s="7" t="str">
        <f>"徐鑫"</f>
        <v>徐鑫</v>
      </c>
      <c r="D11" s="7" t="s">
        <v>22</v>
      </c>
      <c r="E11" s="6" t="s">
        <v>18</v>
      </c>
      <c r="F11" s="7" t="str">
        <f>"15010120414"</f>
        <v>15010120414</v>
      </c>
      <c r="G11" s="7" t="s">
        <v>21</v>
      </c>
      <c r="H11" s="7" t="s">
        <v>20</v>
      </c>
      <c r="I11" s="7">
        <v>74.5</v>
      </c>
      <c r="J11" s="7"/>
      <c r="K11" s="7">
        <v>74.5</v>
      </c>
      <c r="L11" s="10">
        <f t="shared" si="0"/>
        <v>44.7</v>
      </c>
      <c r="M11" s="11">
        <v>78.52</v>
      </c>
      <c r="N11" s="12">
        <f t="shared" si="1"/>
        <v>31.408</v>
      </c>
      <c r="O11" s="13">
        <f t="shared" si="2"/>
        <v>76.108</v>
      </c>
      <c r="XFA11" s="3"/>
      <c r="XFB11" s="3"/>
      <c r="XFC11" s="3"/>
      <c r="XFD11" s="3"/>
    </row>
    <row r="12" s="1" customFormat="1" ht="33" customHeight="1" spans="1:16384">
      <c r="A12" s="6">
        <v>10</v>
      </c>
      <c r="B12" s="7" t="s">
        <v>16</v>
      </c>
      <c r="C12" s="7" t="str">
        <f>"吴政函"</f>
        <v>吴政函</v>
      </c>
      <c r="D12" s="7" t="s">
        <v>17</v>
      </c>
      <c r="E12" s="6" t="s">
        <v>18</v>
      </c>
      <c r="F12" s="7" t="str">
        <f>"15010114518"</f>
        <v>15010114518</v>
      </c>
      <c r="G12" s="7" t="s">
        <v>24</v>
      </c>
      <c r="H12" s="7" t="s">
        <v>20</v>
      </c>
      <c r="I12" s="7">
        <v>73.96</v>
      </c>
      <c r="J12" s="7"/>
      <c r="K12" s="7">
        <v>73.96</v>
      </c>
      <c r="L12" s="10">
        <f t="shared" si="0"/>
        <v>44.376</v>
      </c>
      <c r="M12" s="11">
        <v>78.92</v>
      </c>
      <c r="N12" s="12">
        <f t="shared" si="1"/>
        <v>31.568</v>
      </c>
      <c r="O12" s="13">
        <f t="shared" si="2"/>
        <v>75.944</v>
      </c>
      <c r="XFA12" s="3"/>
      <c r="XFB12" s="3"/>
      <c r="XFC12" s="3"/>
      <c r="XFD12" s="3"/>
    </row>
    <row r="13" s="1" customFormat="1" ht="33" customHeight="1" spans="1:16384">
      <c r="A13" s="7">
        <v>11</v>
      </c>
      <c r="B13" s="7" t="s">
        <v>16</v>
      </c>
      <c r="C13" s="7" t="str">
        <f>"张泽敏"</f>
        <v>张泽敏</v>
      </c>
      <c r="D13" s="7" t="s">
        <v>17</v>
      </c>
      <c r="E13" s="6" t="s">
        <v>18</v>
      </c>
      <c r="F13" s="7" t="str">
        <f>"15010113717"</f>
        <v>15010113717</v>
      </c>
      <c r="G13" s="6" t="s">
        <v>19</v>
      </c>
      <c r="H13" s="7" t="s">
        <v>20</v>
      </c>
      <c r="I13" s="7">
        <v>76.2</v>
      </c>
      <c r="J13" s="7"/>
      <c r="K13" s="7">
        <v>76.2</v>
      </c>
      <c r="L13" s="10">
        <f t="shared" si="0"/>
        <v>45.72</v>
      </c>
      <c r="M13" s="11">
        <v>75.54</v>
      </c>
      <c r="N13" s="12">
        <f t="shared" si="1"/>
        <v>30.216</v>
      </c>
      <c r="O13" s="13">
        <f t="shared" si="2"/>
        <v>75.936</v>
      </c>
      <c r="XFA13" s="3"/>
      <c r="XFB13" s="3"/>
      <c r="XFC13" s="3"/>
      <c r="XFD13" s="3"/>
    </row>
    <row r="14" s="1" customFormat="1" ht="33" customHeight="1" spans="1:16384">
      <c r="A14" s="6">
        <v>12</v>
      </c>
      <c r="B14" s="7" t="s">
        <v>16</v>
      </c>
      <c r="C14" s="7" t="str">
        <f>"张淇"</f>
        <v>张淇</v>
      </c>
      <c r="D14" s="7" t="s">
        <v>22</v>
      </c>
      <c r="E14" s="6" t="s">
        <v>25</v>
      </c>
      <c r="F14" s="7" t="str">
        <f>"15010112518"</f>
        <v>15010112518</v>
      </c>
      <c r="G14" s="7" t="s">
        <v>24</v>
      </c>
      <c r="H14" s="7" t="s">
        <v>20</v>
      </c>
      <c r="I14" s="7">
        <v>70.29</v>
      </c>
      <c r="J14" s="7">
        <v>2.5</v>
      </c>
      <c r="K14" s="7">
        <v>72.79</v>
      </c>
      <c r="L14" s="10">
        <f t="shared" si="0"/>
        <v>43.674</v>
      </c>
      <c r="M14" s="11">
        <v>80.52</v>
      </c>
      <c r="N14" s="12">
        <f t="shared" si="1"/>
        <v>32.208</v>
      </c>
      <c r="O14" s="13">
        <f t="shared" si="2"/>
        <v>75.882</v>
      </c>
      <c r="XFA14" s="3"/>
      <c r="XFB14" s="3"/>
      <c r="XFC14" s="3"/>
      <c r="XFD14" s="3"/>
    </row>
    <row r="15" s="1" customFormat="1" ht="33" customHeight="1" spans="1:16384">
      <c r="A15" s="6">
        <v>13</v>
      </c>
      <c r="B15" s="7" t="s">
        <v>16</v>
      </c>
      <c r="C15" s="8" t="str">
        <f>"乔牧"</f>
        <v>乔牧</v>
      </c>
      <c r="D15" s="7" t="s">
        <v>17</v>
      </c>
      <c r="E15" s="6" t="s">
        <v>18</v>
      </c>
      <c r="F15" s="7" t="str">
        <f>"15010110101"</f>
        <v>15010110101</v>
      </c>
      <c r="G15" s="7" t="s">
        <v>24</v>
      </c>
      <c r="H15" s="7" t="s">
        <v>26</v>
      </c>
      <c r="I15" s="7">
        <v>73.67</v>
      </c>
      <c r="J15" s="7"/>
      <c r="K15" s="7">
        <v>73.67</v>
      </c>
      <c r="L15" s="10">
        <f t="shared" si="0"/>
        <v>44.202</v>
      </c>
      <c r="M15" s="11">
        <v>78.46</v>
      </c>
      <c r="N15" s="12">
        <f t="shared" si="1"/>
        <v>31.384</v>
      </c>
      <c r="O15" s="13">
        <f t="shared" si="2"/>
        <v>75.586</v>
      </c>
      <c r="XFA15" s="3"/>
      <c r="XFB15" s="3"/>
      <c r="XFC15" s="3"/>
      <c r="XFD15" s="3"/>
    </row>
    <row r="16" s="1" customFormat="1" ht="33" customHeight="1" spans="1:16384">
      <c r="A16" s="7">
        <v>14</v>
      </c>
      <c r="B16" s="7" t="s">
        <v>16</v>
      </c>
      <c r="C16" s="7" t="str">
        <f>"张月"</f>
        <v>张月</v>
      </c>
      <c r="D16" s="7" t="s">
        <v>17</v>
      </c>
      <c r="E16" s="6" t="s">
        <v>18</v>
      </c>
      <c r="F16" s="7" t="str">
        <f>"15010110822"</f>
        <v>15010110822</v>
      </c>
      <c r="G16" s="7" t="s">
        <v>24</v>
      </c>
      <c r="H16" s="7" t="s">
        <v>20</v>
      </c>
      <c r="I16" s="7">
        <v>71.9</v>
      </c>
      <c r="J16" s="7"/>
      <c r="K16" s="7">
        <v>71.9</v>
      </c>
      <c r="L16" s="10">
        <f t="shared" si="0"/>
        <v>43.14</v>
      </c>
      <c r="M16" s="11">
        <v>80.72</v>
      </c>
      <c r="N16" s="12">
        <f t="shared" si="1"/>
        <v>32.288</v>
      </c>
      <c r="O16" s="13">
        <f t="shared" si="2"/>
        <v>75.428</v>
      </c>
      <c r="XFA16" s="3"/>
      <c r="XFB16" s="3"/>
      <c r="XFC16" s="3"/>
      <c r="XFD16" s="3"/>
    </row>
    <row r="17" s="1" customFormat="1" ht="33" customHeight="1" spans="1:16384">
      <c r="A17" s="6">
        <v>15</v>
      </c>
      <c r="B17" s="7" t="s">
        <v>16</v>
      </c>
      <c r="C17" s="7" t="str">
        <f>"王书裕"</f>
        <v>王书裕</v>
      </c>
      <c r="D17" s="7" t="s">
        <v>22</v>
      </c>
      <c r="E17" s="6" t="s">
        <v>18</v>
      </c>
      <c r="F17" s="7" t="str">
        <f>"15010121721"</f>
        <v>15010121721</v>
      </c>
      <c r="G17" s="7" t="s">
        <v>24</v>
      </c>
      <c r="H17" s="7" t="s">
        <v>20</v>
      </c>
      <c r="I17" s="7">
        <v>75.35</v>
      </c>
      <c r="J17" s="7"/>
      <c r="K17" s="7">
        <v>75.35</v>
      </c>
      <c r="L17" s="10">
        <f t="shared" si="0"/>
        <v>45.21</v>
      </c>
      <c r="M17" s="11">
        <v>75.2</v>
      </c>
      <c r="N17" s="12">
        <f t="shared" si="1"/>
        <v>30.08</v>
      </c>
      <c r="O17" s="13">
        <f t="shared" si="2"/>
        <v>75.29</v>
      </c>
      <c r="XFA17" s="3"/>
      <c r="XFB17" s="3"/>
      <c r="XFC17" s="3"/>
      <c r="XFD17" s="3"/>
    </row>
    <row r="18" s="1" customFormat="1" ht="33" customHeight="1" spans="1:16384">
      <c r="A18" s="6">
        <v>16</v>
      </c>
      <c r="B18" s="7" t="s">
        <v>16</v>
      </c>
      <c r="C18" s="7" t="str">
        <f>"赵丽倩"</f>
        <v>赵丽倩</v>
      </c>
      <c r="D18" s="7" t="s">
        <v>17</v>
      </c>
      <c r="E18" s="6" t="s">
        <v>18</v>
      </c>
      <c r="F18" s="7" t="str">
        <f>"15010110513"</f>
        <v>15010110513</v>
      </c>
      <c r="G18" s="6" t="s">
        <v>19</v>
      </c>
      <c r="H18" s="7" t="s">
        <v>20</v>
      </c>
      <c r="I18" s="7">
        <v>70.51</v>
      </c>
      <c r="J18" s="7"/>
      <c r="K18" s="7">
        <v>70.51</v>
      </c>
      <c r="L18" s="10">
        <f t="shared" si="0"/>
        <v>42.306</v>
      </c>
      <c r="M18" s="11">
        <v>82.42</v>
      </c>
      <c r="N18" s="12">
        <f t="shared" si="1"/>
        <v>32.968</v>
      </c>
      <c r="O18" s="13">
        <f t="shared" si="2"/>
        <v>75.274</v>
      </c>
      <c r="XFA18" s="3"/>
      <c r="XFB18" s="3"/>
      <c r="XFC18" s="3"/>
      <c r="XFD18" s="3"/>
    </row>
    <row r="19" s="1" customFormat="1" ht="33" customHeight="1" spans="1:16384">
      <c r="A19" s="7">
        <v>17</v>
      </c>
      <c r="B19" s="7" t="s">
        <v>16</v>
      </c>
      <c r="C19" s="7" t="str">
        <f>"孟雨欣"</f>
        <v>孟雨欣</v>
      </c>
      <c r="D19" s="7" t="s">
        <v>17</v>
      </c>
      <c r="E19" s="6" t="s">
        <v>18</v>
      </c>
      <c r="F19" s="7" t="str">
        <f>"15010120803"</f>
        <v>15010120803</v>
      </c>
      <c r="G19" s="7" t="s">
        <v>24</v>
      </c>
      <c r="H19" s="7" t="s">
        <v>20</v>
      </c>
      <c r="I19" s="7">
        <v>72.12</v>
      </c>
      <c r="J19" s="7"/>
      <c r="K19" s="7">
        <v>72.12</v>
      </c>
      <c r="L19" s="10">
        <f t="shared" si="0"/>
        <v>43.272</v>
      </c>
      <c r="M19" s="11">
        <v>79.86</v>
      </c>
      <c r="N19" s="12">
        <f t="shared" si="1"/>
        <v>31.944</v>
      </c>
      <c r="O19" s="13">
        <f t="shared" si="2"/>
        <v>75.216</v>
      </c>
      <c r="XFA19" s="3"/>
      <c r="XFB19" s="3"/>
      <c r="XFC19" s="3"/>
      <c r="XFD19" s="3"/>
    </row>
    <row r="20" s="1" customFormat="1" ht="33" customHeight="1" spans="1:16384">
      <c r="A20" s="6">
        <v>18</v>
      </c>
      <c r="B20" s="7" t="s">
        <v>16</v>
      </c>
      <c r="C20" s="7" t="str">
        <f>"刘婧雯"</f>
        <v>刘婧雯</v>
      </c>
      <c r="D20" s="7" t="s">
        <v>17</v>
      </c>
      <c r="E20" s="6" t="s">
        <v>18</v>
      </c>
      <c r="F20" s="7" t="str">
        <f>"15010111511"</f>
        <v>15010111511</v>
      </c>
      <c r="G20" s="7" t="s">
        <v>24</v>
      </c>
      <c r="H20" s="7" t="s">
        <v>20</v>
      </c>
      <c r="I20" s="7">
        <v>71</v>
      </c>
      <c r="J20" s="7"/>
      <c r="K20" s="7">
        <v>71</v>
      </c>
      <c r="L20" s="10">
        <f t="shared" si="0"/>
        <v>42.6</v>
      </c>
      <c r="M20" s="11">
        <v>81.5</v>
      </c>
      <c r="N20" s="12">
        <f t="shared" si="1"/>
        <v>32.6</v>
      </c>
      <c r="O20" s="13">
        <f t="shared" si="2"/>
        <v>75.2</v>
      </c>
      <c r="XFA20" s="3"/>
      <c r="XFB20" s="3"/>
      <c r="XFC20" s="3"/>
      <c r="XFD20" s="3"/>
    </row>
    <row r="21" s="1" customFormat="1" ht="33" customHeight="1" spans="1:16384">
      <c r="A21" s="6">
        <v>19</v>
      </c>
      <c r="B21" s="7" t="s">
        <v>16</v>
      </c>
      <c r="C21" s="7" t="str">
        <f>"鄂日乐"</f>
        <v>鄂日乐</v>
      </c>
      <c r="D21" s="7" t="s">
        <v>22</v>
      </c>
      <c r="E21" s="6" t="s">
        <v>25</v>
      </c>
      <c r="F21" s="7" t="str">
        <f>"15010120413"</f>
        <v>15010120413</v>
      </c>
      <c r="G21" s="7" t="s">
        <v>24</v>
      </c>
      <c r="H21" s="7" t="s">
        <v>20</v>
      </c>
      <c r="I21" s="7">
        <v>71.12</v>
      </c>
      <c r="J21" s="7">
        <v>2.5</v>
      </c>
      <c r="K21" s="7">
        <v>73.62</v>
      </c>
      <c r="L21" s="10">
        <f t="shared" si="0"/>
        <v>44.172</v>
      </c>
      <c r="M21" s="11">
        <v>77.38</v>
      </c>
      <c r="N21" s="12">
        <f t="shared" si="1"/>
        <v>30.952</v>
      </c>
      <c r="O21" s="13">
        <f t="shared" si="2"/>
        <v>75.124</v>
      </c>
      <c r="XFA21" s="3"/>
      <c r="XFB21" s="3"/>
      <c r="XFC21" s="3"/>
      <c r="XFD21" s="3"/>
    </row>
    <row r="22" s="1" customFormat="1" ht="33" customHeight="1" spans="1:16384">
      <c r="A22" s="7">
        <v>20</v>
      </c>
      <c r="B22" s="7" t="s">
        <v>16</v>
      </c>
      <c r="C22" s="7" t="str">
        <f>"刘艳"</f>
        <v>刘艳</v>
      </c>
      <c r="D22" s="7" t="s">
        <v>17</v>
      </c>
      <c r="E22" s="6" t="s">
        <v>18</v>
      </c>
      <c r="F22" s="7" t="str">
        <f>"15010112702"</f>
        <v>15010112702</v>
      </c>
      <c r="G22" s="7" t="s">
        <v>27</v>
      </c>
      <c r="H22" s="7" t="s">
        <v>20</v>
      </c>
      <c r="I22" s="7">
        <v>72.93</v>
      </c>
      <c r="J22" s="7"/>
      <c r="K22" s="7">
        <v>72.93</v>
      </c>
      <c r="L22" s="10">
        <f t="shared" si="0"/>
        <v>43.758</v>
      </c>
      <c r="M22" s="11">
        <v>78.41</v>
      </c>
      <c r="N22" s="12">
        <f t="shared" si="1"/>
        <v>31.364</v>
      </c>
      <c r="O22" s="13">
        <f t="shared" si="2"/>
        <v>75.122</v>
      </c>
      <c r="XFA22" s="3"/>
      <c r="XFB22" s="3"/>
      <c r="XFC22" s="3"/>
      <c r="XFD22" s="3"/>
    </row>
    <row r="23" s="1" customFormat="1" ht="33" customHeight="1" spans="1:16384">
      <c r="A23" s="6">
        <v>21</v>
      </c>
      <c r="B23" s="7" t="s">
        <v>16</v>
      </c>
      <c r="C23" s="7" t="str">
        <f>"马丽芳"</f>
        <v>马丽芳</v>
      </c>
      <c r="D23" s="7" t="s">
        <v>17</v>
      </c>
      <c r="E23" s="6" t="s">
        <v>18</v>
      </c>
      <c r="F23" s="7" t="str">
        <f>"15010111730"</f>
        <v>15010111730</v>
      </c>
      <c r="G23" s="6" t="s">
        <v>19</v>
      </c>
      <c r="H23" s="7" t="s">
        <v>20</v>
      </c>
      <c r="I23" s="7">
        <v>74.28</v>
      </c>
      <c r="J23" s="7"/>
      <c r="K23" s="7">
        <v>74.28</v>
      </c>
      <c r="L23" s="10">
        <f t="shared" si="0"/>
        <v>44.568</v>
      </c>
      <c r="M23" s="11">
        <v>76.24</v>
      </c>
      <c r="N23" s="12">
        <f t="shared" si="1"/>
        <v>30.496</v>
      </c>
      <c r="O23" s="13">
        <f t="shared" si="2"/>
        <v>75.064</v>
      </c>
      <c r="XFA23" s="3"/>
      <c r="XFB23" s="3"/>
      <c r="XFC23" s="3"/>
      <c r="XFD23" s="3"/>
    </row>
    <row r="24" s="1" customFormat="1" ht="33" customHeight="1" spans="1:16384">
      <c r="A24" s="6">
        <v>22</v>
      </c>
      <c r="B24" s="7" t="s">
        <v>16</v>
      </c>
      <c r="C24" s="7" t="str">
        <f>"赵蓉"</f>
        <v>赵蓉</v>
      </c>
      <c r="D24" s="7" t="s">
        <v>17</v>
      </c>
      <c r="E24" s="6" t="s">
        <v>18</v>
      </c>
      <c r="F24" s="7" t="str">
        <f>"15010120916"</f>
        <v>15010120916</v>
      </c>
      <c r="G24" s="6" t="s">
        <v>19</v>
      </c>
      <c r="H24" s="7" t="s">
        <v>26</v>
      </c>
      <c r="I24" s="7">
        <v>74.17</v>
      </c>
      <c r="J24" s="7"/>
      <c r="K24" s="7">
        <v>74.17</v>
      </c>
      <c r="L24" s="10">
        <f t="shared" si="0"/>
        <v>44.502</v>
      </c>
      <c r="M24" s="11">
        <v>76.4</v>
      </c>
      <c r="N24" s="12">
        <f t="shared" si="1"/>
        <v>30.56</v>
      </c>
      <c r="O24" s="13">
        <f t="shared" si="2"/>
        <v>75.062</v>
      </c>
      <c r="XFA24" s="3"/>
      <c r="XFB24" s="3"/>
      <c r="XFC24" s="3"/>
      <c r="XFD24" s="3"/>
    </row>
    <row r="25" s="1" customFormat="1" ht="33" customHeight="1" spans="1:16384">
      <c r="A25" s="7">
        <v>23</v>
      </c>
      <c r="B25" s="7" t="s">
        <v>16</v>
      </c>
      <c r="C25" s="7" t="str">
        <f>"李雪"</f>
        <v>李雪</v>
      </c>
      <c r="D25" s="7" t="s">
        <v>17</v>
      </c>
      <c r="E25" s="6" t="s">
        <v>18</v>
      </c>
      <c r="F25" s="7" t="str">
        <f>"15010114208"</f>
        <v>15010114208</v>
      </c>
      <c r="G25" s="7" t="s">
        <v>24</v>
      </c>
      <c r="H25" s="7" t="s">
        <v>20</v>
      </c>
      <c r="I25" s="7">
        <v>71.86</v>
      </c>
      <c r="J25" s="7"/>
      <c r="K25" s="7">
        <v>71.86</v>
      </c>
      <c r="L25" s="10">
        <f t="shared" si="0"/>
        <v>43.116</v>
      </c>
      <c r="M25" s="11">
        <v>79.24</v>
      </c>
      <c r="N25" s="12">
        <f t="shared" si="1"/>
        <v>31.696</v>
      </c>
      <c r="O25" s="13">
        <f t="shared" si="2"/>
        <v>74.812</v>
      </c>
      <c r="XFA25" s="3"/>
      <c r="XFB25" s="3"/>
      <c r="XFC25" s="3"/>
      <c r="XFD25" s="3"/>
    </row>
    <row r="26" s="1" customFormat="1" ht="33" customHeight="1" spans="1:16384">
      <c r="A26" s="6">
        <v>24</v>
      </c>
      <c r="B26" s="7" t="s">
        <v>16</v>
      </c>
      <c r="C26" s="7" t="str">
        <f>"尚佩颖"</f>
        <v>尚佩颖</v>
      </c>
      <c r="D26" s="7" t="s">
        <v>17</v>
      </c>
      <c r="E26" s="6" t="s">
        <v>18</v>
      </c>
      <c r="F26" s="7" t="str">
        <f>"15010111907"</f>
        <v>15010111907</v>
      </c>
      <c r="G26" s="7" t="s">
        <v>24</v>
      </c>
      <c r="H26" s="7" t="s">
        <v>20</v>
      </c>
      <c r="I26" s="7">
        <v>72.12</v>
      </c>
      <c r="J26" s="7"/>
      <c r="K26" s="7">
        <v>72.12</v>
      </c>
      <c r="L26" s="10">
        <f t="shared" si="0"/>
        <v>43.272</v>
      </c>
      <c r="M26" s="11">
        <v>78.7</v>
      </c>
      <c r="N26" s="12">
        <f t="shared" si="1"/>
        <v>31.48</v>
      </c>
      <c r="O26" s="13">
        <f t="shared" si="2"/>
        <v>74.752</v>
      </c>
      <c r="XFA26" s="3"/>
      <c r="XFB26" s="3"/>
      <c r="XFC26" s="3"/>
      <c r="XFD26" s="3"/>
    </row>
    <row r="27" s="1" customFormat="1" ht="33" customHeight="1" spans="1:16384">
      <c r="A27" s="6">
        <v>25</v>
      </c>
      <c r="B27" s="7" t="s">
        <v>16</v>
      </c>
      <c r="C27" s="7" t="str">
        <f>"乔慧耀"</f>
        <v>乔慧耀</v>
      </c>
      <c r="D27" s="7" t="s">
        <v>17</v>
      </c>
      <c r="E27" s="6" t="s">
        <v>18</v>
      </c>
      <c r="F27" s="7" t="str">
        <f>"15010110813"</f>
        <v>15010110813</v>
      </c>
      <c r="G27" s="7" t="s">
        <v>24</v>
      </c>
      <c r="H27" s="7" t="s">
        <v>20</v>
      </c>
      <c r="I27" s="7">
        <v>71.28</v>
      </c>
      <c r="J27" s="7"/>
      <c r="K27" s="7">
        <v>71.28</v>
      </c>
      <c r="L27" s="10">
        <f t="shared" si="0"/>
        <v>42.768</v>
      </c>
      <c r="M27" s="11">
        <v>79.62</v>
      </c>
      <c r="N27" s="12">
        <f t="shared" si="1"/>
        <v>31.848</v>
      </c>
      <c r="O27" s="13">
        <f t="shared" si="2"/>
        <v>74.616</v>
      </c>
      <c r="XFA27" s="3"/>
      <c r="XFB27" s="3"/>
      <c r="XFC27" s="3"/>
      <c r="XFD27" s="3"/>
    </row>
    <row r="28" s="1" customFormat="1" ht="33" customHeight="1" spans="1:16384">
      <c r="A28" s="7">
        <v>26</v>
      </c>
      <c r="B28" s="7" t="s">
        <v>16</v>
      </c>
      <c r="C28" s="7" t="str">
        <f>"崔婷"</f>
        <v>崔婷</v>
      </c>
      <c r="D28" s="7" t="s">
        <v>17</v>
      </c>
      <c r="E28" s="6" t="s">
        <v>18</v>
      </c>
      <c r="F28" s="7" t="str">
        <f>"15010113027"</f>
        <v>15010113027</v>
      </c>
      <c r="G28" s="7" t="s">
        <v>23</v>
      </c>
      <c r="H28" s="7" t="s">
        <v>20</v>
      </c>
      <c r="I28" s="7">
        <v>73.91</v>
      </c>
      <c r="J28" s="7"/>
      <c r="K28" s="7">
        <v>73.91</v>
      </c>
      <c r="L28" s="10">
        <f t="shared" si="0"/>
        <v>44.346</v>
      </c>
      <c r="M28" s="11">
        <v>75.48</v>
      </c>
      <c r="N28" s="12">
        <f t="shared" si="1"/>
        <v>30.192</v>
      </c>
      <c r="O28" s="13">
        <f t="shared" si="2"/>
        <v>74.538</v>
      </c>
      <c r="XFA28" s="3"/>
      <c r="XFB28" s="3"/>
      <c r="XFC28" s="3"/>
      <c r="XFD28" s="3"/>
    </row>
    <row r="29" s="1" customFormat="1" ht="33" customHeight="1" spans="1:16384">
      <c r="A29" s="6">
        <v>27</v>
      </c>
      <c r="B29" s="7" t="s">
        <v>16</v>
      </c>
      <c r="C29" s="7" t="str">
        <f>"郭玥"</f>
        <v>郭玥</v>
      </c>
      <c r="D29" s="7" t="s">
        <v>17</v>
      </c>
      <c r="E29" s="6" t="s">
        <v>18</v>
      </c>
      <c r="F29" s="7" t="str">
        <f>"15010112728"</f>
        <v>15010112728</v>
      </c>
      <c r="G29" s="7" t="s">
        <v>24</v>
      </c>
      <c r="H29" s="7" t="s">
        <v>20</v>
      </c>
      <c r="I29" s="7">
        <v>73.89</v>
      </c>
      <c r="J29" s="7"/>
      <c r="K29" s="7">
        <v>73.89</v>
      </c>
      <c r="L29" s="10">
        <f t="shared" si="0"/>
        <v>44.334</v>
      </c>
      <c r="M29" s="11">
        <v>75.24</v>
      </c>
      <c r="N29" s="12">
        <f t="shared" si="1"/>
        <v>30.096</v>
      </c>
      <c r="O29" s="13">
        <f t="shared" si="2"/>
        <v>74.43</v>
      </c>
      <c r="XFA29" s="3"/>
      <c r="XFB29" s="3"/>
      <c r="XFC29" s="3"/>
      <c r="XFD29" s="3"/>
    </row>
    <row r="30" s="1" customFormat="1" ht="33" customHeight="1" spans="1:16384">
      <c r="A30" s="6">
        <v>28</v>
      </c>
      <c r="B30" s="7" t="s">
        <v>16</v>
      </c>
      <c r="C30" s="7" t="str">
        <f>"贾可"</f>
        <v>贾可</v>
      </c>
      <c r="D30" s="7" t="s">
        <v>17</v>
      </c>
      <c r="E30" s="6" t="s">
        <v>18</v>
      </c>
      <c r="F30" s="7" t="str">
        <f>"15010111109"</f>
        <v>15010111109</v>
      </c>
      <c r="G30" s="7" t="s">
        <v>21</v>
      </c>
      <c r="H30" s="7" t="s">
        <v>20</v>
      </c>
      <c r="I30" s="7">
        <v>74.6</v>
      </c>
      <c r="J30" s="7"/>
      <c r="K30" s="7">
        <v>74.6</v>
      </c>
      <c r="L30" s="10">
        <f t="shared" si="0"/>
        <v>44.76</v>
      </c>
      <c r="M30" s="11">
        <v>73.9</v>
      </c>
      <c r="N30" s="12">
        <f t="shared" si="1"/>
        <v>29.56</v>
      </c>
      <c r="O30" s="13">
        <f t="shared" si="2"/>
        <v>74.32</v>
      </c>
      <c r="XFA30" s="3"/>
      <c r="XFB30" s="3"/>
      <c r="XFC30" s="3"/>
      <c r="XFD30" s="3"/>
    </row>
    <row r="31" s="1" customFormat="1" ht="33" customHeight="1" spans="1:16384">
      <c r="A31" s="7">
        <v>29</v>
      </c>
      <c r="B31" s="7" t="s">
        <v>16</v>
      </c>
      <c r="C31" s="7" t="str">
        <f>"王淏"</f>
        <v>王淏</v>
      </c>
      <c r="D31" s="7" t="s">
        <v>22</v>
      </c>
      <c r="E31" s="6" t="s">
        <v>18</v>
      </c>
      <c r="F31" s="7" t="str">
        <f>"15010112724"</f>
        <v>15010112724</v>
      </c>
      <c r="G31" s="7" t="s">
        <v>28</v>
      </c>
      <c r="H31" s="7" t="s">
        <v>20</v>
      </c>
      <c r="I31" s="7">
        <v>69.65</v>
      </c>
      <c r="J31" s="7"/>
      <c r="K31" s="7">
        <v>69.65</v>
      </c>
      <c r="L31" s="10">
        <f t="shared" si="0"/>
        <v>41.79</v>
      </c>
      <c r="M31" s="11">
        <v>81.3</v>
      </c>
      <c r="N31" s="12">
        <f t="shared" si="1"/>
        <v>32.52</v>
      </c>
      <c r="O31" s="13">
        <f t="shared" si="2"/>
        <v>74.31</v>
      </c>
      <c r="XFA31" s="3"/>
      <c r="XFB31" s="3"/>
      <c r="XFC31" s="3"/>
      <c r="XFD31" s="3"/>
    </row>
    <row r="32" s="1" customFormat="1" ht="33" customHeight="1" spans="1:16384">
      <c r="A32" s="6">
        <v>30</v>
      </c>
      <c r="B32" s="7" t="s">
        <v>16</v>
      </c>
      <c r="C32" s="7" t="str">
        <f>"何瑞"</f>
        <v>何瑞</v>
      </c>
      <c r="D32" s="7" t="s">
        <v>22</v>
      </c>
      <c r="E32" s="6" t="s">
        <v>18</v>
      </c>
      <c r="F32" s="7" t="str">
        <f>"15010121511"</f>
        <v>15010121511</v>
      </c>
      <c r="G32" s="7" t="s">
        <v>24</v>
      </c>
      <c r="H32" s="7" t="s">
        <v>20</v>
      </c>
      <c r="I32" s="7">
        <v>70.82</v>
      </c>
      <c r="J32" s="7"/>
      <c r="K32" s="7">
        <v>70.82</v>
      </c>
      <c r="L32" s="10">
        <f t="shared" si="0"/>
        <v>42.492</v>
      </c>
      <c r="M32" s="11">
        <v>78.76</v>
      </c>
      <c r="N32" s="12">
        <f t="shared" si="1"/>
        <v>31.504</v>
      </c>
      <c r="O32" s="13">
        <f t="shared" si="2"/>
        <v>73.996</v>
      </c>
      <c r="XFA32" s="3"/>
      <c r="XFB32" s="3"/>
      <c r="XFC32" s="3"/>
      <c r="XFD32" s="3"/>
    </row>
    <row r="33" s="1" customFormat="1" ht="33" customHeight="1" spans="1:16384">
      <c r="A33" s="6">
        <v>31</v>
      </c>
      <c r="B33" s="7" t="s">
        <v>16</v>
      </c>
      <c r="C33" s="7" t="str">
        <f>"徐倩"</f>
        <v>徐倩</v>
      </c>
      <c r="D33" s="7" t="s">
        <v>17</v>
      </c>
      <c r="E33" s="6" t="s">
        <v>18</v>
      </c>
      <c r="F33" s="7" t="str">
        <f>"15010110911"</f>
        <v>15010110911</v>
      </c>
      <c r="G33" s="7" t="s">
        <v>23</v>
      </c>
      <c r="H33" s="7" t="s">
        <v>20</v>
      </c>
      <c r="I33" s="7">
        <v>73.2</v>
      </c>
      <c r="J33" s="7"/>
      <c r="K33" s="7">
        <v>73.2</v>
      </c>
      <c r="L33" s="10">
        <f t="shared" si="0"/>
        <v>43.92</v>
      </c>
      <c r="M33" s="11">
        <v>75.1</v>
      </c>
      <c r="N33" s="12">
        <f t="shared" si="1"/>
        <v>30.04</v>
      </c>
      <c r="O33" s="13">
        <f t="shared" si="2"/>
        <v>73.96</v>
      </c>
      <c r="XFA33" s="3"/>
      <c r="XFB33" s="3"/>
      <c r="XFC33" s="3"/>
      <c r="XFD33" s="3"/>
    </row>
    <row r="34" s="1" customFormat="1" ht="33" customHeight="1" spans="1:16384">
      <c r="A34" s="7">
        <v>32</v>
      </c>
      <c r="B34" s="7" t="s">
        <v>16</v>
      </c>
      <c r="C34" s="7" t="str">
        <f>"齐叶玲"</f>
        <v>齐叶玲</v>
      </c>
      <c r="D34" s="7" t="s">
        <v>17</v>
      </c>
      <c r="E34" s="6" t="s">
        <v>25</v>
      </c>
      <c r="F34" s="7" t="str">
        <f>"15010121124"</f>
        <v>15010121124</v>
      </c>
      <c r="G34" s="7" t="s">
        <v>24</v>
      </c>
      <c r="H34" s="7" t="s">
        <v>20</v>
      </c>
      <c r="I34" s="7">
        <v>68.15</v>
      </c>
      <c r="J34" s="7">
        <v>2.5</v>
      </c>
      <c r="K34" s="7">
        <v>70.65</v>
      </c>
      <c r="L34" s="10">
        <f t="shared" si="0"/>
        <v>42.39</v>
      </c>
      <c r="M34" s="11">
        <v>78.6</v>
      </c>
      <c r="N34" s="12">
        <f t="shared" si="1"/>
        <v>31.44</v>
      </c>
      <c r="O34" s="13">
        <f t="shared" si="2"/>
        <v>73.83</v>
      </c>
      <c r="XFA34" s="3"/>
      <c r="XFB34" s="3"/>
      <c r="XFC34" s="3"/>
      <c r="XFD34" s="3"/>
    </row>
    <row r="35" s="1" customFormat="1" ht="33" customHeight="1" spans="1:16384">
      <c r="A35" s="6">
        <v>33</v>
      </c>
      <c r="B35" s="7" t="s">
        <v>16</v>
      </c>
      <c r="C35" s="7" t="str">
        <f>"何丽"</f>
        <v>何丽</v>
      </c>
      <c r="D35" s="7" t="s">
        <v>17</v>
      </c>
      <c r="E35" s="6" t="s">
        <v>18</v>
      </c>
      <c r="F35" s="7" t="str">
        <f>"15010110524"</f>
        <v>15010110524</v>
      </c>
      <c r="G35" s="7" t="s">
        <v>21</v>
      </c>
      <c r="H35" s="7" t="s">
        <v>20</v>
      </c>
      <c r="I35" s="7">
        <v>71.65</v>
      </c>
      <c r="J35" s="7"/>
      <c r="K35" s="7">
        <v>71.65</v>
      </c>
      <c r="L35" s="10">
        <f t="shared" si="0"/>
        <v>42.99</v>
      </c>
      <c r="M35" s="11">
        <v>76.9</v>
      </c>
      <c r="N35" s="12">
        <f t="shared" si="1"/>
        <v>30.76</v>
      </c>
      <c r="O35" s="13">
        <f t="shared" si="2"/>
        <v>73.75</v>
      </c>
      <c r="XFA35" s="3"/>
      <c r="XFB35" s="3"/>
      <c r="XFC35" s="3"/>
      <c r="XFD35" s="3"/>
    </row>
    <row r="36" s="1" customFormat="1" ht="33" customHeight="1" spans="1:16384">
      <c r="A36" s="6">
        <v>34</v>
      </c>
      <c r="B36" s="7" t="s">
        <v>16</v>
      </c>
      <c r="C36" s="7" t="str">
        <f>"武小丽"</f>
        <v>武小丽</v>
      </c>
      <c r="D36" s="7" t="s">
        <v>17</v>
      </c>
      <c r="E36" s="6" t="s">
        <v>18</v>
      </c>
      <c r="F36" s="7" t="str">
        <f>"15010110330"</f>
        <v>15010110330</v>
      </c>
      <c r="G36" s="7" t="s">
        <v>29</v>
      </c>
      <c r="H36" s="7" t="s">
        <v>20</v>
      </c>
      <c r="I36" s="7">
        <v>71.9</v>
      </c>
      <c r="J36" s="7"/>
      <c r="K36" s="7">
        <v>71.9</v>
      </c>
      <c r="L36" s="10">
        <f t="shared" si="0"/>
        <v>43.14</v>
      </c>
      <c r="M36" s="11">
        <v>76.44</v>
      </c>
      <c r="N36" s="12">
        <f t="shared" si="1"/>
        <v>30.576</v>
      </c>
      <c r="O36" s="13">
        <f t="shared" si="2"/>
        <v>73.716</v>
      </c>
      <c r="XFA36" s="3"/>
      <c r="XFB36" s="3"/>
      <c r="XFC36" s="3"/>
      <c r="XFD36" s="3"/>
    </row>
    <row r="37" s="1" customFormat="1" ht="33" customHeight="1" spans="1:16384">
      <c r="A37" s="7">
        <v>35</v>
      </c>
      <c r="B37" s="7" t="s">
        <v>16</v>
      </c>
      <c r="C37" s="7" t="str">
        <f>"王柏粤"</f>
        <v>王柏粤</v>
      </c>
      <c r="D37" s="7" t="s">
        <v>22</v>
      </c>
      <c r="E37" s="6" t="s">
        <v>18</v>
      </c>
      <c r="F37" s="7" t="str">
        <f>"15010110210"</f>
        <v>15010110210</v>
      </c>
      <c r="G37" s="7" t="s">
        <v>24</v>
      </c>
      <c r="H37" s="7" t="s">
        <v>20</v>
      </c>
      <c r="I37" s="7">
        <v>72.12</v>
      </c>
      <c r="J37" s="7"/>
      <c r="K37" s="7">
        <v>72.12</v>
      </c>
      <c r="L37" s="10">
        <f t="shared" si="0"/>
        <v>43.272</v>
      </c>
      <c r="M37" s="11">
        <v>75.8</v>
      </c>
      <c r="N37" s="12">
        <f t="shared" si="1"/>
        <v>30.32</v>
      </c>
      <c r="O37" s="13">
        <f t="shared" si="2"/>
        <v>73.592</v>
      </c>
      <c r="XFA37" s="3"/>
      <c r="XFB37" s="3"/>
      <c r="XFC37" s="3"/>
      <c r="XFD37" s="3"/>
    </row>
    <row r="38" s="1" customFormat="1" ht="33" customHeight="1" spans="1:16384">
      <c r="A38" s="6">
        <v>36</v>
      </c>
      <c r="B38" s="7" t="s">
        <v>16</v>
      </c>
      <c r="C38" s="7" t="str">
        <f>"薛娜"</f>
        <v>薛娜</v>
      </c>
      <c r="D38" s="7" t="s">
        <v>17</v>
      </c>
      <c r="E38" s="6" t="s">
        <v>18</v>
      </c>
      <c r="F38" s="7" t="str">
        <f>"15010112806"</f>
        <v>15010112806</v>
      </c>
      <c r="G38" s="7" t="s">
        <v>28</v>
      </c>
      <c r="H38" s="7" t="s">
        <v>20</v>
      </c>
      <c r="I38" s="7">
        <v>69.55</v>
      </c>
      <c r="J38" s="7"/>
      <c r="K38" s="7">
        <v>69.55</v>
      </c>
      <c r="L38" s="10">
        <f t="shared" si="0"/>
        <v>41.73</v>
      </c>
      <c r="M38" s="11">
        <v>79.56</v>
      </c>
      <c r="N38" s="12">
        <f t="shared" si="1"/>
        <v>31.824</v>
      </c>
      <c r="O38" s="13">
        <f t="shared" si="2"/>
        <v>73.554</v>
      </c>
      <c r="XFA38" s="3"/>
      <c r="XFB38" s="3"/>
      <c r="XFC38" s="3"/>
      <c r="XFD38" s="3"/>
    </row>
    <row r="39" s="1" customFormat="1" ht="33" customHeight="1" spans="1:16384">
      <c r="A39" s="6">
        <v>37</v>
      </c>
      <c r="B39" s="7" t="s">
        <v>16</v>
      </c>
      <c r="C39" s="7" t="str">
        <f>"王智鹏"</f>
        <v>王智鹏</v>
      </c>
      <c r="D39" s="7" t="s">
        <v>22</v>
      </c>
      <c r="E39" s="6" t="s">
        <v>25</v>
      </c>
      <c r="F39" s="7" t="str">
        <f>"15010111406"</f>
        <v>15010111406</v>
      </c>
      <c r="G39" s="7" t="s">
        <v>24</v>
      </c>
      <c r="H39" s="7" t="s">
        <v>20</v>
      </c>
      <c r="I39" s="7">
        <v>70.14</v>
      </c>
      <c r="J39" s="7">
        <v>2.5</v>
      </c>
      <c r="K39" s="7">
        <v>72.64</v>
      </c>
      <c r="L39" s="10">
        <f t="shared" si="0"/>
        <v>43.584</v>
      </c>
      <c r="M39" s="11">
        <v>74.9</v>
      </c>
      <c r="N39" s="12">
        <f t="shared" si="1"/>
        <v>29.96</v>
      </c>
      <c r="O39" s="13">
        <f t="shared" si="2"/>
        <v>73.544</v>
      </c>
      <c r="XFA39" s="3"/>
      <c r="XFB39" s="3"/>
      <c r="XFC39" s="3"/>
      <c r="XFD39" s="3"/>
    </row>
    <row r="40" s="1" customFormat="1" ht="33" customHeight="1" spans="1:16384">
      <c r="A40" s="7">
        <v>38</v>
      </c>
      <c r="B40" s="7" t="s">
        <v>16</v>
      </c>
      <c r="C40" s="7" t="str">
        <f>"张慧"</f>
        <v>张慧</v>
      </c>
      <c r="D40" s="7" t="s">
        <v>17</v>
      </c>
      <c r="E40" s="6" t="s">
        <v>18</v>
      </c>
      <c r="F40" s="7" t="str">
        <f>"15010120616"</f>
        <v>15010120616</v>
      </c>
      <c r="G40" s="7" t="s">
        <v>23</v>
      </c>
      <c r="H40" s="7" t="s">
        <v>30</v>
      </c>
      <c r="I40" s="7">
        <v>70.17</v>
      </c>
      <c r="J40" s="7"/>
      <c r="K40" s="7">
        <v>70.17</v>
      </c>
      <c r="L40" s="10">
        <f t="shared" si="0"/>
        <v>42.102</v>
      </c>
      <c r="M40" s="11">
        <v>78.56</v>
      </c>
      <c r="N40" s="12">
        <f t="shared" si="1"/>
        <v>31.424</v>
      </c>
      <c r="O40" s="13">
        <f t="shared" si="2"/>
        <v>73.526</v>
      </c>
      <c r="XFA40" s="3"/>
      <c r="XFB40" s="3"/>
      <c r="XFC40" s="3"/>
      <c r="XFD40" s="3"/>
    </row>
    <row r="41" s="1" customFormat="1" ht="33" customHeight="1" spans="1:16384">
      <c r="A41" s="6">
        <v>39</v>
      </c>
      <c r="B41" s="7" t="s">
        <v>16</v>
      </c>
      <c r="C41" s="7" t="str">
        <f>"宋燕"</f>
        <v>宋燕</v>
      </c>
      <c r="D41" s="7" t="s">
        <v>17</v>
      </c>
      <c r="E41" s="6" t="s">
        <v>18</v>
      </c>
      <c r="F41" s="7" t="str">
        <f>"15010114505"</f>
        <v>15010114505</v>
      </c>
      <c r="G41" s="7" t="s">
        <v>27</v>
      </c>
      <c r="H41" s="7" t="s">
        <v>20</v>
      </c>
      <c r="I41" s="7">
        <v>71.75</v>
      </c>
      <c r="J41" s="7"/>
      <c r="K41" s="7">
        <v>71.75</v>
      </c>
      <c r="L41" s="10">
        <f t="shared" si="0"/>
        <v>43.05</v>
      </c>
      <c r="M41" s="11">
        <v>76.06</v>
      </c>
      <c r="N41" s="12">
        <f t="shared" si="1"/>
        <v>30.424</v>
      </c>
      <c r="O41" s="13">
        <f t="shared" si="2"/>
        <v>73.474</v>
      </c>
      <c r="XFA41" s="3"/>
      <c r="XFB41" s="3"/>
      <c r="XFC41" s="3"/>
      <c r="XFD41" s="3"/>
    </row>
    <row r="42" s="1" customFormat="1" ht="33" customHeight="1" spans="1:16384">
      <c r="A42" s="6">
        <v>40</v>
      </c>
      <c r="B42" s="7" t="s">
        <v>16</v>
      </c>
      <c r="C42" s="7" t="str">
        <f>"刘娜"</f>
        <v>刘娜</v>
      </c>
      <c r="D42" s="7" t="s">
        <v>17</v>
      </c>
      <c r="E42" s="6" t="s">
        <v>18</v>
      </c>
      <c r="F42" s="7" t="str">
        <f>"15010112620"</f>
        <v>15010112620</v>
      </c>
      <c r="G42" s="7" t="s">
        <v>29</v>
      </c>
      <c r="H42" s="7" t="s">
        <v>20</v>
      </c>
      <c r="I42" s="7">
        <v>71.73</v>
      </c>
      <c r="J42" s="7"/>
      <c r="K42" s="7">
        <v>71.73</v>
      </c>
      <c r="L42" s="10">
        <f t="shared" si="0"/>
        <v>43.038</v>
      </c>
      <c r="M42" s="11">
        <v>75.82</v>
      </c>
      <c r="N42" s="12">
        <f t="shared" si="1"/>
        <v>30.328</v>
      </c>
      <c r="O42" s="13">
        <f t="shared" si="2"/>
        <v>73.366</v>
      </c>
      <c r="XFA42" s="3"/>
      <c r="XFB42" s="3"/>
      <c r="XFC42" s="3"/>
      <c r="XFD42" s="3"/>
    </row>
    <row r="43" s="1" customFormat="1" ht="33" customHeight="1" spans="1:16384">
      <c r="A43" s="7">
        <v>41</v>
      </c>
      <c r="B43" s="7" t="s">
        <v>16</v>
      </c>
      <c r="C43" s="7" t="str">
        <f>"韩多多"</f>
        <v>韩多多</v>
      </c>
      <c r="D43" s="7" t="s">
        <v>17</v>
      </c>
      <c r="E43" s="6" t="s">
        <v>18</v>
      </c>
      <c r="F43" s="7" t="str">
        <f>"15010113225"</f>
        <v>15010113225</v>
      </c>
      <c r="G43" s="7" t="s">
        <v>29</v>
      </c>
      <c r="H43" s="7" t="s">
        <v>20</v>
      </c>
      <c r="I43" s="7">
        <v>67.52</v>
      </c>
      <c r="J43" s="7"/>
      <c r="K43" s="7">
        <v>67.52</v>
      </c>
      <c r="L43" s="10">
        <f t="shared" si="0"/>
        <v>40.512</v>
      </c>
      <c r="M43" s="11">
        <v>82.06</v>
      </c>
      <c r="N43" s="12">
        <f t="shared" si="1"/>
        <v>32.824</v>
      </c>
      <c r="O43" s="13">
        <f t="shared" si="2"/>
        <v>73.336</v>
      </c>
      <c r="XFA43" s="3"/>
      <c r="XFB43" s="3"/>
      <c r="XFC43" s="3"/>
      <c r="XFD43" s="3"/>
    </row>
    <row r="44" s="1" customFormat="1" ht="33" customHeight="1" spans="1:16384">
      <c r="A44" s="6">
        <v>42</v>
      </c>
      <c r="B44" s="7" t="s">
        <v>16</v>
      </c>
      <c r="C44" s="7" t="str">
        <f>"刘倩"</f>
        <v>刘倩</v>
      </c>
      <c r="D44" s="7" t="s">
        <v>17</v>
      </c>
      <c r="E44" s="6" t="s">
        <v>18</v>
      </c>
      <c r="F44" s="7" t="str">
        <f>"15010113418"</f>
        <v>15010113418</v>
      </c>
      <c r="G44" s="7" t="s">
        <v>24</v>
      </c>
      <c r="H44" s="7" t="s">
        <v>30</v>
      </c>
      <c r="I44" s="7">
        <v>73.68</v>
      </c>
      <c r="J44" s="7"/>
      <c r="K44" s="7">
        <v>73.68</v>
      </c>
      <c r="L44" s="10">
        <f t="shared" si="0"/>
        <v>44.208</v>
      </c>
      <c r="M44" s="11">
        <v>72.7</v>
      </c>
      <c r="N44" s="12">
        <f t="shared" si="1"/>
        <v>29.08</v>
      </c>
      <c r="O44" s="13">
        <f t="shared" si="2"/>
        <v>73.288</v>
      </c>
      <c r="XFA44" s="3"/>
      <c r="XFB44" s="3"/>
      <c r="XFC44" s="3"/>
      <c r="XFD44" s="3"/>
    </row>
    <row r="45" s="1" customFormat="1" ht="33" customHeight="1" spans="1:16384">
      <c r="A45" s="6">
        <v>43</v>
      </c>
      <c r="B45" s="7" t="s">
        <v>16</v>
      </c>
      <c r="C45" s="7" t="str">
        <f>"杨虎正"</f>
        <v>杨虎正</v>
      </c>
      <c r="D45" s="7" t="s">
        <v>22</v>
      </c>
      <c r="E45" s="6" t="s">
        <v>18</v>
      </c>
      <c r="F45" s="7" t="str">
        <f>"15010113429"</f>
        <v>15010113429</v>
      </c>
      <c r="G45" s="7" t="s">
        <v>24</v>
      </c>
      <c r="H45" s="7" t="s">
        <v>20</v>
      </c>
      <c r="I45" s="7">
        <v>69.69</v>
      </c>
      <c r="J45" s="7"/>
      <c r="K45" s="7">
        <v>69.69</v>
      </c>
      <c r="L45" s="10">
        <f t="shared" si="0"/>
        <v>41.814</v>
      </c>
      <c r="M45" s="11">
        <v>78.6</v>
      </c>
      <c r="N45" s="12">
        <f t="shared" si="1"/>
        <v>31.44</v>
      </c>
      <c r="O45" s="13">
        <f t="shared" si="2"/>
        <v>73.254</v>
      </c>
      <c r="XFA45" s="3"/>
      <c r="XFB45" s="3"/>
      <c r="XFC45" s="3"/>
      <c r="XFD45" s="3"/>
    </row>
    <row r="46" s="1" customFormat="1" ht="33" customHeight="1" spans="1:16384">
      <c r="A46" s="7">
        <v>44</v>
      </c>
      <c r="B46" s="7" t="s">
        <v>16</v>
      </c>
      <c r="C46" s="7" t="str">
        <f>"方郑杰"</f>
        <v>方郑杰</v>
      </c>
      <c r="D46" s="7" t="s">
        <v>22</v>
      </c>
      <c r="E46" s="6" t="s">
        <v>18</v>
      </c>
      <c r="F46" s="7" t="str">
        <f>"15010111709"</f>
        <v>15010111709</v>
      </c>
      <c r="G46" s="7" t="s">
        <v>24</v>
      </c>
      <c r="H46" s="7" t="s">
        <v>20</v>
      </c>
      <c r="I46" s="7">
        <v>69.91</v>
      </c>
      <c r="J46" s="7"/>
      <c r="K46" s="7">
        <v>69.91</v>
      </c>
      <c r="L46" s="10">
        <f t="shared" si="0"/>
        <v>41.946</v>
      </c>
      <c r="M46" s="11">
        <v>78.22</v>
      </c>
      <c r="N46" s="12">
        <f t="shared" si="1"/>
        <v>31.288</v>
      </c>
      <c r="O46" s="13">
        <f t="shared" si="2"/>
        <v>73.234</v>
      </c>
      <c r="XFA46" s="3"/>
      <c r="XFB46" s="3"/>
      <c r="XFC46" s="3"/>
      <c r="XFD46" s="3"/>
    </row>
    <row r="47" s="1" customFormat="1" ht="33" customHeight="1" spans="1:16384">
      <c r="A47" s="6">
        <v>45</v>
      </c>
      <c r="B47" s="7" t="s">
        <v>16</v>
      </c>
      <c r="C47" s="7" t="str">
        <f>"乔鹭"</f>
        <v>乔鹭</v>
      </c>
      <c r="D47" s="7" t="s">
        <v>17</v>
      </c>
      <c r="E47" s="6" t="s">
        <v>18</v>
      </c>
      <c r="F47" s="7" t="str">
        <f>"15010110110"</f>
        <v>15010110110</v>
      </c>
      <c r="G47" s="7" t="s">
        <v>28</v>
      </c>
      <c r="H47" s="7" t="s">
        <v>20</v>
      </c>
      <c r="I47" s="7">
        <v>68.76</v>
      </c>
      <c r="J47" s="7"/>
      <c r="K47" s="7">
        <v>68.76</v>
      </c>
      <c r="L47" s="10">
        <f t="shared" si="0"/>
        <v>41.256</v>
      </c>
      <c r="M47" s="11">
        <v>79.86</v>
      </c>
      <c r="N47" s="12">
        <f t="shared" si="1"/>
        <v>31.944</v>
      </c>
      <c r="O47" s="13">
        <f t="shared" si="2"/>
        <v>73.2</v>
      </c>
      <c r="XFA47" s="3"/>
      <c r="XFB47" s="3"/>
      <c r="XFC47" s="3"/>
      <c r="XFD47" s="3"/>
    </row>
    <row r="48" s="1" customFormat="1" ht="33" customHeight="1" spans="1:16384">
      <c r="A48" s="6">
        <v>46</v>
      </c>
      <c r="B48" s="7" t="s">
        <v>16</v>
      </c>
      <c r="C48" s="7" t="str">
        <f>"高倩"</f>
        <v>高倩</v>
      </c>
      <c r="D48" s="7" t="s">
        <v>17</v>
      </c>
      <c r="E48" s="6" t="s">
        <v>18</v>
      </c>
      <c r="F48" s="7" t="str">
        <f>"15010121210"</f>
        <v>15010121210</v>
      </c>
      <c r="G48" s="7" t="s">
        <v>29</v>
      </c>
      <c r="H48" s="7" t="s">
        <v>20</v>
      </c>
      <c r="I48" s="7">
        <v>72.81</v>
      </c>
      <c r="J48" s="7"/>
      <c r="K48" s="7">
        <v>72.81</v>
      </c>
      <c r="L48" s="10">
        <f t="shared" si="0"/>
        <v>43.686</v>
      </c>
      <c r="M48" s="11">
        <v>73.46</v>
      </c>
      <c r="N48" s="12">
        <f t="shared" si="1"/>
        <v>29.384</v>
      </c>
      <c r="O48" s="13">
        <f t="shared" si="2"/>
        <v>73.07</v>
      </c>
      <c r="XFA48" s="3"/>
      <c r="XFB48" s="3"/>
      <c r="XFC48" s="3"/>
      <c r="XFD48" s="3"/>
    </row>
    <row r="49" s="1" customFormat="1" ht="33" customHeight="1" spans="1:16384">
      <c r="A49" s="7">
        <v>47</v>
      </c>
      <c r="B49" s="7" t="s">
        <v>16</v>
      </c>
      <c r="C49" s="7" t="str">
        <f>"刘艺高"</f>
        <v>刘艺高</v>
      </c>
      <c r="D49" s="7" t="s">
        <v>22</v>
      </c>
      <c r="E49" s="6" t="s">
        <v>25</v>
      </c>
      <c r="F49" s="7" t="str">
        <f>"15010112428"</f>
        <v>15010112428</v>
      </c>
      <c r="G49" s="7" t="s">
        <v>23</v>
      </c>
      <c r="H49" s="7" t="s">
        <v>20</v>
      </c>
      <c r="I49" s="7">
        <v>67.9</v>
      </c>
      <c r="J49" s="7">
        <v>2.5</v>
      </c>
      <c r="K49" s="7">
        <v>70.4</v>
      </c>
      <c r="L49" s="10">
        <f t="shared" si="0"/>
        <v>42.24</v>
      </c>
      <c r="M49" s="11">
        <v>76.9</v>
      </c>
      <c r="N49" s="12">
        <f t="shared" si="1"/>
        <v>30.76</v>
      </c>
      <c r="O49" s="13">
        <f t="shared" si="2"/>
        <v>73</v>
      </c>
      <c r="XFA49" s="3"/>
      <c r="XFB49" s="3"/>
      <c r="XFC49" s="3"/>
      <c r="XFD49" s="3"/>
    </row>
    <row r="50" s="1" customFormat="1" ht="33" customHeight="1" spans="1:16384">
      <c r="A50" s="6">
        <v>48</v>
      </c>
      <c r="B50" s="7" t="s">
        <v>16</v>
      </c>
      <c r="C50" s="7" t="str">
        <f>"丁悦"</f>
        <v>丁悦</v>
      </c>
      <c r="D50" s="7" t="s">
        <v>17</v>
      </c>
      <c r="E50" s="6" t="s">
        <v>18</v>
      </c>
      <c r="F50" s="7" t="str">
        <f>"15010112226"</f>
        <v>15010112226</v>
      </c>
      <c r="G50" s="7" t="s">
        <v>24</v>
      </c>
      <c r="H50" s="7" t="s">
        <v>20</v>
      </c>
      <c r="I50" s="7">
        <v>68.72</v>
      </c>
      <c r="J50" s="7"/>
      <c r="K50" s="7">
        <v>68.72</v>
      </c>
      <c r="L50" s="10">
        <f t="shared" si="0"/>
        <v>41.232</v>
      </c>
      <c r="M50" s="11">
        <v>79.4</v>
      </c>
      <c r="N50" s="12">
        <f t="shared" si="1"/>
        <v>31.76</v>
      </c>
      <c r="O50" s="13">
        <f t="shared" si="2"/>
        <v>72.992</v>
      </c>
      <c r="XFA50" s="3"/>
      <c r="XFB50" s="3"/>
      <c r="XFC50" s="3"/>
      <c r="XFD50" s="3"/>
    </row>
    <row r="51" s="1" customFormat="1" ht="33" customHeight="1" spans="1:16384">
      <c r="A51" s="6">
        <v>49</v>
      </c>
      <c r="B51" s="7" t="s">
        <v>16</v>
      </c>
      <c r="C51" s="7" t="str">
        <f>"张彩红"</f>
        <v>张彩红</v>
      </c>
      <c r="D51" s="7" t="s">
        <v>17</v>
      </c>
      <c r="E51" s="6" t="s">
        <v>18</v>
      </c>
      <c r="F51" s="7" t="str">
        <f>"15010113404"</f>
        <v>15010113404</v>
      </c>
      <c r="G51" s="7" t="s">
        <v>21</v>
      </c>
      <c r="H51" s="7" t="s">
        <v>20</v>
      </c>
      <c r="I51" s="7">
        <v>71.82</v>
      </c>
      <c r="J51" s="7"/>
      <c r="K51" s="7">
        <v>71.82</v>
      </c>
      <c r="L51" s="10">
        <f t="shared" si="0"/>
        <v>43.092</v>
      </c>
      <c r="M51" s="11">
        <v>74.62</v>
      </c>
      <c r="N51" s="12">
        <f t="shared" si="1"/>
        <v>29.848</v>
      </c>
      <c r="O51" s="13">
        <f t="shared" si="2"/>
        <v>72.94</v>
      </c>
      <c r="XFA51" s="3"/>
      <c r="XFB51" s="3"/>
      <c r="XFC51" s="3"/>
      <c r="XFD51" s="3"/>
    </row>
    <row r="52" s="1" customFormat="1" ht="33" customHeight="1" spans="1:16384">
      <c r="A52" s="7">
        <v>50</v>
      </c>
      <c r="B52" s="7" t="s">
        <v>16</v>
      </c>
      <c r="C52" s="7" t="str">
        <f>"杨舒媛"</f>
        <v>杨舒媛</v>
      </c>
      <c r="D52" s="7" t="s">
        <v>17</v>
      </c>
      <c r="E52" s="6" t="s">
        <v>18</v>
      </c>
      <c r="F52" s="7" t="str">
        <f>"15010114520"</f>
        <v>15010114520</v>
      </c>
      <c r="G52" s="7" t="s">
        <v>24</v>
      </c>
      <c r="H52" s="7" t="s">
        <v>26</v>
      </c>
      <c r="I52" s="7">
        <v>70.29</v>
      </c>
      <c r="J52" s="7"/>
      <c r="K52" s="7">
        <v>70.29</v>
      </c>
      <c r="L52" s="10">
        <f t="shared" si="0"/>
        <v>42.174</v>
      </c>
      <c r="M52" s="11">
        <v>76.82</v>
      </c>
      <c r="N52" s="12">
        <f t="shared" si="1"/>
        <v>30.728</v>
      </c>
      <c r="O52" s="13">
        <f t="shared" si="2"/>
        <v>72.902</v>
      </c>
      <c r="XFA52" s="3"/>
      <c r="XFB52" s="3"/>
      <c r="XFC52" s="3"/>
      <c r="XFD52" s="3"/>
    </row>
    <row r="53" s="1" customFormat="1" ht="33" customHeight="1" spans="1:16384">
      <c r="A53" s="6">
        <v>51</v>
      </c>
      <c r="B53" s="7" t="s">
        <v>16</v>
      </c>
      <c r="C53" s="7" t="str">
        <f>"李艳"</f>
        <v>李艳</v>
      </c>
      <c r="D53" s="7" t="s">
        <v>17</v>
      </c>
      <c r="E53" s="6" t="s">
        <v>18</v>
      </c>
      <c r="F53" s="7" t="str">
        <f>"15010120405"</f>
        <v>15010120405</v>
      </c>
      <c r="G53" s="7" t="s">
        <v>24</v>
      </c>
      <c r="H53" s="7" t="s">
        <v>26</v>
      </c>
      <c r="I53" s="7">
        <v>68.74</v>
      </c>
      <c r="J53" s="7"/>
      <c r="K53" s="7">
        <v>68.74</v>
      </c>
      <c r="L53" s="10">
        <f t="shared" si="0"/>
        <v>41.244</v>
      </c>
      <c r="M53" s="11">
        <v>79.12</v>
      </c>
      <c r="N53" s="12">
        <f t="shared" si="1"/>
        <v>31.648</v>
      </c>
      <c r="O53" s="13">
        <f t="shared" si="2"/>
        <v>72.892</v>
      </c>
      <c r="XFA53" s="3"/>
      <c r="XFB53" s="3"/>
      <c r="XFC53" s="3"/>
      <c r="XFD53" s="3"/>
    </row>
    <row r="54" s="1" customFormat="1" ht="33" customHeight="1" spans="1:16384">
      <c r="A54" s="6">
        <v>52</v>
      </c>
      <c r="B54" s="7" t="s">
        <v>16</v>
      </c>
      <c r="C54" s="7" t="str">
        <f>"张赟霞"</f>
        <v>张赟霞</v>
      </c>
      <c r="D54" s="7" t="s">
        <v>17</v>
      </c>
      <c r="E54" s="6" t="s">
        <v>18</v>
      </c>
      <c r="F54" s="7" t="str">
        <f>"15010110619"</f>
        <v>15010110619</v>
      </c>
      <c r="G54" s="7" t="s">
        <v>24</v>
      </c>
      <c r="H54" s="7" t="s">
        <v>20</v>
      </c>
      <c r="I54" s="7">
        <v>70.07</v>
      </c>
      <c r="J54" s="7"/>
      <c r="K54" s="7">
        <v>70.07</v>
      </c>
      <c r="L54" s="10">
        <f t="shared" si="0"/>
        <v>42.042</v>
      </c>
      <c r="M54" s="11">
        <v>77</v>
      </c>
      <c r="N54" s="12">
        <f t="shared" si="1"/>
        <v>30.8</v>
      </c>
      <c r="O54" s="13">
        <f t="shared" si="2"/>
        <v>72.842</v>
      </c>
      <c r="XFA54" s="3"/>
      <c r="XFB54" s="3"/>
      <c r="XFC54" s="3"/>
      <c r="XFD54" s="3"/>
    </row>
    <row r="55" s="1" customFormat="1" ht="33" customHeight="1" spans="1:16384">
      <c r="A55" s="7">
        <v>53</v>
      </c>
      <c r="B55" s="7" t="s">
        <v>16</v>
      </c>
      <c r="C55" s="7" t="str">
        <f>"张乐"</f>
        <v>张乐</v>
      </c>
      <c r="D55" s="7" t="s">
        <v>22</v>
      </c>
      <c r="E55" s="6" t="s">
        <v>18</v>
      </c>
      <c r="F55" s="7" t="str">
        <f>"15010110716"</f>
        <v>15010110716</v>
      </c>
      <c r="G55" s="7" t="s">
        <v>23</v>
      </c>
      <c r="H55" s="7" t="s">
        <v>20</v>
      </c>
      <c r="I55" s="7">
        <v>69.22</v>
      </c>
      <c r="J55" s="7"/>
      <c r="K55" s="7">
        <v>69.22</v>
      </c>
      <c r="L55" s="10">
        <f t="shared" si="0"/>
        <v>41.532</v>
      </c>
      <c r="M55" s="11">
        <v>78.26</v>
      </c>
      <c r="N55" s="12">
        <f t="shared" si="1"/>
        <v>31.304</v>
      </c>
      <c r="O55" s="13">
        <f t="shared" si="2"/>
        <v>72.836</v>
      </c>
      <c r="XFA55" s="3"/>
      <c r="XFB55" s="3"/>
      <c r="XFC55" s="3"/>
      <c r="XFD55" s="3"/>
    </row>
    <row r="56" s="1" customFormat="1" ht="33" customHeight="1" spans="1:16384">
      <c r="A56" s="6">
        <v>54</v>
      </c>
      <c r="B56" s="7" t="s">
        <v>16</v>
      </c>
      <c r="C56" s="7" t="str">
        <f>"郭世强"</f>
        <v>郭世强</v>
      </c>
      <c r="D56" s="7" t="s">
        <v>22</v>
      </c>
      <c r="E56" s="6" t="s">
        <v>18</v>
      </c>
      <c r="F56" s="7" t="str">
        <f>"15010113005"</f>
        <v>15010113005</v>
      </c>
      <c r="G56" s="7" t="s">
        <v>21</v>
      </c>
      <c r="H56" s="7" t="s">
        <v>20</v>
      </c>
      <c r="I56" s="7">
        <v>70.25</v>
      </c>
      <c r="J56" s="7"/>
      <c r="K56" s="7">
        <v>70.25</v>
      </c>
      <c r="L56" s="10">
        <f t="shared" si="0"/>
        <v>42.15</v>
      </c>
      <c r="M56" s="11">
        <v>76.6</v>
      </c>
      <c r="N56" s="12">
        <f t="shared" si="1"/>
        <v>30.64</v>
      </c>
      <c r="O56" s="13">
        <f t="shared" si="2"/>
        <v>72.79</v>
      </c>
      <c r="XFA56" s="3"/>
      <c r="XFB56" s="3"/>
      <c r="XFC56" s="3"/>
      <c r="XFD56" s="3"/>
    </row>
    <row r="57" s="1" customFormat="1" ht="33" customHeight="1" spans="1:16384">
      <c r="A57" s="6">
        <v>55</v>
      </c>
      <c r="B57" s="7" t="s">
        <v>16</v>
      </c>
      <c r="C57" s="7" t="str">
        <f>"赵星"</f>
        <v>赵星</v>
      </c>
      <c r="D57" s="7" t="s">
        <v>17</v>
      </c>
      <c r="E57" s="6" t="s">
        <v>18</v>
      </c>
      <c r="F57" s="7" t="str">
        <f>"15010111506"</f>
        <v>15010111506</v>
      </c>
      <c r="G57" s="7" t="s">
        <v>28</v>
      </c>
      <c r="H57" s="7" t="s">
        <v>20</v>
      </c>
      <c r="I57" s="7">
        <v>68.29</v>
      </c>
      <c r="J57" s="7"/>
      <c r="K57" s="7">
        <v>68.29</v>
      </c>
      <c r="L57" s="10">
        <f t="shared" si="0"/>
        <v>40.974</v>
      </c>
      <c r="M57" s="11">
        <v>79.5</v>
      </c>
      <c r="N57" s="12">
        <f t="shared" si="1"/>
        <v>31.8</v>
      </c>
      <c r="O57" s="13">
        <f t="shared" si="2"/>
        <v>72.774</v>
      </c>
      <c r="XFA57" s="3"/>
      <c r="XFB57" s="3"/>
      <c r="XFC57" s="3"/>
      <c r="XFD57" s="3"/>
    </row>
    <row r="58" s="1" customFormat="1" ht="33" customHeight="1" spans="1:16384">
      <c r="A58" s="7">
        <v>56</v>
      </c>
      <c r="B58" s="7" t="s">
        <v>16</v>
      </c>
      <c r="C58" s="7" t="str">
        <f>"柴雨娇"</f>
        <v>柴雨娇</v>
      </c>
      <c r="D58" s="7" t="s">
        <v>17</v>
      </c>
      <c r="E58" s="6" t="s">
        <v>18</v>
      </c>
      <c r="F58" s="7" t="str">
        <f>"15010113112"</f>
        <v>15010113112</v>
      </c>
      <c r="G58" s="7" t="s">
        <v>29</v>
      </c>
      <c r="H58" s="7" t="s">
        <v>20</v>
      </c>
      <c r="I58" s="7">
        <v>66.09</v>
      </c>
      <c r="J58" s="7"/>
      <c r="K58" s="7">
        <v>66.09</v>
      </c>
      <c r="L58" s="10">
        <f t="shared" si="0"/>
        <v>39.654</v>
      </c>
      <c r="M58" s="11">
        <v>82.68</v>
      </c>
      <c r="N58" s="12">
        <f t="shared" si="1"/>
        <v>33.072</v>
      </c>
      <c r="O58" s="13">
        <f t="shared" si="2"/>
        <v>72.726</v>
      </c>
      <c r="XFA58" s="3"/>
      <c r="XFB58" s="3"/>
      <c r="XFC58" s="3"/>
      <c r="XFD58" s="3"/>
    </row>
    <row r="59" s="1" customFormat="1" ht="33" customHeight="1" spans="1:16384">
      <c r="A59" s="6">
        <v>57</v>
      </c>
      <c r="B59" s="7" t="s">
        <v>16</v>
      </c>
      <c r="C59" s="7" t="str">
        <f>"温晴"</f>
        <v>温晴</v>
      </c>
      <c r="D59" s="7" t="s">
        <v>17</v>
      </c>
      <c r="E59" s="6" t="s">
        <v>25</v>
      </c>
      <c r="F59" s="7" t="str">
        <f>"15010110511"</f>
        <v>15010110511</v>
      </c>
      <c r="G59" s="6" t="s">
        <v>19</v>
      </c>
      <c r="H59" s="7" t="s">
        <v>20</v>
      </c>
      <c r="I59" s="7">
        <v>67.83</v>
      </c>
      <c r="J59" s="7">
        <v>2.5</v>
      </c>
      <c r="K59" s="7">
        <v>70.33</v>
      </c>
      <c r="L59" s="10">
        <f t="shared" si="0"/>
        <v>42.198</v>
      </c>
      <c r="M59" s="11">
        <v>76.26</v>
      </c>
      <c r="N59" s="12">
        <f t="shared" si="1"/>
        <v>30.504</v>
      </c>
      <c r="O59" s="13">
        <f t="shared" si="2"/>
        <v>72.702</v>
      </c>
      <c r="XFA59" s="3"/>
      <c r="XFB59" s="3"/>
      <c r="XFC59" s="3"/>
      <c r="XFD59" s="3"/>
    </row>
    <row r="60" s="1" customFormat="1" ht="33" customHeight="1" spans="1:16384">
      <c r="A60" s="6">
        <v>58</v>
      </c>
      <c r="B60" s="7" t="s">
        <v>16</v>
      </c>
      <c r="C60" s="7" t="str">
        <f>"吴柄渐"</f>
        <v>吴柄渐</v>
      </c>
      <c r="D60" s="7" t="s">
        <v>22</v>
      </c>
      <c r="E60" s="6" t="s">
        <v>18</v>
      </c>
      <c r="F60" s="7" t="str">
        <f>"15010111725"</f>
        <v>15010111725</v>
      </c>
      <c r="G60" s="7" t="s">
        <v>24</v>
      </c>
      <c r="H60" s="7" t="s">
        <v>20</v>
      </c>
      <c r="I60" s="7">
        <v>68.82</v>
      </c>
      <c r="J60" s="7"/>
      <c r="K60" s="7">
        <v>68.82</v>
      </c>
      <c r="L60" s="10">
        <f t="shared" si="0"/>
        <v>41.292</v>
      </c>
      <c r="M60" s="11">
        <v>78.3</v>
      </c>
      <c r="N60" s="12">
        <f t="shared" si="1"/>
        <v>31.32</v>
      </c>
      <c r="O60" s="13">
        <f t="shared" si="2"/>
        <v>72.612</v>
      </c>
      <c r="XFA60" s="3"/>
      <c r="XFB60" s="3"/>
      <c r="XFC60" s="3"/>
      <c r="XFD60" s="3"/>
    </row>
    <row r="61" s="1" customFormat="1" ht="33" customHeight="1" spans="1:16384">
      <c r="A61" s="7">
        <v>59</v>
      </c>
      <c r="B61" s="7" t="s">
        <v>16</v>
      </c>
      <c r="C61" s="7" t="str">
        <f>"白帆"</f>
        <v>白帆</v>
      </c>
      <c r="D61" s="7" t="s">
        <v>22</v>
      </c>
      <c r="E61" s="6" t="s">
        <v>25</v>
      </c>
      <c r="F61" s="7" t="str">
        <f>"15010112223"</f>
        <v>15010112223</v>
      </c>
      <c r="G61" s="7" t="s">
        <v>24</v>
      </c>
      <c r="H61" s="7" t="s">
        <v>20</v>
      </c>
      <c r="I61" s="7">
        <v>68.42</v>
      </c>
      <c r="J61" s="7">
        <v>2.5</v>
      </c>
      <c r="K61" s="7">
        <v>70.92</v>
      </c>
      <c r="L61" s="10">
        <f t="shared" si="0"/>
        <v>42.552</v>
      </c>
      <c r="M61" s="11">
        <v>74.92</v>
      </c>
      <c r="N61" s="12">
        <f t="shared" si="1"/>
        <v>29.968</v>
      </c>
      <c r="O61" s="13">
        <f t="shared" si="2"/>
        <v>72.52</v>
      </c>
      <c r="XFA61" s="3"/>
      <c r="XFB61" s="3"/>
      <c r="XFC61" s="3"/>
      <c r="XFD61" s="3"/>
    </row>
    <row r="62" s="1" customFormat="1" ht="33" customHeight="1" spans="1:16384">
      <c r="A62" s="6">
        <v>60</v>
      </c>
      <c r="B62" s="7" t="s">
        <v>16</v>
      </c>
      <c r="C62" s="7" t="str">
        <f>"白雪"</f>
        <v>白雪</v>
      </c>
      <c r="D62" s="7" t="s">
        <v>17</v>
      </c>
      <c r="E62" s="6" t="s">
        <v>25</v>
      </c>
      <c r="F62" s="7" t="str">
        <f>"15010110126"</f>
        <v>15010110126</v>
      </c>
      <c r="G62" s="7" t="s">
        <v>28</v>
      </c>
      <c r="H62" s="7" t="s">
        <v>20</v>
      </c>
      <c r="I62" s="7">
        <v>66.3</v>
      </c>
      <c r="J62" s="7">
        <v>2.5</v>
      </c>
      <c r="K62" s="7">
        <v>68.8</v>
      </c>
      <c r="L62" s="10">
        <f t="shared" si="0"/>
        <v>41.28</v>
      </c>
      <c r="M62" s="11">
        <v>78</v>
      </c>
      <c r="N62" s="12">
        <f t="shared" si="1"/>
        <v>31.2</v>
      </c>
      <c r="O62" s="13">
        <f t="shared" si="2"/>
        <v>72.48</v>
      </c>
      <c r="XFA62" s="3"/>
      <c r="XFB62" s="3"/>
      <c r="XFC62" s="3"/>
      <c r="XFD62" s="3"/>
    </row>
    <row r="63" s="1" customFormat="1" ht="33" customHeight="1" spans="1:16384">
      <c r="A63" s="6">
        <v>61</v>
      </c>
      <c r="B63" s="7" t="s">
        <v>16</v>
      </c>
      <c r="C63" s="7" t="str">
        <f>"赵啟邦"</f>
        <v>赵啟邦</v>
      </c>
      <c r="D63" s="7" t="s">
        <v>22</v>
      </c>
      <c r="E63" s="6" t="s">
        <v>18</v>
      </c>
      <c r="F63" s="7" t="str">
        <f>"15010110615"</f>
        <v>15010110615</v>
      </c>
      <c r="G63" s="7" t="s">
        <v>24</v>
      </c>
      <c r="H63" s="7" t="s">
        <v>20</v>
      </c>
      <c r="I63" s="7">
        <v>68.84</v>
      </c>
      <c r="J63" s="7"/>
      <c r="K63" s="7">
        <v>68.84</v>
      </c>
      <c r="L63" s="10">
        <f t="shared" si="0"/>
        <v>41.304</v>
      </c>
      <c r="M63" s="11">
        <v>77.9</v>
      </c>
      <c r="N63" s="12">
        <f t="shared" si="1"/>
        <v>31.16</v>
      </c>
      <c r="O63" s="13">
        <f t="shared" si="2"/>
        <v>72.464</v>
      </c>
      <c r="XFA63" s="3"/>
      <c r="XFB63" s="3"/>
      <c r="XFC63" s="3"/>
      <c r="XFD63" s="3"/>
    </row>
    <row r="64" s="1" customFormat="1" ht="33" customHeight="1" spans="1:16384">
      <c r="A64" s="7">
        <v>62</v>
      </c>
      <c r="B64" s="7" t="s">
        <v>16</v>
      </c>
      <c r="C64" s="7" t="str">
        <f>"李娜"</f>
        <v>李娜</v>
      </c>
      <c r="D64" s="7" t="s">
        <v>17</v>
      </c>
      <c r="E64" s="6" t="s">
        <v>18</v>
      </c>
      <c r="F64" s="7" t="str">
        <f>"15010111304"</f>
        <v>15010111304</v>
      </c>
      <c r="G64" s="6" t="s">
        <v>19</v>
      </c>
      <c r="H64" s="7" t="s">
        <v>20</v>
      </c>
      <c r="I64" s="7">
        <v>67.7</v>
      </c>
      <c r="J64" s="7"/>
      <c r="K64" s="7">
        <v>67.7</v>
      </c>
      <c r="L64" s="10">
        <f t="shared" si="0"/>
        <v>40.62</v>
      </c>
      <c r="M64" s="11">
        <v>79.46</v>
      </c>
      <c r="N64" s="12">
        <f t="shared" si="1"/>
        <v>31.784</v>
      </c>
      <c r="O64" s="13">
        <f t="shared" si="2"/>
        <v>72.404</v>
      </c>
      <c r="XFA64" s="3"/>
      <c r="XFB64" s="3"/>
      <c r="XFC64" s="3"/>
      <c r="XFD64" s="3"/>
    </row>
    <row r="65" s="1" customFormat="1" ht="33" customHeight="1" spans="1:16384">
      <c r="A65" s="6">
        <v>63</v>
      </c>
      <c r="B65" s="7" t="s">
        <v>16</v>
      </c>
      <c r="C65" s="7" t="str">
        <f>"杨倩"</f>
        <v>杨倩</v>
      </c>
      <c r="D65" s="7" t="s">
        <v>17</v>
      </c>
      <c r="E65" s="6" t="s">
        <v>18</v>
      </c>
      <c r="F65" s="7" t="str">
        <f>"15010122111"</f>
        <v>15010122111</v>
      </c>
      <c r="G65" s="7" t="s">
        <v>24</v>
      </c>
      <c r="H65" s="7" t="s">
        <v>20</v>
      </c>
      <c r="I65" s="7">
        <v>68.4</v>
      </c>
      <c r="J65" s="7"/>
      <c r="K65" s="7">
        <v>68.4</v>
      </c>
      <c r="L65" s="10">
        <f t="shared" si="0"/>
        <v>41.04</v>
      </c>
      <c r="M65" s="11">
        <v>78.22</v>
      </c>
      <c r="N65" s="12">
        <f t="shared" si="1"/>
        <v>31.288</v>
      </c>
      <c r="O65" s="13">
        <f t="shared" si="2"/>
        <v>72.328</v>
      </c>
      <c r="XFA65" s="3"/>
      <c r="XFB65" s="3"/>
      <c r="XFC65" s="3"/>
      <c r="XFD65" s="3"/>
    </row>
    <row r="66" s="1" customFormat="1" ht="33" customHeight="1" spans="1:16384">
      <c r="A66" s="6">
        <v>64</v>
      </c>
      <c r="B66" s="7" t="s">
        <v>16</v>
      </c>
      <c r="C66" s="7" t="str">
        <f>"刘鹏"</f>
        <v>刘鹏</v>
      </c>
      <c r="D66" s="7" t="s">
        <v>22</v>
      </c>
      <c r="E66" s="6" t="s">
        <v>18</v>
      </c>
      <c r="F66" s="7" t="str">
        <f>"15010114119"</f>
        <v>15010114119</v>
      </c>
      <c r="G66" s="7" t="s">
        <v>21</v>
      </c>
      <c r="H66" s="7" t="s">
        <v>30</v>
      </c>
      <c r="I66" s="7">
        <v>66.56</v>
      </c>
      <c r="J66" s="7"/>
      <c r="K66" s="7">
        <v>66.56</v>
      </c>
      <c r="L66" s="10">
        <f t="shared" si="0"/>
        <v>39.936</v>
      </c>
      <c r="M66" s="11">
        <v>80.5</v>
      </c>
      <c r="N66" s="12">
        <f t="shared" si="1"/>
        <v>32.2</v>
      </c>
      <c r="O66" s="13">
        <f t="shared" si="2"/>
        <v>72.136</v>
      </c>
      <c r="XFA66" s="3"/>
      <c r="XFB66" s="3"/>
      <c r="XFC66" s="3"/>
      <c r="XFD66" s="3"/>
    </row>
    <row r="67" s="1" customFormat="1" ht="33" customHeight="1" spans="1:16384">
      <c r="A67" s="7">
        <v>65</v>
      </c>
      <c r="B67" s="7" t="s">
        <v>16</v>
      </c>
      <c r="C67" s="7" t="str">
        <f>"宋佳"</f>
        <v>宋佳</v>
      </c>
      <c r="D67" s="7" t="s">
        <v>17</v>
      </c>
      <c r="E67" s="6" t="s">
        <v>18</v>
      </c>
      <c r="F67" s="7" t="str">
        <f>"15010114219"</f>
        <v>15010114219</v>
      </c>
      <c r="G67" s="7" t="s">
        <v>24</v>
      </c>
      <c r="H67" s="7" t="s">
        <v>30</v>
      </c>
      <c r="I67" s="7">
        <v>68.76</v>
      </c>
      <c r="J67" s="7"/>
      <c r="K67" s="7">
        <v>68.76</v>
      </c>
      <c r="L67" s="10">
        <f t="shared" ref="L67:L96" si="3">SUM(K67*0.6)</f>
        <v>41.256</v>
      </c>
      <c r="M67" s="11">
        <v>77.18</v>
      </c>
      <c r="N67" s="12">
        <f t="shared" ref="N67:N96" si="4">SUM(M67*0.4)</f>
        <v>30.872</v>
      </c>
      <c r="O67" s="13">
        <f t="shared" ref="O67:O96" si="5">SUM(L67+N67)</f>
        <v>72.128</v>
      </c>
      <c r="XFA67" s="3"/>
      <c r="XFB67" s="3"/>
      <c r="XFC67" s="3"/>
      <c r="XFD67" s="3"/>
    </row>
    <row r="68" s="1" customFormat="1" ht="33" customHeight="1" spans="1:16384">
      <c r="A68" s="6">
        <v>66</v>
      </c>
      <c r="B68" s="7" t="s">
        <v>16</v>
      </c>
      <c r="C68" s="7" t="str">
        <f>"李静"</f>
        <v>李静</v>
      </c>
      <c r="D68" s="7" t="s">
        <v>17</v>
      </c>
      <c r="E68" s="6" t="s">
        <v>18</v>
      </c>
      <c r="F68" s="7" t="str">
        <f>"15010110526"</f>
        <v>15010110526</v>
      </c>
      <c r="G68" s="7" t="s">
        <v>29</v>
      </c>
      <c r="H68" s="7" t="s">
        <v>20</v>
      </c>
      <c r="I68" s="7">
        <v>68.27</v>
      </c>
      <c r="J68" s="7"/>
      <c r="K68" s="7">
        <v>68.27</v>
      </c>
      <c r="L68" s="10">
        <f t="shared" si="3"/>
        <v>40.962</v>
      </c>
      <c r="M68" s="11">
        <v>77.8</v>
      </c>
      <c r="N68" s="12">
        <f t="shared" si="4"/>
        <v>31.12</v>
      </c>
      <c r="O68" s="13">
        <f t="shared" si="5"/>
        <v>72.082</v>
      </c>
      <c r="XFA68" s="3"/>
      <c r="XFB68" s="3"/>
      <c r="XFC68" s="3"/>
      <c r="XFD68" s="3"/>
    </row>
    <row r="69" s="1" customFormat="1" ht="33" customHeight="1" spans="1:16384">
      <c r="A69" s="6">
        <v>67</v>
      </c>
      <c r="B69" s="7" t="s">
        <v>16</v>
      </c>
      <c r="C69" s="7" t="str">
        <f>"孙雅娜"</f>
        <v>孙雅娜</v>
      </c>
      <c r="D69" s="7" t="s">
        <v>17</v>
      </c>
      <c r="E69" s="6" t="s">
        <v>18</v>
      </c>
      <c r="F69" s="7" t="str">
        <f>"15010110827"</f>
        <v>15010110827</v>
      </c>
      <c r="G69" s="6" t="s">
        <v>19</v>
      </c>
      <c r="H69" s="7" t="s">
        <v>20</v>
      </c>
      <c r="I69" s="7">
        <v>67.05</v>
      </c>
      <c r="J69" s="7"/>
      <c r="K69" s="7">
        <v>67.05</v>
      </c>
      <c r="L69" s="10">
        <f t="shared" si="3"/>
        <v>40.23</v>
      </c>
      <c r="M69" s="11">
        <v>79.62</v>
      </c>
      <c r="N69" s="12">
        <f t="shared" si="4"/>
        <v>31.848</v>
      </c>
      <c r="O69" s="13">
        <f t="shared" si="5"/>
        <v>72.078</v>
      </c>
      <c r="XFA69" s="3"/>
      <c r="XFB69" s="3"/>
      <c r="XFC69" s="3"/>
      <c r="XFD69" s="3"/>
    </row>
    <row r="70" s="1" customFormat="1" ht="33" customHeight="1" spans="1:16384">
      <c r="A70" s="7">
        <v>68</v>
      </c>
      <c r="B70" s="7" t="s">
        <v>16</v>
      </c>
      <c r="C70" s="7" t="str">
        <f>"贾燕"</f>
        <v>贾燕</v>
      </c>
      <c r="D70" s="7" t="s">
        <v>17</v>
      </c>
      <c r="E70" s="6" t="s">
        <v>18</v>
      </c>
      <c r="F70" s="7" t="str">
        <f>"15010110829"</f>
        <v>15010110829</v>
      </c>
      <c r="G70" s="7" t="s">
        <v>29</v>
      </c>
      <c r="H70" s="7" t="s">
        <v>20</v>
      </c>
      <c r="I70" s="7">
        <v>66.14</v>
      </c>
      <c r="J70" s="7"/>
      <c r="K70" s="7">
        <v>66.14</v>
      </c>
      <c r="L70" s="10">
        <f t="shared" si="3"/>
        <v>39.684</v>
      </c>
      <c r="M70" s="11">
        <v>80.96</v>
      </c>
      <c r="N70" s="12">
        <f t="shared" si="4"/>
        <v>32.384</v>
      </c>
      <c r="O70" s="13">
        <f t="shared" si="5"/>
        <v>72.068</v>
      </c>
      <c r="XFA70" s="3"/>
      <c r="XFB70" s="3"/>
      <c r="XFC70" s="3"/>
      <c r="XFD70" s="3"/>
    </row>
    <row r="71" s="1" customFormat="1" ht="33" customHeight="1" spans="1:16384">
      <c r="A71" s="6">
        <v>69</v>
      </c>
      <c r="B71" s="7" t="s">
        <v>16</v>
      </c>
      <c r="C71" s="7" t="str">
        <f>"张文静"</f>
        <v>张文静</v>
      </c>
      <c r="D71" s="7" t="s">
        <v>17</v>
      </c>
      <c r="E71" s="6" t="s">
        <v>18</v>
      </c>
      <c r="F71" s="7" t="str">
        <f>"15010112321"</f>
        <v>15010112321</v>
      </c>
      <c r="G71" s="7" t="s">
        <v>21</v>
      </c>
      <c r="H71" s="7" t="s">
        <v>20</v>
      </c>
      <c r="I71" s="7">
        <v>66.87</v>
      </c>
      <c r="J71" s="7"/>
      <c r="K71" s="7">
        <v>66.87</v>
      </c>
      <c r="L71" s="10">
        <f t="shared" si="3"/>
        <v>40.122</v>
      </c>
      <c r="M71" s="11">
        <v>79.86</v>
      </c>
      <c r="N71" s="12">
        <f t="shared" si="4"/>
        <v>31.944</v>
      </c>
      <c r="O71" s="13">
        <f t="shared" si="5"/>
        <v>72.066</v>
      </c>
      <c r="XFA71" s="3"/>
      <c r="XFB71" s="3"/>
      <c r="XFC71" s="3"/>
      <c r="XFD71" s="3"/>
    </row>
    <row r="72" s="1" customFormat="1" ht="33" customHeight="1" spans="1:16384">
      <c r="A72" s="6">
        <v>70</v>
      </c>
      <c r="B72" s="7" t="s">
        <v>16</v>
      </c>
      <c r="C72" s="7" t="str">
        <f>"罗豆豆"</f>
        <v>罗豆豆</v>
      </c>
      <c r="D72" s="7" t="s">
        <v>17</v>
      </c>
      <c r="E72" s="6" t="s">
        <v>18</v>
      </c>
      <c r="F72" s="7" t="str">
        <f>"15010113304"</f>
        <v>15010113304</v>
      </c>
      <c r="G72" s="7" t="s">
        <v>24</v>
      </c>
      <c r="H72" s="7" t="s">
        <v>20</v>
      </c>
      <c r="I72" s="7">
        <v>66.91</v>
      </c>
      <c r="J72" s="7"/>
      <c r="K72" s="7">
        <v>66.91</v>
      </c>
      <c r="L72" s="10">
        <f t="shared" si="3"/>
        <v>40.146</v>
      </c>
      <c r="M72" s="11">
        <v>79.66</v>
      </c>
      <c r="N72" s="12">
        <f t="shared" si="4"/>
        <v>31.864</v>
      </c>
      <c r="O72" s="13">
        <f t="shared" si="5"/>
        <v>72.01</v>
      </c>
      <c r="XFA72" s="3"/>
      <c r="XFB72" s="3"/>
      <c r="XFC72" s="3"/>
      <c r="XFD72" s="3"/>
    </row>
    <row r="73" s="1" customFormat="1" ht="33" customHeight="1" spans="1:16384">
      <c r="A73" s="7">
        <v>71</v>
      </c>
      <c r="B73" s="7" t="s">
        <v>16</v>
      </c>
      <c r="C73" s="7" t="str">
        <f>"王彦蓉"</f>
        <v>王彦蓉</v>
      </c>
      <c r="D73" s="7" t="s">
        <v>17</v>
      </c>
      <c r="E73" s="6" t="s">
        <v>18</v>
      </c>
      <c r="F73" s="7" t="str">
        <f>"15010111919"</f>
        <v>15010111919</v>
      </c>
      <c r="G73" s="7" t="s">
        <v>27</v>
      </c>
      <c r="H73" s="7" t="s">
        <v>20</v>
      </c>
      <c r="I73" s="7">
        <v>68.76</v>
      </c>
      <c r="J73" s="7"/>
      <c r="K73" s="7">
        <v>68.76</v>
      </c>
      <c r="L73" s="10">
        <f t="shared" si="3"/>
        <v>41.256</v>
      </c>
      <c r="M73" s="11">
        <v>76.88</v>
      </c>
      <c r="N73" s="12">
        <f t="shared" si="4"/>
        <v>30.752</v>
      </c>
      <c r="O73" s="13">
        <f t="shared" si="5"/>
        <v>72.008</v>
      </c>
      <c r="XFA73" s="3"/>
      <c r="XFB73" s="3"/>
      <c r="XFC73" s="3"/>
      <c r="XFD73" s="3"/>
    </row>
    <row r="74" s="1" customFormat="1" ht="33" customHeight="1" spans="1:16384">
      <c r="A74" s="6">
        <v>72</v>
      </c>
      <c r="B74" s="7" t="s">
        <v>16</v>
      </c>
      <c r="C74" s="7" t="str">
        <f>"王凯立"</f>
        <v>王凯立</v>
      </c>
      <c r="D74" s="7" t="s">
        <v>22</v>
      </c>
      <c r="E74" s="6" t="s">
        <v>18</v>
      </c>
      <c r="F74" s="7" t="str">
        <f>"15010112117"</f>
        <v>15010112117</v>
      </c>
      <c r="G74" s="7" t="s">
        <v>24</v>
      </c>
      <c r="H74" s="7" t="s">
        <v>20</v>
      </c>
      <c r="I74" s="7">
        <v>67.64</v>
      </c>
      <c r="J74" s="7"/>
      <c r="K74" s="7">
        <v>67.64</v>
      </c>
      <c r="L74" s="10">
        <f t="shared" si="3"/>
        <v>40.584</v>
      </c>
      <c r="M74" s="11">
        <v>78.5</v>
      </c>
      <c r="N74" s="12">
        <f t="shared" si="4"/>
        <v>31.4</v>
      </c>
      <c r="O74" s="13">
        <f t="shared" si="5"/>
        <v>71.984</v>
      </c>
      <c r="XFA74" s="3"/>
      <c r="XFB74" s="3"/>
      <c r="XFC74" s="3"/>
      <c r="XFD74" s="3"/>
    </row>
    <row r="75" s="1" customFormat="1" ht="33" customHeight="1" spans="1:16384">
      <c r="A75" s="6">
        <v>73</v>
      </c>
      <c r="B75" s="7" t="s">
        <v>16</v>
      </c>
      <c r="C75" s="7" t="str">
        <f>"王利强"</f>
        <v>王利强</v>
      </c>
      <c r="D75" s="7" t="s">
        <v>22</v>
      </c>
      <c r="E75" s="6" t="s">
        <v>18</v>
      </c>
      <c r="F75" s="7" t="str">
        <f>"15010121403"</f>
        <v>15010121403</v>
      </c>
      <c r="G75" s="7" t="s">
        <v>21</v>
      </c>
      <c r="H75" s="7" t="s">
        <v>20</v>
      </c>
      <c r="I75" s="7">
        <v>67.45</v>
      </c>
      <c r="J75" s="7"/>
      <c r="K75" s="7">
        <v>67.45</v>
      </c>
      <c r="L75" s="10">
        <f t="shared" si="3"/>
        <v>40.47</v>
      </c>
      <c r="M75" s="11">
        <v>78.68</v>
      </c>
      <c r="N75" s="12">
        <f t="shared" si="4"/>
        <v>31.472</v>
      </c>
      <c r="O75" s="13">
        <f t="shared" si="5"/>
        <v>71.942</v>
      </c>
      <c r="XFA75" s="3"/>
      <c r="XFB75" s="3"/>
      <c r="XFC75" s="3"/>
      <c r="XFD75" s="3"/>
    </row>
    <row r="76" s="1" customFormat="1" ht="33" customHeight="1" spans="1:16384">
      <c r="A76" s="7">
        <v>74</v>
      </c>
      <c r="B76" s="7" t="s">
        <v>16</v>
      </c>
      <c r="C76" s="7" t="str">
        <f>"高瑞"</f>
        <v>高瑞</v>
      </c>
      <c r="D76" s="7" t="s">
        <v>17</v>
      </c>
      <c r="E76" s="6" t="s">
        <v>18</v>
      </c>
      <c r="F76" s="7" t="str">
        <f>"15010111525"</f>
        <v>15010111525</v>
      </c>
      <c r="G76" s="7" t="s">
        <v>21</v>
      </c>
      <c r="H76" s="7" t="s">
        <v>20</v>
      </c>
      <c r="I76" s="7">
        <v>68.07</v>
      </c>
      <c r="J76" s="7"/>
      <c r="K76" s="7">
        <v>68.07</v>
      </c>
      <c r="L76" s="10">
        <f t="shared" si="3"/>
        <v>40.842</v>
      </c>
      <c r="M76" s="11">
        <v>77.74</v>
      </c>
      <c r="N76" s="12">
        <f t="shared" si="4"/>
        <v>31.096</v>
      </c>
      <c r="O76" s="13">
        <f t="shared" si="5"/>
        <v>71.938</v>
      </c>
      <c r="XFA76" s="3"/>
      <c r="XFB76" s="3"/>
      <c r="XFC76" s="3"/>
      <c r="XFD76" s="3"/>
    </row>
    <row r="77" s="1" customFormat="1" ht="33" customHeight="1" spans="1:16384">
      <c r="A77" s="6">
        <v>75</v>
      </c>
      <c r="B77" s="7" t="s">
        <v>16</v>
      </c>
      <c r="C77" s="7" t="str">
        <f>"高茜"</f>
        <v>高茜</v>
      </c>
      <c r="D77" s="7" t="s">
        <v>17</v>
      </c>
      <c r="E77" s="6" t="s">
        <v>18</v>
      </c>
      <c r="F77" s="7" t="str">
        <f>"15010114527"</f>
        <v>15010114527</v>
      </c>
      <c r="G77" s="7" t="s">
        <v>29</v>
      </c>
      <c r="H77" s="7" t="s">
        <v>26</v>
      </c>
      <c r="I77" s="7">
        <v>68.62</v>
      </c>
      <c r="J77" s="7"/>
      <c r="K77" s="7">
        <v>68.62</v>
      </c>
      <c r="L77" s="10">
        <f t="shared" si="3"/>
        <v>41.172</v>
      </c>
      <c r="M77" s="11">
        <v>76.9</v>
      </c>
      <c r="N77" s="12">
        <f t="shared" si="4"/>
        <v>30.76</v>
      </c>
      <c r="O77" s="13">
        <f t="shared" si="5"/>
        <v>71.932</v>
      </c>
      <c r="XFA77" s="3"/>
      <c r="XFB77" s="3"/>
      <c r="XFC77" s="3"/>
      <c r="XFD77" s="3"/>
    </row>
    <row r="78" s="1" customFormat="1" ht="33" customHeight="1" spans="1:16384">
      <c r="A78" s="6">
        <v>76</v>
      </c>
      <c r="B78" s="7" t="s">
        <v>16</v>
      </c>
      <c r="C78" s="7" t="str">
        <f>"刘霞"</f>
        <v>刘霞</v>
      </c>
      <c r="D78" s="7" t="s">
        <v>17</v>
      </c>
      <c r="E78" s="6" t="s">
        <v>18</v>
      </c>
      <c r="F78" s="7" t="str">
        <f>"15010110516"</f>
        <v>15010110516</v>
      </c>
      <c r="G78" s="7" t="s">
        <v>29</v>
      </c>
      <c r="H78" s="7" t="s">
        <v>20</v>
      </c>
      <c r="I78" s="7">
        <v>70.8</v>
      </c>
      <c r="J78" s="7"/>
      <c r="K78" s="7">
        <v>70.8</v>
      </c>
      <c r="L78" s="10">
        <f t="shared" si="3"/>
        <v>42.48</v>
      </c>
      <c r="M78" s="11">
        <v>73.4</v>
      </c>
      <c r="N78" s="12">
        <f t="shared" si="4"/>
        <v>29.36</v>
      </c>
      <c r="O78" s="13">
        <f t="shared" si="5"/>
        <v>71.84</v>
      </c>
      <c r="XFA78" s="3"/>
      <c r="XFB78" s="3"/>
      <c r="XFC78" s="3"/>
      <c r="XFD78" s="3"/>
    </row>
    <row r="79" s="1" customFormat="1" ht="33" customHeight="1" spans="1:16384">
      <c r="A79" s="7">
        <v>77</v>
      </c>
      <c r="B79" s="7" t="s">
        <v>16</v>
      </c>
      <c r="C79" s="7" t="str">
        <f>"郝璐"</f>
        <v>郝璐</v>
      </c>
      <c r="D79" s="7" t="s">
        <v>17</v>
      </c>
      <c r="E79" s="6" t="s">
        <v>18</v>
      </c>
      <c r="F79" s="7" t="str">
        <f>"15010111110"</f>
        <v>15010111110</v>
      </c>
      <c r="G79" s="7" t="s">
        <v>28</v>
      </c>
      <c r="H79" s="7" t="s">
        <v>20</v>
      </c>
      <c r="I79" s="7">
        <v>66.74</v>
      </c>
      <c r="J79" s="7"/>
      <c r="K79" s="7">
        <v>66.74</v>
      </c>
      <c r="L79" s="10">
        <f t="shared" si="3"/>
        <v>40.044</v>
      </c>
      <c r="M79" s="11">
        <v>79.44</v>
      </c>
      <c r="N79" s="12">
        <f t="shared" si="4"/>
        <v>31.776</v>
      </c>
      <c r="O79" s="13">
        <f t="shared" si="5"/>
        <v>71.82</v>
      </c>
      <c r="XFA79" s="3"/>
      <c r="XFB79" s="3"/>
      <c r="XFC79" s="3"/>
      <c r="XFD79" s="3"/>
    </row>
    <row r="80" s="1" customFormat="1" ht="33" customHeight="1" spans="1:16384">
      <c r="A80" s="6">
        <v>78</v>
      </c>
      <c r="B80" s="7" t="s">
        <v>16</v>
      </c>
      <c r="C80" s="7" t="str">
        <f>"王鑫鑫"</f>
        <v>王鑫鑫</v>
      </c>
      <c r="D80" s="7" t="s">
        <v>17</v>
      </c>
      <c r="E80" s="6" t="s">
        <v>18</v>
      </c>
      <c r="F80" s="7" t="str">
        <f>"15010111509"</f>
        <v>15010111509</v>
      </c>
      <c r="G80" s="7" t="s">
        <v>24</v>
      </c>
      <c r="H80" s="7" t="s">
        <v>20</v>
      </c>
      <c r="I80" s="7">
        <v>66.6</v>
      </c>
      <c r="J80" s="7"/>
      <c r="K80" s="7">
        <v>66.6</v>
      </c>
      <c r="L80" s="10">
        <f t="shared" si="3"/>
        <v>39.96</v>
      </c>
      <c r="M80" s="11">
        <v>79.58</v>
      </c>
      <c r="N80" s="12">
        <f t="shared" si="4"/>
        <v>31.832</v>
      </c>
      <c r="O80" s="13">
        <f t="shared" si="5"/>
        <v>71.792</v>
      </c>
      <c r="XFA80" s="3"/>
      <c r="XFB80" s="3"/>
      <c r="XFC80" s="3"/>
      <c r="XFD80" s="3"/>
    </row>
    <row r="81" s="1" customFormat="1" ht="33" customHeight="1" spans="1:16384">
      <c r="A81" s="6">
        <v>79</v>
      </c>
      <c r="B81" s="7" t="s">
        <v>16</v>
      </c>
      <c r="C81" s="7" t="str">
        <f>"张小凤"</f>
        <v>张小凤</v>
      </c>
      <c r="D81" s="7" t="s">
        <v>17</v>
      </c>
      <c r="E81" s="6" t="s">
        <v>18</v>
      </c>
      <c r="F81" s="7" t="str">
        <f>"15010112405"</f>
        <v>15010112405</v>
      </c>
      <c r="G81" s="7" t="s">
        <v>29</v>
      </c>
      <c r="H81" s="7" t="s">
        <v>30</v>
      </c>
      <c r="I81" s="7">
        <v>67.11</v>
      </c>
      <c r="J81" s="7"/>
      <c r="K81" s="7">
        <v>67.11</v>
      </c>
      <c r="L81" s="10">
        <f t="shared" si="3"/>
        <v>40.266</v>
      </c>
      <c r="M81" s="11">
        <v>78.58</v>
      </c>
      <c r="N81" s="12">
        <f t="shared" si="4"/>
        <v>31.432</v>
      </c>
      <c r="O81" s="13">
        <f t="shared" si="5"/>
        <v>71.698</v>
      </c>
      <c r="XFA81" s="3"/>
      <c r="XFB81" s="3"/>
      <c r="XFC81" s="3"/>
      <c r="XFD81" s="3"/>
    </row>
    <row r="82" s="1" customFormat="1" ht="33" customHeight="1" spans="1:16384">
      <c r="A82" s="7">
        <v>80</v>
      </c>
      <c r="B82" s="7" t="s">
        <v>16</v>
      </c>
      <c r="C82" s="7" t="str">
        <f>"王宇"</f>
        <v>王宇</v>
      </c>
      <c r="D82" s="7" t="s">
        <v>22</v>
      </c>
      <c r="E82" s="6" t="s">
        <v>18</v>
      </c>
      <c r="F82" s="7" t="str">
        <f>"15010113012"</f>
        <v>15010113012</v>
      </c>
      <c r="G82" s="7" t="s">
        <v>24</v>
      </c>
      <c r="H82" s="7" t="s">
        <v>20</v>
      </c>
      <c r="I82" s="7">
        <v>71.3</v>
      </c>
      <c r="J82" s="7"/>
      <c r="K82" s="7">
        <v>71.3</v>
      </c>
      <c r="L82" s="10">
        <f t="shared" si="3"/>
        <v>42.78</v>
      </c>
      <c r="M82" s="11">
        <v>72.2</v>
      </c>
      <c r="N82" s="12">
        <f t="shared" si="4"/>
        <v>28.88</v>
      </c>
      <c r="O82" s="13">
        <f t="shared" si="5"/>
        <v>71.66</v>
      </c>
      <c r="XFA82" s="3"/>
      <c r="XFB82" s="3"/>
      <c r="XFC82" s="3"/>
      <c r="XFD82" s="3"/>
    </row>
    <row r="83" s="1" customFormat="1" ht="33" customHeight="1" spans="1:16384">
      <c r="A83" s="6">
        <v>81</v>
      </c>
      <c r="B83" s="7" t="s">
        <v>16</v>
      </c>
      <c r="C83" s="7" t="str">
        <f>"耿小宇"</f>
        <v>耿小宇</v>
      </c>
      <c r="D83" s="7" t="s">
        <v>17</v>
      </c>
      <c r="E83" s="6" t="s">
        <v>18</v>
      </c>
      <c r="F83" s="7" t="str">
        <f>"15010111307"</f>
        <v>15010111307</v>
      </c>
      <c r="G83" s="7" t="s">
        <v>24</v>
      </c>
      <c r="H83" s="7" t="s">
        <v>20</v>
      </c>
      <c r="I83" s="7">
        <v>66.06</v>
      </c>
      <c r="J83" s="7"/>
      <c r="K83" s="7">
        <v>66.06</v>
      </c>
      <c r="L83" s="10">
        <f t="shared" si="3"/>
        <v>39.636</v>
      </c>
      <c r="M83" s="11">
        <v>80.06</v>
      </c>
      <c r="N83" s="12">
        <f t="shared" si="4"/>
        <v>32.024</v>
      </c>
      <c r="O83" s="13">
        <f t="shared" si="5"/>
        <v>71.66</v>
      </c>
      <c r="XFA83" s="3"/>
      <c r="XFB83" s="3"/>
      <c r="XFC83" s="3"/>
      <c r="XFD83" s="3"/>
    </row>
    <row r="84" s="1" customFormat="1" ht="33" customHeight="1" spans="1:16384">
      <c r="A84" s="6">
        <v>82</v>
      </c>
      <c r="B84" s="7" t="s">
        <v>16</v>
      </c>
      <c r="C84" s="7" t="str">
        <f>"李小芳"</f>
        <v>李小芳</v>
      </c>
      <c r="D84" s="7" t="s">
        <v>17</v>
      </c>
      <c r="E84" s="6" t="s">
        <v>18</v>
      </c>
      <c r="F84" s="7" t="str">
        <f>"15010121911"</f>
        <v>15010121911</v>
      </c>
      <c r="G84" s="7" t="s">
        <v>24</v>
      </c>
      <c r="H84" s="7" t="s">
        <v>20</v>
      </c>
      <c r="I84" s="7">
        <v>68.76</v>
      </c>
      <c r="J84" s="7"/>
      <c r="K84" s="7">
        <v>68.76</v>
      </c>
      <c r="L84" s="10">
        <f t="shared" si="3"/>
        <v>41.256</v>
      </c>
      <c r="M84" s="11">
        <v>76</v>
      </c>
      <c r="N84" s="12">
        <f t="shared" si="4"/>
        <v>30.4</v>
      </c>
      <c r="O84" s="13">
        <f t="shared" si="5"/>
        <v>71.656</v>
      </c>
      <c r="XFA84" s="3"/>
      <c r="XFB84" s="3"/>
      <c r="XFC84" s="3"/>
      <c r="XFD84" s="3"/>
    </row>
    <row r="85" s="1" customFormat="1" ht="33" customHeight="1" spans="1:16384">
      <c r="A85" s="7">
        <v>83</v>
      </c>
      <c r="B85" s="7" t="s">
        <v>16</v>
      </c>
      <c r="C85" s="7" t="str">
        <f>"薛蓉"</f>
        <v>薛蓉</v>
      </c>
      <c r="D85" s="7" t="s">
        <v>17</v>
      </c>
      <c r="E85" s="6" t="s">
        <v>18</v>
      </c>
      <c r="F85" s="7" t="str">
        <f>"15010122016"</f>
        <v>15010122016</v>
      </c>
      <c r="G85" s="7" t="s">
        <v>24</v>
      </c>
      <c r="H85" s="7" t="s">
        <v>20</v>
      </c>
      <c r="I85" s="7">
        <v>66.7</v>
      </c>
      <c r="J85" s="7"/>
      <c r="K85" s="7">
        <v>66.7</v>
      </c>
      <c r="L85" s="10">
        <f t="shared" si="3"/>
        <v>40.02</v>
      </c>
      <c r="M85" s="11">
        <v>79</v>
      </c>
      <c r="N85" s="12">
        <f t="shared" si="4"/>
        <v>31.6</v>
      </c>
      <c r="O85" s="13">
        <f t="shared" si="5"/>
        <v>71.62</v>
      </c>
      <c r="XFA85" s="3"/>
      <c r="XFB85" s="3"/>
      <c r="XFC85" s="3"/>
      <c r="XFD85" s="3"/>
    </row>
    <row r="86" s="1" customFormat="1" ht="33" customHeight="1" spans="1:16384">
      <c r="A86" s="6">
        <v>84</v>
      </c>
      <c r="B86" s="7" t="s">
        <v>16</v>
      </c>
      <c r="C86" s="7" t="str">
        <f>"张骞"</f>
        <v>张骞</v>
      </c>
      <c r="D86" s="7" t="s">
        <v>17</v>
      </c>
      <c r="E86" s="6" t="s">
        <v>18</v>
      </c>
      <c r="F86" s="7" t="str">
        <f>"15010110810"</f>
        <v>15010110810</v>
      </c>
      <c r="G86" s="7" t="s">
        <v>24</v>
      </c>
      <c r="H86" s="7" t="s">
        <v>20</v>
      </c>
      <c r="I86" s="7">
        <v>66.9</v>
      </c>
      <c r="J86" s="7"/>
      <c r="K86" s="7">
        <v>66.9</v>
      </c>
      <c r="L86" s="10">
        <f t="shared" si="3"/>
        <v>40.14</v>
      </c>
      <c r="M86" s="11">
        <v>78.68</v>
      </c>
      <c r="N86" s="12">
        <f t="shared" si="4"/>
        <v>31.472</v>
      </c>
      <c r="O86" s="13">
        <f t="shared" si="5"/>
        <v>71.612</v>
      </c>
      <c r="XFA86" s="3"/>
      <c r="XFB86" s="3"/>
      <c r="XFC86" s="3"/>
      <c r="XFD86" s="3"/>
    </row>
    <row r="87" s="1" customFormat="1" ht="33" customHeight="1" spans="1:16384">
      <c r="A87" s="6">
        <v>85</v>
      </c>
      <c r="B87" s="7" t="s">
        <v>16</v>
      </c>
      <c r="C87" s="7" t="str">
        <f>"高娜"</f>
        <v>高娜</v>
      </c>
      <c r="D87" s="7" t="s">
        <v>17</v>
      </c>
      <c r="E87" s="6" t="s">
        <v>18</v>
      </c>
      <c r="F87" s="7" t="str">
        <f>"15010113202"</f>
        <v>15010113202</v>
      </c>
      <c r="G87" s="7" t="s">
        <v>27</v>
      </c>
      <c r="H87" s="7" t="s">
        <v>20</v>
      </c>
      <c r="I87" s="7">
        <v>67.09</v>
      </c>
      <c r="J87" s="7"/>
      <c r="K87" s="7">
        <v>67.09</v>
      </c>
      <c r="L87" s="10">
        <f t="shared" si="3"/>
        <v>40.254</v>
      </c>
      <c r="M87" s="11">
        <v>78.38</v>
      </c>
      <c r="N87" s="12">
        <f t="shared" si="4"/>
        <v>31.352</v>
      </c>
      <c r="O87" s="13">
        <f t="shared" si="5"/>
        <v>71.606</v>
      </c>
      <c r="XFA87" s="3"/>
      <c r="XFB87" s="3"/>
      <c r="XFC87" s="3"/>
      <c r="XFD87" s="3"/>
    </row>
    <row r="88" s="1" customFormat="1" ht="33" customHeight="1" spans="1:16384">
      <c r="A88" s="7">
        <v>86</v>
      </c>
      <c r="B88" s="7" t="s">
        <v>16</v>
      </c>
      <c r="C88" s="7" t="str">
        <f>"刘璐"</f>
        <v>刘璐</v>
      </c>
      <c r="D88" s="7" t="s">
        <v>17</v>
      </c>
      <c r="E88" s="6" t="s">
        <v>18</v>
      </c>
      <c r="F88" s="7" t="str">
        <f>"15010113708"</f>
        <v>15010113708</v>
      </c>
      <c r="G88" s="6" t="s">
        <v>19</v>
      </c>
      <c r="H88" s="7" t="s">
        <v>20</v>
      </c>
      <c r="I88" s="7">
        <v>68.78</v>
      </c>
      <c r="J88" s="7"/>
      <c r="K88" s="7">
        <v>68.78</v>
      </c>
      <c r="L88" s="10">
        <f t="shared" si="3"/>
        <v>41.268</v>
      </c>
      <c r="M88" s="11">
        <v>75.82</v>
      </c>
      <c r="N88" s="12">
        <f t="shared" si="4"/>
        <v>30.328</v>
      </c>
      <c r="O88" s="13">
        <f t="shared" si="5"/>
        <v>71.596</v>
      </c>
      <c r="XFA88" s="3"/>
      <c r="XFB88" s="3"/>
      <c r="XFC88" s="3"/>
      <c r="XFD88" s="3"/>
    </row>
    <row r="89" s="1" customFormat="1" ht="33" customHeight="1" spans="1:16384">
      <c r="A89" s="6">
        <v>87</v>
      </c>
      <c r="B89" s="7" t="s">
        <v>16</v>
      </c>
      <c r="C89" s="7" t="str">
        <f>"李海英"</f>
        <v>李海英</v>
      </c>
      <c r="D89" s="7" t="s">
        <v>17</v>
      </c>
      <c r="E89" s="6" t="s">
        <v>18</v>
      </c>
      <c r="F89" s="7" t="str">
        <f>"15010114017"</f>
        <v>15010114017</v>
      </c>
      <c r="G89" s="7" t="s">
        <v>28</v>
      </c>
      <c r="H89" s="7" t="s">
        <v>20</v>
      </c>
      <c r="I89" s="7">
        <v>68.05</v>
      </c>
      <c r="J89" s="7"/>
      <c r="K89" s="7">
        <v>68.05</v>
      </c>
      <c r="L89" s="10">
        <f t="shared" si="3"/>
        <v>40.83</v>
      </c>
      <c r="M89" s="11">
        <v>76.86</v>
      </c>
      <c r="N89" s="12">
        <f t="shared" si="4"/>
        <v>30.744</v>
      </c>
      <c r="O89" s="13">
        <f t="shared" si="5"/>
        <v>71.574</v>
      </c>
      <c r="XFA89" s="3"/>
      <c r="XFB89" s="3"/>
      <c r="XFC89" s="3"/>
      <c r="XFD89" s="3"/>
    </row>
    <row r="90" s="1" customFormat="1" ht="33" customHeight="1" spans="1:16384">
      <c r="A90" s="6">
        <v>88</v>
      </c>
      <c r="B90" s="7" t="s">
        <v>16</v>
      </c>
      <c r="C90" s="7" t="str">
        <f>"王东"</f>
        <v>王东</v>
      </c>
      <c r="D90" s="7" t="s">
        <v>22</v>
      </c>
      <c r="E90" s="6" t="s">
        <v>18</v>
      </c>
      <c r="F90" s="7" t="str">
        <f>"15010120629"</f>
        <v>15010120629</v>
      </c>
      <c r="G90" s="7" t="s">
        <v>24</v>
      </c>
      <c r="H90" s="7" t="s">
        <v>20</v>
      </c>
      <c r="I90" s="7">
        <v>67.35</v>
      </c>
      <c r="J90" s="7"/>
      <c r="K90" s="7">
        <v>67.35</v>
      </c>
      <c r="L90" s="10">
        <f t="shared" si="3"/>
        <v>40.41</v>
      </c>
      <c r="M90" s="11">
        <v>77.86</v>
      </c>
      <c r="N90" s="12">
        <f t="shared" si="4"/>
        <v>31.144</v>
      </c>
      <c r="O90" s="13">
        <f t="shared" si="5"/>
        <v>71.554</v>
      </c>
      <c r="XFA90" s="3"/>
      <c r="XFB90" s="3"/>
      <c r="XFC90" s="3"/>
      <c r="XFD90" s="3"/>
    </row>
    <row r="91" s="1" customFormat="1" ht="33" customHeight="1" spans="1:16384">
      <c r="A91" s="7">
        <v>89</v>
      </c>
      <c r="B91" s="7" t="s">
        <v>16</v>
      </c>
      <c r="C91" s="7" t="str">
        <f>"杨学平"</f>
        <v>杨学平</v>
      </c>
      <c r="D91" s="7" t="s">
        <v>22</v>
      </c>
      <c r="E91" s="6" t="s">
        <v>18</v>
      </c>
      <c r="F91" s="7" t="str">
        <f>"15010121528"</f>
        <v>15010121528</v>
      </c>
      <c r="G91" s="7" t="s">
        <v>27</v>
      </c>
      <c r="H91" s="7" t="s">
        <v>20</v>
      </c>
      <c r="I91" s="7">
        <v>68.12</v>
      </c>
      <c r="J91" s="7"/>
      <c r="K91" s="7">
        <v>68.12</v>
      </c>
      <c r="L91" s="10">
        <f t="shared" si="3"/>
        <v>40.872</v>
      </c>
      <c r="M91" s="11">
        <v>76.7</v>
      </c>
      <c r="N91" s="12">
        <f t="shared" si="4"/>
        <v>30.68</v>
      </c>
      <c r="O91" s="13">
        <f t="shared" si="5"/>
        <v>71.552</v>
      </c>
      <c r="XFA91" s="3"/>
      <c r="XFB91" s="3"/>
      <c r="XFC91" s="3"/>
      <c r="XFD91" s="3"/>
    </row>
    <row r="92" s="1" customFormat="1" ht="33" customHeight="1" spans="1:16384">
      <c r="A92" s="6">
        <v>90</v>
      </c>
      <c r="B92" s="7" t="s">
        <v>16</v>
      </c>
      <c r="C92" s="7" t="str">
        <f>"何伟"</f>
        <v>何伟</v>
      </c>
      <c r="D92" s="7" t="s">
        <v>22</v>
      </c>
      <c r="E92" s="6" t="s">
        <v>18</v>
      </c>
      <c r="F92" s="7" t="str">
        <f>"15010113806"</f>
        <v>15010113806</v>
      </c>
      <c r="G92" s="7" t="s">
        <v>21</v>
      </c>
      <c r="H92" s="7" t="s">
        <v>20</v>
      </c>
      <c r="I92" s="7">
        <v>68.07</v>
      </c>
      <c r="J92" s="7"/>
      <c r="K92" s="7">
        <v>68.07</v>
      </c>
      <c r="L92" s="10">
        <f t="shared" si="3"/>
        <v>40.842</v>
      </c>
      <c r="M92" s="11">
        <v>76.62</v>
      </c>
      <c r="N92" s="12">
        <f t="shared" si="4"/>
        <v>30.648</v>
      </c>
      <c r="O92" s="13">
        <f t="shared" si="5"/>
        <v>71.49</v>
      </c>
      <c r="XFA92" s="3"/>
      <c r="XFB92" s="3"/>
      <c r="XFC92" s="3"/>
      <c r="XFD92" s="3"/>
    </row>
    <row r="93" s="1" customFormat="1" ht="33" customHeight="1" spans="1:16384">
      <c r="A93" s="6">
        <v>91</v>
      </c>
      <c r="B93" s="7" t="s">
        <v>16</v>
      </c>
      <c r="C93" s="8" t="str">
        <f>"李梦瑶"</f>
        <v>李梦瑶</v>
      </c>
      <c r="D93" s="7" t="s">
        <v>17</v>
      </c>
      <c r="E93" s="6" t="s">
        <v>18</v>
      </c>
      <c r="F93" s="7" t="str">
        <f>"15010112015"</f>
        <v>15010112015</v>
      </c>
      <c r="G93" s="7" t="s">
        <v>24</v>
      </c>
      <c r="H93" s="7" t="s">
        <v>20</v>
      </c>
      <c r="I93" s="7">
        <v>67.5</v>
      </c>
      <c r="J93" s="7"/>
      <c r="K93" s="7">
        <v>67.5</v>
      </c>
      <c r="L93" s="10">
        <f t="shared" si="3"/>
        <v>40.5</v>
      </c>
      <c r="M93" s="11">
        <v>77.38</v>
      </c>
      <c r="N93" s="12">
        <f t="shared" si="4"/>
        <v>30.952</v>
      </c>
      <c r="O93" s="13">
        <f t="shared" si="5"/>
        <v>71.452</v>
      </c>
      <c r="XFA93" s="3"/>
      <c r="XFB93" s="3"/>
      <c r="XFC93" s="3"/>
      <c r="XFD93" s="3"/>
    </row>
    <row r="94" s="1" customFormat="1" ht="33" customHeight="1" spans="1:16384">
      <c r="A94" s="7">
        <v>92</v>
      </c>
      <c r="B94" s="7" t="s">
        <v>16</v>
      </c>
      <c r="C94" s="7" t="str">
        <f>"张新敏"</f>
        <v>张新敏</v>
      </c>
      <c r="D94" s="7" t="s">
        <v>17</v>
      </c>
      <c r="E94" s="6" t="s">
        <v>18</v>
      </c>
      <c r="F94" s="7" t="str">
        <f>"15010113312"</f>
        <v>15010113312</v>
      </c>
      <c r="G94" s="7" t="s">
        <v>27</v>
      </c>
      <c r="H94" s="7" t="s">
        <v>20</v>
      </c>
      <c r="I94" s="7">
        <v>67.34</v>
      </c>
      <c r="J94" s="7"/>
      <c r="K94" s="7">
        <v>67.34</v>
      </c>
      <c r="L94" s="10">
        <f t="shared" si="3"/>
        <v>40.404</v>
      </c>
      <c r="M94" s="11">
        <v>77.6</v>
      </c>
      <c r="N94" s="12">
        <f t="shared" si="4"/>
        <v>31.04</v>
      </c>
      <c r="O94" s="13">
        <f t="shared" si="5"/>
        <v>71.444</v>
      </c>
      <c r="XFA94" s="3"/>
      <c r="XFB94" s="3"/>
      <c r="XFC94" s="3"/>
      <c r="XFD94" s="3"/>
    </row>
    <row r="95" s="1" customFormat="1" ht="33" customHeight="1" spans="1:16384">
      <c r="A95" s="6">
        <v>93</v>
      </c>
      <c r="B95" s="7" t="s">
        <v>16</v>
      </c>
      <c r="C95" s="7" t="str">
        <f>"杨小龙"</f>
        <v>杨小龙</v>
      </c>
      <c r="D95" s="7" t="s">
        <v>22</v>
      </c>
      <c r="E95" s="6" t="s">
        <v>25</v>
      </c>
      <c r="F95" s="7" t="str">
        <f>"15010111821"</f>
        <v>15010111821</v>
      </c>
      <c r="G95" s="6" t="s">
        <v>19</v>
      </c>
      <c r="H95" s="7" t="s">
        <v>30</v>
      </c>
      <c r="I95" s="7">
        <v>66.14</v>
      </c>
      <c r="J95" s="7">
        <v>2.5</v>
      </c>
      <c r="K95" s="7">
        <v>68.64</v>
      </c>
      <c r="L95" s="10">
        <f t="shared" si="3"/>
        <v>41.184</v>
      </c>
      <c r="M95" s="11">
        <v>75.4</v>
      </c>
      <c r="N95" s="12">
        <f t="shared" si="4"/>
        <v>30.16</v>
      </c>
      <c r="O95" s="13">
        <f t="shared" si="5"/>
        <v>71.344</v>
      </c>
      <c r="XFA95" s="3"/>
      <c r="XFB95" s="3"/>
      <c r="XFC95" s="3"/>
      <c r="XFD95" s="3"/>
    </row>
    <row r="96" s="1" customFormat="1" ht="33" customHeight="1" spans="1:16384">
      <c r="A96" s="6">
        <v>94</v>
      </c>
      <c r="B96" s="7" t="s">
        <v>16</v>
      </c>
      <c r="C96" s="7" t="str">
        <f>"郝红红"</f>
        <v>郝红红</v>
      </c>
      <c r="D96" s="7" t="s">
        <v>17</v>
      </c>
      <c r="E96" s="6" t="s">
        <v>18</v>
      </c>
      <c r="F96" s="7" t="str">
        <f>"15010121321"</f>
        <v>15010121321</v>
      </c>
      <c r="G96" s="6" t="s">
        <v>19</v>
      </c>
      <c r="H96" s="7" t="s">
        <v>20</v>
      </c>
      <c r="I96" s="7">
        <v>68.92</v>
      </c>
      <c r="J96" s="7"/>
      <c r="K96" s="7">
        <v>68.92</v>
      </c>
      <c r="L96" s="10">
        <f t="shared" si="3"/>
        <v>41.352</v>
      </c>
      <c r="M96" s="11">
        <v>74.96</v>
      </c>
      <c r="N96" s="12">
        <f t="shared" si="4"/>
        <v>29.984</v>
      </c>
      <c r="O96" s="13">
        <f t="shared" si="5"/>
        <v>71.336</v>
      </c>
      <c r="XFA96" s="3"/>
      <c r="XFB96" s="3"/>
      <c r="XFC96" s="3"/>
      <c r="XFD96" s="3"/>
    </row>
    <row r="97" s="1" customFormat="1" ht="33" customHeight="1" spans="1:16384">
      <c r="A97" s="7">
        <v>95</v>
      </c>
      <c r="B97" s="7" t="s">
        <v>16</v>
      </c>
      <c r="C97" s="8" t="str">
        <f>"马慧"</f>
        <v>马慧</v>
      </c>
      <c r="D97" s="7" t="s">
        <v>17</v>
      </c>
      <c r="E97" s="6" t="s">
        <v>18</v>
      </c>
      <c r="F97" s="7" t="str">
        <f>"15010112014"</f>
        <v>15010112014</v>
      </c>
      <c r="G97" s="7" t="s">
        <v>24</v>
      </c>
      <c r="H97" s="7" t="s">
        <v>20</v>
      </c>
      <c r="I97" s="7">
        <v>66.62</v>
      </c>
      <c r="J97" s="7"/>
      <c r="K97" s="7">
        <v>66.62</v>
      </c>
      <c r="L97" s="10">
        <f t="shared" ref="L97:L127" si="6">SUM(K97*0.6)</f>
        <v>39.972</v>
      </c>
      <c r="M97" s="11">
        <v>78.24</v>
      </c>
      <c r="N97" s="12">
        <f t="shared" ref="N97:N127" si="7">SUM(M97*0.4)</f>
        <v>31.296</v>
      </c>
      <c r="O97" s="13">
        <f t="shared" ref="O97:O127" si="8">SUM(L97+N97)</f>
        <v>71.268</v>
      </c>
      <c r="XFA97" s="3"/>
      <c r="XFB97" s="3"/>
      <c r="XFC97" s="3"/>
      <c r="XFD97" s="3"/>
    </row>
    <row r="98" s="1" customFormat="1" ht="33" customHeight="1" spans="1:16384">
      <c r="A98" s="6">
        <v>96</v>
      </c>
      <c r="B98" s="7" t="s">
        <v>16</v>
      </c>
      <c r="C98" s="7" t="str">
        <f>"高慧"</f>
        <v>高慧</v>
      </c>
      <c r="D98" s="7" t="s">
        <v>17</v>
      </c>
      <c r="E98" s="6" t="s">
        <v>18</v>
      </c>
      <c r="F98" s="7" t="str">
        <f>"15010120930"</f>
        <v>15010120930</v>
      </c>
      <c r="G98" s="7" t="s">
        <v>23</v>
      </c>
      <c r="H98" s="7" t="s">
        <v>20</v>
      </c>
      <c r="I98" s="7">
        <v>66.32</v>
      </c>
      <c r="J98" s="7"/>
      <c r="K98" s="7">
        <v>66.32</v>
      </c>
      <c r="L98" s="10">
        <f t="shared" si="6"/>
        <v>39.792</v>
      </c>
      <c r="M98" s="11">
        <v>78.62</v>
      </c>
      <c r="N98" s="12">
        <f t="shared" si="7"/>
        <v>31.448</v>
      </c>
      <c r="O98" s="13">
        <f t="shared" si="8"/>
        <v>71.24</v>
      </c>
      <c r="XFA98" s="3"/>
      <c r="XFB98" s="3"/>
      <c r="XFC98" s="3"/>
      <c r="XFD98" s="3"/>
    </row>
    <row r="99" s="1" customFormat="1" ht="33" customHeight="1" spans="1:16384">
      <c r="A99" s="6">
        <v>97</v>
      </c>
      <c r="B99" s="7" t="s">
        <v>16</v>
      </c>
      <c r="C99" s="7" t="str">
        <f>"曹舒泱"</f>
        <v>曹舒泱</v>
      </c>
      <c r="D99" s="7" t="s">
        <v>17</v>
      </c>
      <c r="E99" s="6" t="s">
        <v>31</v>
      </c>
      <c r="F99" s="7" t="str">
        <f>"15010111917"</f>
        <v>15010111917</v>
      </c>
      <c r="G99" s="7" t="s">
        <v>24</v>
      </c>
      <c r="H99" s="7" t="s">
        <v>20</v>
      </c>
      <c r="I99" s="7">
        <v>68.47</v>
      </c>
      <c r="J99" s="7"/>
      <c r="K99" s="7">
        <v>68.47</v>
      </c>
      <c r="L99" s="10">
        <f t="shared" si="6"/>
        <v>41.082</v>
      </c>
      <c r="M99" s="11">
        <v>75.3</v>
      </c>
      <c r="N99" s="12">
        <f t="shared" si="7"/>
        <v>30.12</v>
      </c>
      <c r="O99" s="13">
        <f t="shared" si="8"/>
        <v>71.202</v>
      </c>
      <c r="XFA99" s="3"/>
      <c r="XFB99" s="3"/>
      <c r="XFC99" s="3"/>
      <c r="XFD99" s="3"/>
    </row>
    <row r="100" s="1" customFormat="1" ht="33" customHeight="1" spans="1:16384">
      <c r="A100" s="7">
        <v>98</v>
      </c>
      <c r="B100" s="7" t="s">
        <v>16</v>
      </c>
      <c r="C100" s="7" t="str">
        <f>"何蕊"</f>
        <v>何蕊</v>
      </c>
      <c r="D100" s="7" t="s">
        <v>17</v>
      </c>
      <c r="E100" s="6" t="s">
        <v>18</v>
      </c>
      <c r="F100" s="7" t="str">
        <f>"15010121209"</f>
        <v>15010121209</v>
      </c>
      <c r="G100" s="6" t="s">
        <v>19</v>
      </c>
      <c r="H100" s="7" t="s">
        <v>20</v>
      </c>
      <c r="I100" s="7">
        <v>67.61</v>
      </c>
      <c r="J100" s="7"/>
      <c r="K100" s="7">
        <v>67.61</v>
      </c>
      <c r="L100" s="10">
        <f t="shared" si="6"/>
        <v>40.566</v>
      </c>
      <c r="M100" s="11">
        <v>76.52</v>
      </c>
      <c r="N100" s="12">
        <f t="shared" si="7"/>
        <v>30.608</v>
      </c>
      <c r="O100" s="13">
        <f t="shared" si="8"/>
        <v>71.174</v>
      </c>
      <c r="XFA100" s="3"/>
      <c r="XFB100" s="3"/>
      <c r="XFC100" s="3"/>
      <c r="XFD100" s="3"/>
    </row>
    <row r="101" s="1" customFormat="1" ht="33" customHeight="1" spans="1:16384">
      <c r="A101" s="6">
        <v>99</v>
      </c>
      <c r="B101" s="7" t="s">
        <v>16</v>
      </c>
      <c r="C101" s="7" t="str">
        <f>"张斌"</f>
        <v>张斌</v>
      </c>
      <c r="D101" s="7" t="s">
        <v>22</v>
      </c>
      <c r="E101" s="6" t="s">
        <v>18</v>
      </c>
      <c r="F101" s="7" t="str">
        <f>"15010120424"</f>
        <v>15010120424</v>
      </c>
      <c r="G101" s="7" t="s">
        <v>23</v>
      </c>
      <c r="H101" s="7" t="s">
        <v>20</v>
      </c>
      <c r="I101" s="7">
        <v>66.84</v>
      </c>
      <c r="J101" s="7"/>
      <c r="K101" s="7">
        <v>66.84</v>
      </c>
      <c r="L101" s="10">
        <f t="shared" si="6"/>
        <v>40.104</v>
      </c>
      <c r="M101" s="11">
        <v>77.6</v>
      </c>
      <c r="N101" s="12">
        <f t="shared" si="7"/>
        <v>31.04</v>
      </c>
      <c r="O101" s="13">
        <f t="shared" si="8"/>
        <v>71.144</v>
      </c>
      <c r="XFA101" s="3"/>
      <c r="XFB101" s="3"/>
      <c r="XFC101" s="3"/>
      <c r="XFD101" s="3"/>
    </row>
    <row r="102" s="1" customFormat="1" ht="33" customHeight="1" spans="1:16384">
      <c r="A102" s="6">
        <v>100</v>
      </c>
      <c r="B102" s="7" t="s">
        <v>16</v>
      </c>
      <c r="C102" s="7" t="str">
        <f>"郭艳"</f>
        <v>郭艳</v>
      </c>
      <c r="D102" s="7" t="s">
        <v>17</v>
      </c>
      <c r="E102" s="6" t="s">
        <v>18</v>
      </c>
      <c r="F102" s="7" t="str">
        <f>"15010121816"</f>
        <v>15010121816</v>
      </c>
      <c r="G102" s="6" t="s">
        <v>19</v>
      </c>
      <c r="H102" s="7" t="s">
        <v>20</v>
      </c>
      <c r="I102" s="7">
        <v>66.53</v>
      </c>
      <c r="J102" s="7"/>
      <c r="K102" s="7">
        <v>66.53</v>
      </c>
      <c r="L102" s="10">
        <f t="shared" si="6"/>
        <v>39.918</v>
      </c>
      <c r="M102" s="11">
        <v>78.06</v>
      </c>
      <c r="N102" s="12">
        <f t="shared" si="7"/>
        <v>31.224</v>
      </c>
      <c r="O102" s="13">
        <f t="shared" si="8"/>
        <v>71.142</v>
      </c>
      <c r="XFA102" s="3"/>
      <c r="XFB102" s="3"/>
      <c r="XFC102" s="3"/>
      <c r="XFD102" s="3"/>
    </row>
    <row r="103" s="1" customFormat="1" ht="33" customHeight="1" spans="1:16384">
      <c r="A103" s="7">
        <v>101</v>
      </c>
      <c r="B103" s="7" t="s">
        <v>16</v>
      </c>
      <c r="C103" s="7" t="str">
        <f>"郭锦浩"</f>
        <v>郭锦浩</v>
      </c>
      <c r="D103" s="7" t="s">
        <v>22</v>
      </c>
      <c r="E103" s="6" t="s">
        <v>18</v>
      </c>
      <c r="F103" s="7" t="str">
        <f>"15010112407"</f>
        <v>15010112407</v>
      </c>
      <c r="G103" s="7" t="s">
        <v>24</v>
      </c>
      <c r="H103" s="7" t="s">
        <v>20</v>
      </c>
      <c r="I103" s="7">
        <v>67.83</v>
      </c>
      <c r="J103" s="7"/>
      <c r="K103" s="7">
        <v>67.83</v>
      </c>
      <c r="L103" s="10">
        <f t="shared" si="6"/>
        <v>40.698</v>
      </c>
      <c r="M103" s="11">
        <v>76.1</v>
      </c>
      <c r="N103" s="12">
        <f t="shared" si="7"/>
        <v>30.44</v>
      </c>
      <c r="O103" s="13">
        <f t="shared" si="8"/>
        <v>71.138</v>
      </c>
      <c r="XFA103" s="3"/>
      <c r="XFB103" s="3"/>
      <c r="XFC103" s="3"/>
      <c r="XFD103" s="3"/>
    </row>
    <row r="104" s="1" customFormat="1" ht="33" customHeight="1" spans="1:16384">
      <c r="A104" s="6">
        <v>102</v>
      </c>
      <c r="B104" s="7" t="s">
        <v>16</v>
      </c>
      <c r="C104" s="7" t="str">
        <f>"陈丽媛"</f>
        <v>陈丽媛</v>
      </c>
      <c r="D104" s="7" t="s">
        <v>17</v>
      </c>
      <c r="E104" s="7" t="s">
        <v>18</v>
      </c>
      <c r="F104" s="7" t="str">
        <f>"15010120716"</f>
        <v>15010120716</v>
      </c>
      <c r="G104" s="7" t="s">
        <v>29</v>
      </c>
      <c r="H104" s="7" t="s">
        <v>20</v>
      </c>
      <c r="I104" s="7">
        <v>67.8</v>
      </c>
      <c r="J104" s="7"/>
      <c r="K104" s="7">
        <v>67.8</v>
      </c>
      <c r="L104" s="10">
        <f t="shared" si="6"/>
        <v>40.68</v>
      </c>
      <c r="M104" s="11">
        <v>76</v>
      </c>
      <c r="N104" s="12">
        <f t="shared" si="7"/>
        <v>30.4</v>
      </c>
      <c r="O104" s="13">
        <f t="shared" si="8"/>
        <v>71.08</v>
      </c>
      <c r="XFA104" s="3"/>
      <c r="XFB104" s="3"/>
      <c r="XFC104" s="3"/>
      <c r="XFD104" s="3"/>
    </row>
    <row r="105" s="1" customFormat="1" ht="33" customHeight="1" spans="1:16384">
      <c r="A105" s="6">
        <v>103</v>
      </c>
      <c r="B105" s="7" t="s">
        <v>16</v>
      </c>
      <c r="C105" s="7" t="str">
        <f>"冯娜"</f>
        <v>冯娜</v>
      </c>
      <c r="D105" s="7" t="s">
        <v>17</v>
      </c>
      <c r="E105" s="7" t="s">
        <v>18</v>
      </c>
      <c r="F105" s="7" t="str">
        <f>"15010113809"</f>
        <v>15010113809</v>
      </c>
      <c r="G105" s="7" t="s">
        <v>21</v>
      </c>
      <c r="H105" s="7" t="s">
        <v>20</v>
      </c>
      <c r="I105" s="7">
        <v>66</v>
      </c>
      <c r="J105" s="7"/>
      <c r="K105" s="7">
        <v>66</v>
      </c>
      <c r="L105" s="10">
        <f t="shared" si="6"/>
        <v>39.6</v>
      </c>
      <c r="M105" s="11">
        <v>78.56</v>
      </c>
      <c r="N105" s="12">
        <f t="shared" si="7"/>
        <v>31.424</v>
      </c>
      <c r="O105" s="13">
        <f t="shared" si="8"/>
        <v>71.024</v>
      </c>
      <c r="XFA105" s="3"/>
      <c r="XFB105" s="3"/>
      <c r="XFC105" s="3"/>
      <c r="XFD105" s="3"/>
    </row>
    <row r="106" s="1" customFormat="1" ht="33" customHeight="1" spans="1:16384">
      <c r="A106" s="7">
        <v>104</v>
      </c>
      <c r="B106" s="7" t="s">
        <v>16</v>
      </c>
      <c r="C106" s="7" t="str">
        <f>"李静"</f>
        <v>李静</v>
      </c>
      <c r="D106" s="7" t="s">
        <v>17</v>
      </c>
      <c r="E106" s="7" t="s">
        <v>18</v>
      </c>
      <c r="F106" s="7" t="str">
        <f>"15010113307"</f>
        <v>15010113307</v>
      </c>
      <c r="G106" s="7" t="s">
        <v>19</v>
      </c>
      <c r="H106" s="7" t="s">
        <v>20</v>
      </c>
      <c r="I106" s="7">
        <v>67.7</v>
      </c>
      <c r="J106" s="7"/>
      <c r="K106" s="7">
        <v>67.7</v>
      </c>
      <c r="L106" s="10">
        <f t="shared" si="6"/>
        <v>40.62</v>
      </c>
      <c r="M106" s="11">
        <v>75.98</v>
      </c>
      <c r="N106" s="12">
        <f t="shared" si="7"/>
        <v>30.392</v>
      </c>
      <c r="O106" s="13">
        <f t="shared" si="8"/>
        <v>71.012</v>
      </c>
      <c r="XFA106" s="3"/>
      <c r="XFB106" s="3"/>
      <c r="XFC106" s="3"/>
      <c r="XFD106" s="3"/>
    </row>
    <row r="107" s="1" customFormat="1" ht="33" customHeight="1" spans="1:16384">
      <c r="A107" s="6">
        <v>105</v>
      </c>
      <c r="B107" s="7" t="s">
        <v>16</v>
      </c>
      <c r="C107" s="7" t="str">
        <f>"张红艳"</f>
        <v>张红艳</v>
      </c>
      <c r="D107" s="7" t="s">
        <v>17</v>
      </c>
      <c r="E107" s="7" t="s">
        <v>18</v>
      </c>
      <c r="F107" s="7" t="str">
        <f>"15010121703"</f>
        <v>15010121703</v>
      </c>
      <c r="G107" s="7" t="s">
        <v>27</v>
      </c>
      <c r="H107" s="7" t="s">
        <v>20</v>
      </c>
      <c r="I107" s="7">
        <v>69.19</v>
      </c>
      <c r="J107" s="7"/>
      <c r="K107" s="7">
        <v>69.19</v>
      </c>
      <c r="L107" s="10">
        <f t="shared" si="6"/>
        <v>41.514</v>
      </c>
      <c r="M107" s="11">
        <v>73.6</v>
      </c>
      <c r="N107" s="12">
        <f t="shared" si="7"/>
        <v>29.44</v>
      </c>
      <c r="O107" s="13">
        <f t="shared" si="8"/>
        <v>70.954</v>
      </c>
      <c r="XFA107" s="3"/>
      <c r="XFB107" s="3"/>
      <c r="XFC107" s="3"/>
      <c r="XFD107" s="3"/>
    </row>
    <row r="108" s="1" customFormat="1" ht="33" customHeight="1" spans="1:16384">
      <c r="A108" s="7">
        <v>1</v>
      </c>
      <c r="B108" s="7" t="s">
        <v>32</v>
      </c>
      <c r="C108" s="7" t="str">
        <f>"冯海贝"</f>
        <v>冯海贝</v>
      </c>
      <c r="D108" s="7" t="s">
        <v>17</v>
      </c>
      <c r="E108" s="7" t="s">
        <v>18</v>
      </c>
      <c r="F108" s="7" t="str">
        <f>"15010222809"</f>
        <v>15010222809</v>
      </c>
      <c r="G108" s="7" t="s">
        <v>24</v>
      </c>
      <c r="H108" s="7" t="s">
        <v>20</v>
      </c>
      <c r="I108" s="7">
        <v>74.68</v>
      </c>
      <c r="J108" s="7"/>
      <c r="K108" s="7">
        <v>74.68</v>
      </c>
      <c r="L108" s="10">
        <f t="shared" ref="L108:L141" si="9">SUM(K108*0.6)</f>
        <v>44.808</v>
      </c>
      <c r="M108" s="11">
        <v>81.66</v>
      </c>
      <c r="N108" s="12">
        <f t="shared" ref="N108:N141" si="10">SUM(M108*0.4)</f>
        <v>32.664</v>
      </c>
      <c r="O108" s="13">
        <f t="shared" ref="O108:O141" si="11">SUM(L108+N108)</f>
        <v>77.472</v>
      </c>
      <c r="XEY108" s="3"/>
      <c r="XEZ108" s="3"/>
      <c r="XFA108" s="3"/>
      <c r="XFB108" s="3"/>
      <c r="XFC108" s="3"/>
      <c r="XFD108" s="3"/>
    </row>
    <row r="109" s="1" customFormat="1" ht="33" customHeight="1" spans="1:16384">
      <c r="A109" s="7">
        <v>2</v>
      </c>
      <c r="B109" s="7" t="s">
        <v>32</v>
      </c>
      <c r="C109" s="7" t="str">
        <f>"乔栋"</f>
        <v>乔栋</v>
      </c>
      <c r="D109" s="7" t="s">
        <v>22</v>
      </c>
      <c r="E109" s="7" t="s">
        <v>18</v>
      </c>
      <c r="F109" s="7" t="str">
        <f>"15010222903"</f>
        <v>15010222903</v>
      </c>
      <c r="G109" s="7" t="s">
        <v>24</v>
      </c>
      <c r="H109" s="7" t="s">
        <v>20</v>
      </c>
      <c r="I109" s="7">
        <v>72.89</v>
      </c>
      <c r="J109" s="7"/>
      <c r="K109" s="7">
        <v>72.89</v>
      </c>
      <c r="L109" s="10">
        <f t="shared" si="9"/>
        <v>43.734</v>
      </c>
      <c r="M109" s="11">
        <v>78.3</v>
      </c>
      <c r="N109" s="12">
        <f t="shared" si="10"/>
        <v>31.32</v>
      </c>
      <c r="O109" s="13">
        <f t="shared" si="11"/>
        <v>75.054</v>
      </c>
      <c r="XEY109" s="3"/>
      <c r="XEZ109" s="3"/>
      <c r="XFA109" s="3"/>
      <c r="XFB109" s="3"/>
      <c r="XFC109" s="3"/>
      <c r="XFD109" s="3"/>
    </row>
    <row r="110" s="1" customFormat="1" ht="33" customHeight="1" spans="1:16384">
      <c r="A110" s="7">
        <v>3</v>
      </c>
      <c r="B110" s="7" t="s">
        <v>32</v>
      </c>
      <c r="C110" s="7" t="str">
        <f>"刘二旭"</f>
        <v>刘二旭</v>
      </c>
      <c r="D110" s="7" t="s">
        <v>22</v>
      </c>
      <c r="E110" s="7" t="s">
        <v>18</v>
      </c>
      <c r="F110" s="7" t="str">
        <f>"15010222520"</f>
        <v>15010222520</v>
      </c>
      <c r="G110" s="7" t="s">
        <v>28</v>
      </c>
      <c r="H110" s="7" t="s">
        <v>20</v>
      </c>
      <c r="I110" s="7">
        <v>73.28</v>
      </c>
      <c r="J110" s="7"/>
      <c r="K110" s="7">
        <v>73.28</v>
      </c>
      <c r="L110" s="10">
        <f t="shared" si="9"/>
        <v>43.968</v>
      </c>
      <c r="M110" s="11">
        <v>74.24</v>
      </c>
      <c r="N110" s="12">
        <f t="shared" si="10"/>
        <v>29.696</v>
      </c>
      <c r="O110" s="13">
        <f t="shared" si="11"/>
        <v>73.664</v>
      </c>
      <c r="XEY110" s="3"/>
      <c r="XEZ110" s="3"/>
      <c r="XFA110" s="3"/>
      <c r="XFB110" s="3"/>
      <c r="XFC110" s="3"/>
      <c r="XFD110" s="3"/>
    </row>
    <row r="111" s="1" customFormat="1" ht="33" customHeight="1" spans="1:16384">
      <c r="A111" s="7">
        <v>4</v>
      </c>
      <c r="B111" s="7" t="s">
        <v>32</v>
      </c>
      <c r="C111" s="7" t="str">
        <f>"张帅"</f>
        <v>张帅</v>
      </c>
      <c r="D111" s="7" t="s">
        <v>22</v>
      </c>
      <c r="E111" s="7" t="s">
        <v>18</v>
      </c>
      <c r="F111" s="7" t="str">
        <f>"15010222818"</f>
        <v>15010222818</v>
      </c>
      <c r="G111" s="7" t="s">
        <v>21</v>
      </c>
      <c r="H111" s="7" t="s">
        <v>20</v>
      </c>
      <c r="I111" s="7">
        <v>66.83</v>
      </c>
      <c r="J111" s="7"/>
      <c r="K111" s="7">
        <v>66.83</v>
      </c>
      <c r="L111" s="10">
        <f t="shared" si="9"/>
        <v>40.098</v>
      </c>
      <c r="M111" s="11">
        <v>82.6</v>
      </c>
      <c r="N111" s="12">
        <f t="shared" si="10"/>
        <v>33.04</v>
      </c>
      <c r="O111" s="13">
        <f t="shared" si="11"/>
        <v>73.138</v>
      </c>
      <c r="XEY111" s="3"/>
      <c r="XEZ111" s="3"/>
      <c r="XFA111" s="3"/>
      <c r="XFB111" s="3"/>
      <c r="XFC111" s="3"/>
      <c r="XFD111" s="3"/>
    </row>
    <row r="112" s="1" customFormat="1" ht="33" customHeight="1" spans="1:16384">
      <c r="A112" s="7">
        <v>5</v>
      </c>
      <c r="B112" s="7" t="s">
        <v>32</v>
      </c>
      <c r="C112" s="7" t="str">
        <f>"訾悦"</f>
        <v>訾悦</v>
      </c>
      <c r="D112" s="7" t="s">
        <v>17</v>
      </c>
      <c r="E112" s="7" t="s">
        <v>18</v>
      </c>
      <c r="F112" s="7" t="str">
        <f>"15010222628"</f>
        <v>15010222628</v>
      </c>
      <c r="G112" s="7" t="s">
        <v>24</v>
      </c>
      <c r="H112" s="7" t="s">
        <v>20</v>
      </c>
      <c r="I112" s="7">
        <v>65.37</v>
      </c>
      <c r="J112" s="7"/>
      <c r="K112" s="7">
        <v>65.37</v>
      </c>
      <c r="L112" s="10">
        <f t="shared" si="9"/>
        <v>39.222</v>
      </c>
      <c r="M112" s="11">
        <v>84.46</v>
      </c>
      <c r="N112" s="12">
        <f t="shared" si="10"/>
        <v>33.784</v>
      </c>
      <c r="O112" s="13">
        <f t="shared" si="11"/>
        <v>73.006</v>
      </c>
      <c r="XEY112" s="3"/>
      <c r="XEZ112" s="3"/>
      <c r="XFA112" s="3"/>
      <c r="XFB112" s="3"/>
      <c r="XFC112" s="3"/>
      <c r="XFD112" s="3"/>
    </row>
    <row r="113" s="1" customFormat="1" ht="33" customHeight="1" spans="1:16384">
      <c r="A113" s="7">
        <v>6</v>
      </c>
      <c r="B113" s="7" t="s">
        <v>32</v>
      </c>
      <c r="C113" s="7" t="str">
        <f>"郝红叶"</f>
        <v>郝红叶</v>
      </c>
      <c r="D113" s="7" t="s">
        <v>17</v>
      </c>
      <c r="E113" s="7" t="s">
        <v>25</v>
      </c>
      <c r="F113" s="7" t="str">
        <f>"15010222205"</f>
        <v>15010222205</v>
      </c>
      <c r="G113" s="7" t="s">
        <v>29</v>
      </c>
      <c r="H113" s="7" t="s">
        <v>20</v>
      </c>
      <c r="I113" s="7">
        <v>67.68</v>
      </c>
      <c r="J113" s="7">
        <v>2.5</v>
      </c>
      <c r="K113" s="7">
        <v>70.18</v>
      </c>
      <c r="L113" s="10">
        <f t="shared" si="9"/>
        <v>42.108</v>
      </c>
      <c r="M113" s="11">
        <v>77.18</v>
      </c>
      <c r="N113" s="12">
        <f t="shared" si="10"/>
        <v>30.872</v>
      </c>
      <c r="O113" s="13">
        <f t="shared" si="11"/>
        <v>72.98</v>
      </c>
      <c r="XEY113" s="3"/>
      <c r="XEZ113" s="3"/>
      <c r="XFA113" s="3"/>
      <c r="XFB113" s="3"/>
      <c r="XFC113" s="3"/>
      <c r="XFD113" s="3"/>
    </row>
    <row r="114" s="1" customFormat="1" ht="33" customHeight="1" spans="1:16384">
      <c r="A114" s="7">
        <v>7</v>
      </c>
      <c r="B114" s="7" t="s">
        <v>32</v>
      </c>
      <c r="C114" s="7" t="str">
        <f>"李惠"</f>
        <v>李惠</v>
      </c>
      <c r="D114" s="7" t="s">
        <v>17</v>
      </c>
      <c r="E114" s="7" t="s">
        <v>18</v>
      </c>
      <c r="F114" s="7" t="str">
        <f>"15010222412"</f>
        <v>15010222412</v>
      </c>
      <c r="G114" s="7" t="s">
        <v>19</v>
      </c>
      <c r="H114" s="7" t="s">
        <v>20</v>
      </c>
      <c r="I114" s="7">
        <v>70.21</v>
      </c>
      <c r="J114" s="7"/>
      <c r="K114" s="7">
        <v>70.21</v>
      </c>
      <c r="L114" s="10">
        <f t="shared" si="9"/>
        <v>42.126</v>
      </c>
      <c r="M114" s="11">
        <v>75.78</v>
      </c>
      <c r="N114" s="12">
        <f t="shared" si="10"/>
        <v>30.312</v>
      </c>
      <c r="O114" s="13">
        <f t="shared" si="11"/>
        <v>72.438</v>
      </c>
      <c r="XEY114" s="3"/>
      <c r="XEZ114" s="3"/>
      <c r="XFA114" s="3"/>
      <c r="XFB114" s="3"/>
      <c r="XFC114" s="3"/>
      <c r="XFD114" s="3"/>
    </row>
    <row r="115" s="1" customFormat="1" ht="33" customHeight="1" spans="1:16384">
      <c r="A115" s="7">
        <v>8</v>
      </c>
      <c r="B115" s="7" t="s">
        <v>32</v>
      </c>
      <c r="C115" s="7" t="str">
        <f>"乔峤"</f>
        <v>乔峤</v>
      </c>
      <c r="D115" s="7" t="s">
        <v>17</v>
      </c>
      <c r="E115" s="7" t="s">
        <v>25</v>
      </c>
      <c r="F115" s="7" t="str">
        <f>"15010222309"</f>
        <v>15010222309</v>
      </c>
      <c r="G115" s="7" t="s">
        <v>24</v>
      </c>
      <c r="H115" s="7" t="s">
        <v>20</v>
      </c>
      <c r="I115" s="7">
        <v>63.5</v>
      </c>
      <c r="J115" s="7">
        <v>2.5</v>
      </c>
      <c r="K115" s="7">
        <v>66</v>
      </c>
      <c r="L115" s="10">
        <f t="shared" si="9"/>
        <v>39.6</v>
      </c>
      <c r="M115" s="11">
        <v>81.66</v>
      </c>
      <c r="N115" s="12">
        <f t="shared" si="10"/>
        <v>32.664</v>
      </c>
      <c r="O115" s="13">
        <f t="shared" si="11"/>
        <v>72.264</v>
      </c>
      <c r="XEY115" s="3"/>
      <c r="XEZ115" s="3"/>
      <c r="XFA115" s="3"/>
      <c r="XFB115" s="3"/>
      <c r="XFC115" s="3"/>
      <c r="XFD115" s="3"/>
    </row>
    <row r="116" s="1" customFormat="1" ht="33" customHeight="1" spans="1:16384">
      <c r="A116" s="7">
        <v>9</v>
      </c>
      <c r="B116" s="7" t="s">
        <v>32</v>
      </c>
      <c r="C116" s="7" t="str">
        <f>"张虎"</f>
        <v>张虎</v>
      </c>
      <c r="D116" s="7" t="s">
        <v>22</v>
      </c>
      <c r="E116" s="7" t="s">
        <v>18</v>
      </c>
      <c r="F116" s="7" t="str">
        <f>"15010222715"</f>
        <v>15010222715</v>
      </c>
      <c r="G116" s="7" t="s">
        <v>23</v>
      </c>
      <c r="H116" s="7" t="s">
        <v>20</v>
      </c>
      <c r="I116" s="7">
        <v>67.72</v>
      </c>
      <c r="J116" s="7"/>
      <c r="K116" s="7">
        <v>67.72</v>
      </c>
      <c r="L116" s="10">
        <f t="shared" si="9"/>
        <v>40.632</v>
      </c>
      <c r="M116" s="11">
        <v>77.72</v>
      </c>
      <c r="N116" s="12">
        <f t="shared" si="10"/>
        <v>31.088</v>
      </c>
      <c r="O116" s="13">
        <f t="shared" si="11"/>
        <v>71.72</v>
      </c>
      <c r="XEY116" s="3"/>
      <c r="XEZ116" s="3"/>
      <c r="XFA116" s="3"/>
      <c r="XFB116" s="3"/>
      <c r="XFC116" s="3"/>
      <c r="XFD116" s="3"/>
    </row>
    <row r="117" s="1" customFormat="1" ht="33" customHeight="1" spans="1:16384">
      <c r="A117" s="7">
        <v>10</v>
      </c>
      <c r="B117" s="7" t="s">
        <v>32</v>
      </c>
      <c r="C117" s="7" t="str">
        <f>"刘媛媛"</f>
        <v>刘媛媛</v>
      </c>
      <c r="D117" s="7" t="s">
        <v>17</v>
      </c>
      <c r="E117" s="7" t="s">
        <v>18</v>
      </c>
      <c r="F117" s="7" t="str">
        <f>"15010222507"</f>
        <v>15010222507</v>
      </c>
      <c r="G117" s="7" t="s">
        <v>24</v>
      </c>
      <c r="H117" s="7" t="s">
        <v>20</v>
      </c>
      <c r="I117" s="7">
        <v>65.18</v>
      </c>
      <c r="J117" s="7"/>
      <c r="K117" s="7">
        <v>65.18</v>
      </c>
      <c r="L117" s="10">
        <f t="shared" si="9"/>
        <v>39.108</v>
      </c>
      <c r="M117" s="11">
        <v>81.46</v>
      </c>
      <c r="N117" s="12">
        <f t="shared" si="10"/>
        <v>32.584</v>
      </c>
      <c r="O117" s="13">
        <f t="shared" si="11"/>
        <v>71.692</v>
      </c>
      <c r="XEY117" s="3"/>
      <c r="XEZ117" s="3"/>
      <c r="XFA117" s="3"/>
      <c r="XFB117" s="3"/>
      <c r="XFC117" s="3"/>
      <c r="XFD117" s="3"/>
    </row>
    <row r="118" s="1" customFormat="1" ht="33" customHeight="1" spans="1:16384">
      <c r="A118" s="7">
        <v>11</v>
      </c>
      <c r="B118" s="7" t="s">
        <v>32</v>
      </c>
      <c r="C118" s="7" t="s">
        <v>33</v>
      </c>
      <c r="D118" s="7" t="s">
        <v>17</v>
      </c>
      <c r="E118" s="7" t="s">
        <v>18</v>
      </c>
      <c r="F118" s="7" t="str">
        <f>"15010222605"</f>
        <v>15010222605</v>
      </c>
      <c r="G118" s="7" t="s">
        <v>19</v>
      </c>
      <c r="H118" s="7" t="s">
        <v>26</v>
      </c>
      <c r="I118" s="7">
        <v>66.52</v>
      </c>
      <c r="J118" s="7"/>
      <c r="K118" s="7">
        <v>66.52</v>
      </c>
      <c r="L118" s="10">
        <f t="shared" si="9"/>
        <v>39.912</v>
      </c>
      <c r="M118" s="11">
        <v>79.18</v>
      </c>
      <c r="N118" s="12">
        <f t="shared" si="10"/>
        <v>31.672</v>
      </c>
      <c r="O118" s="13">
        <f t="shared" si="11"/>
        <v>71.584</v>
      </c>
      <c r="XEY118" s="3"/>
      <c r="XEZ118" s="3"/>
      <c r="XFA118" s="3"/>
      <c r="XFB118" s="3"/>
      <c r="XFC118" s="3"/>
      <c r="XFD118" s="3"/>
    </row>
    <row r="119" s="1" customFormat="1" ht="33" customHeight="1" spans="1:16384">
      <c r="A119" s="7">
        <v>12</v>
      </c>
      <c r="B119" s="7" t="s">
        <v>32</v>
      </c>
      <c r="C119" s="7" t="str">
        <f>"郭旭"</f>
        <v>郭旭</v>
      </c>
      <c r="D119" s="7" t="s">
        <v>22</v>
      </c>
      <c r="E119" s="7" t="s">
        <v>25</v>
      </c>
      <c r="F119" s="7" t="str">
        <f>"15010222314"</f>
        <v>15010222314</v>
      </c>
      <c r="G119" s="7" t="s">
        <v>24</v>
      </c>
      <c r="H119" s="7" t="s">
        <v>20</v>
      </c>
      <c r="I119" s="7">
        <v>67.34</v>
      </c>
      <c r="J119" s="7">
        <v>2.5</v>
      </c>
      <c r="K119" s="7">
        <v>69.84</v>
      </c>
      <c r="L119" s="10">
        <f t="shared" si="9"/>
        <v>41.904</v>
      </c>
      <c r="M119" s="11">
        <v>73.92</v>
      </c>
      <c r="N119" s="12">
        <f t="shared" si="10"/>
        <v>29.568</v>
      </c>
      <c r="O119" s="13">
        <f t="shared" si="11"/>
        <v>71.472</v>
      </c>
      <c r="XEY119" s="3"/>
      <c r="XEZ119" s="3"/>
      <c r="XFA119" s="3"/>
      <c r="XFB119" s="3"/>
      <c r="XFC119" s="3"/>
      <c r="XFD119" s="3"/>
    </row>
    <row r="120" s="1" customFormat="1" ht="33" customHeight="1" spans="1:16384">
      <c r="A120" s="7">
        <v>13</v>
      </c>
      <c r="B120" s="7" t="s">
        <v>32</v>
      </c>
      <c r="C120" s="7" t="str">
        <f>"张莉娜"</f>
        <v>张莉娜</v>
      </c>
      <c r="D120" s="7" t="s">
        <v>17</v>
      </c>
      <c r="E120" s="7" t="s">
        <v>18</v>
      </c>
      <c r="F120" s="7" t="str">
        <f>"15010222512"</f>
        <v>15010222512</v>
      </c>
      <c r="G120" s="7" t="s">
        <v>29</v>
      </c>
      <c r="H120" s="7" t="s">
        <v>20</v>
      </c>
      <c r="I120" s="7">
        <v>66.86</v>
      </c>
      <c r="J120" s="7"/>
      <c r="K120" s="7">
        <v>66.86</v>
      </c>
      <c r="L120" s="10">
        <f t="shared" si="9"/>
        <v>40.116</v>
      </c>
      <c r="M120" s="11">
        <v>77.64</v>
      </c>
      <c r="N120" s="12">
        <f t="shared" si="10"/>
        <v>31.056</v>
      </c>
      <c r="O120" s="13">
        <f t="shared" si="11"/>
        <v>71.172</v>
      </c>
      <c r="XEY120" s="3"/>
      <c r="XEZ120" s="3"/>
      <c r="XFA120" s="3"/>
      <c r="XFB120" s="3"/>
      <c r="XFC120" s="3"/>
      <c r="XFD120" s="3"/>
    </row>
    <row r="121" s="1" customFormat="1" ht="33" customHeight="1" spans="1:16384">
      <c r="A121" s="7">
        <v>14</v>
      </c>
      <c r="B121" s="7" t="s">
        <v>32</v>
      </c>
      <c r="C121" s="7" t="str">
        <f>"孙天庆"</f>
        <v>孙天庆</v>
      </c>
      <c r="D121" s="7" t="s">
        <v>22</v>
      </c>
      <c r="E121" s="7" t="s">
        <v>18</v>
      </c>
      <c r="F121" s="7" t="str">
        <f>"15010222220"</f>
        <v>15010222220</v>
      </c>
      <c r="G121" s="7" t="s">
        <v>27</v>
      </c>
      <c r="H121" s="7" t="s">
        <v>20</v>
      </c>
      <c r="I121" s="7">
        <v>68.51</v>
      </c>
      <c r="J121" s="7"/>
      <c r="K121" s="7">
        <v>68.51</v>
      </c>
      <c r="L121" s="10">
        <f t="shared" si="9"/>
        <v>41.106</v>
      </c>
      <c r="M121" s="11">
        <v>75.02</v>
      </c>
      <c r="N121" s="12">
        <f t="shared" si="10"/>
        <v>30.008</v>
      </c>
      <c r="O121" s="13">
        <f t="shared" si="11"/>
        <v>71.114</v>
      </c>
      <c r="XEY121" s="3"/>
      <c r="XEZ121" s="3"/>
      <c r="XFA121" s="3"/>
      <c r="XFB121" s="3"/>
      <c r="XFC121" s="3"/>
      <c r="XFD121" s="3"/>
    </row>
    <row r="122" s="1" customFormat="1" ht="33" customHeight="1" spans="1:16384">
      <c r="A122" s="7">
        <v>15</v>
      </c>
      <c r="B122" s="7" t="s">
        <v>32</v>
      </c>
      <c r="C122" s="7" t="str">
        <f>"刘慧"</f>
        <v>刘慧</v>
      </c>
      <c r="D122" s="7" t="s">
        <v>17</v>
      </c>
      <c r="E122" s="7" t="s">
        <v>18</v>
      </c>
      <c r="F122" s="7" t="str">
        <f>"15010222707"</f>
        <v>15010222707</v>
      </c>
      <c r="G122" s="7" t="s">
        <v>24</v>
      </c>
      <c r="H122" s="7" t="s">
        <v>20</v>
      </c>
      <c r="I122" s="7">
        <v>67.25</v>
      </c>
      <c r="J122" s="7"/>
      <c r="K122" s="7">
        <v>67.25</v>
      </c>
      <c r="L122" s="10">
        <f t="shared" si="9"/>
        <v>40.35</v>
      </c>
      <c r="M122" s="11">
        <v>76.88</v>
      </c>
      <c r="N122" s="12">
        <f t="shared" si="10"/>
        <v>30.752</v>
      </c>
      <c r="O122" s="13">
        <f t="shared" si="11"/>
        <v>71.102</v>
      </c>
      <c r="XEY122" s="3"/>
      <c r="XEZ122" s="3"/>
      <c r="XFA122" s="3"/>
      <c r="XFB122" s="3"/>
      <c r="XFC122" s="3"/>
      <c r="XFD122" s="3"/>
    </row>
    <row r="123" s="1" customFormat="1" ht="33" customHeight="1" spans="1:16384">
      <c r="A123" s="7">
        <v>16</v>
      </c>
      <c r="B123" s="7" t="s">
        <v>32</v>
      </c>
      <c r="C123" s="7" t="str">
        <f>"侯倩雯"</f>
        <v>侯倩雯</v>
      </c>
      <c r="D123" s="7" t="s">
        <v>17</v>
      </c>
      <c r="E123" s="7" t="s">
        <v>25</v>
      </c>
      <c r="F123" s="7" t="str">
        <f>"15010222207"</f>
        <v>15010222207</v>
      </c>
      <c r="G123" s="7" t="s">
        <v>24</v>
      </c>
      <c r="H123" s="7" t="s">
        <v>20</v>
      </c>
      <c r="I123" s="7">
        <v>64.3</v>
      </c>
      <c r="J123" s="7">
        <v>2.5</v>
      </c>
      <c r="K123" s="7">
        <v>66.8</v>
      </c>
      <c r="L123" s="10">
        <f t="shared" si="9"/>
        <v>40.08</v>
      </c>
      <c r="M123" s="11">
        <v>77.14</v>
      </c>
      <c r="N123" s="12">
        <f t="shared" si="10"/>
        <v>30.856</v>
      </c>
      <c r="O123" s="13">
        <f t="shared" si="11"/>
        <v>70.936</v>
      </c>
      <c r="XEY123" s="3"/>
      <c r="XEZ123" s="3"/>
      <c r="XFA123" s="3"/>
      <c r="XFB123" s="3"/>
      <c r="XFC123" s="3"/>
      <c r="XFD123" s="3"/>
    </row>
    <row r="124" s="1" customFormat="1" ht="33" customHeight="1" spans="1:16384">
      <c r="A124" s="7">
        <v>17</v>
      </c>
      <c r="B124" s="7" t="s">
        <v>32</v>
      </c>
      <c r="C124" s="7" t="str">
        <f>"白鸽"</f>
        <v>白鸽</v>
      </c>
      <c r="D124" s="7" t="s">
        <v>17</v>
      </c>
      <c r="E124" s="7" t="s">
        <v>18</v>
      </c>
      <c r="F124" s="7" t="str">
        <f>"15010222526"</f>
        <v>15010222526</v>
      </c>
      <c r="G124" s="7" t="s">
        <v>23</v>
      </c>
      <c r="H124" s="7" t="s">
        <v>20</v>
      </c>
      <c r="I124" s="7">
        <v>65.67</v>
      </c>
      <c r="J124" s="7"/>
      <c r="K124" s="7">
        <v>65.67</v>
      </c>
      <c r="L124" s="10">
        <f t="shared" si="9"/>
        <v>39.402</v>
      </c>
      <c r="M124" s="11">
        <v>78.14</v>
      </c>
      <c r="N124" s="12">
        <f t="shared" si="10"/>
        <v>31.256</v>
      </c>
      <c r="O124" s="13">
        <f t="shared" si="11"/>
        <v>70.658</v>
      </c>
      <c r="XEY124" s="3"/>
      <c r="XEZ124" s="3"/>
      <c r="XFA124" s="3"/>
      <c r="XFB124" s="3"/>
      <c r="XFC124" s="3"/>
      <c r="XFD124" s="3"/>
    </row>
    <row r="125" s="1" customFormat="1" ht="33" customHeight="1" spans="1:16384">
      <c r="A125" s="7">
        <v>18</v>
      </c>
      <c r="B125" s="7" t="s">
        <v>32</v>
      </c>
      <c r="C125" s="7" t="str">
        <f>"李淑敏"</f>
        <v>李淑敏</v>
      </c>
      <c r="D125" s="7" t="s">
        <v>22</v>
      </c>
      <c r="E125" s="7" t="s">
        <v>18</v>
      </c>
      <c r="F125" s="7" t="str">
        <f>"15010222504"</f>
        <v>15010222504</v>
      </c>
      <c r="G125" s="7" t="s">
        <v>23</v>
      </c>
      <c r="H125" s="7" t="s">
        <v>20</v>
      </c>
      <c r="I125" s="7">
        <v>67.22</v>
      </c>
      <c r="J125" s="7"/>
      <c r="K125" s="7">
        <v>67.22</v>
      </c>
      <c r="L125" s="10">
        <f t="shared" si="9"/>
        <v>40.332</v>
      </c>
      <c r="M125" s="14">
        <v>75.8</v>
      </c>
      <c r="N125" s="12">
        <f t="shared" si="10"/>
        <v>30.32</v>
      </c>
      <c r="O125" s="13">
        <f t="shared" si="11"/>
        <v>70.652</v>
      </c>
      <c r="XEY125" s="3"/>
      <c r="XEZ125" s="3"/>
      <c r="XFA125" s="3"/>
      <c r="XFB125" s="3"/>
      <c r="XFC125" s="3"/>
      <c r="XFD125" s="3"/>
    </row>
    <row r="126" s="1" customFormat="1" ht="33" customHeight="1" spans="1:16384">
      <c r="A126" s="7">
        <v>19</v>
      </c>
      <c r="B126" s="7" t="s">
        <v>32</v>
      </c>
      <c r="C126" s="7" t="str">
        <f>"牛瑞"</f>
        <v>牛瑞</v>
      </c>
      <c r="D126" s="7" t="s">
        <v>17</v>
      </c>
      <c r="E126" s="7" t="s">
        <v>18</v>
      </c>
      <c r="F126" s="7" t="str">
        <f>"15010222214"</f>
        <v>15010222214</v>
      </c>
      <c r="G126" s="7" t="s">
        <v>27</v>
      </c>
      <c r="H126" s="7" t="s">
        <v>20</v>
      </c>
      <c r="I126" s="7">
        <v>66.01</v>
      </c>
      <c r="J126" s="7"/>
      <c r="K126" s="7">
        <v>66.01</v>
      </c>
      <c r="L126" s="10">
        <f t="shared" si="9"/>
        <v>39.606</v>
      </c>
      <c r="M126" s="11">
        <v>77.54</v>
      </c>
      <c r="N126" s="12">
        <f t="shared" si="10"/>
        <v>31.016</v>
      </c>
      <c r="O126" s="13">
        <f t="shared" si="11"/>
        <v>70.622</v>
      </c>
      <c r="XEY126" s="3"/>
      <c r="XEZ126" s="3"/>
      <c r="XFA126" s="3"/>
      <c r="XFB126" s="3"/>
      <c r="XFC126" s="3"/>
      <c r="XFD126" s="3"/>
    </row>
    <row r="127" s="1" customFormat="1" ht="33" customHeight="1" spans="1:16384">
      <c r="A127" s="7">
        <v>20</v>
      </c>
      <c r="B127" s="7" t="s">
        <v>32</v>
      </c>
      <c r="C127" s="7" t="str">
        <f>"张赫"</f>
        <v>张赫</v>
      </c>
      <c r="D127" s="7" t="s">
        <v>22</v>
      </c>
      <c r="E127" s="7" t="s">
        <v>18</v>
      </c>
      <c r="F127" s="7" t="str">
        <f>"15010222527"</f>
        <v>15010222527</v>
      </c>
      <c r="G127" s="7" t="s">
        <v>21</v>
      </c>
      <c r="H127" s="7" t="s">
        <v>20</v>
      </c>
      <c r="I127" s="7">
        <v>65.63</v>
      </c>
      <c r="J127" s="7"/>
      <c r="K127" s="7">
        <v>65.63</v>
      </c>
      <c r="L127" s="10">
        <f t="shared" si="9"/>
        <v>39.378</v>
      </c>
      <c r="M127" s="11">
        <v>78.08</v>
      </c>
      <c r="N127" s="12">
        <f t="shared" si="10"/>
        <v>31.232</v>
      </c>
      <c r="O127" s="13">
        <f t="shared" si="11"/>
        <v>70.61</v>
      </c>
      <c r="XEY127" s="3"/>
      <c r="XEZ127" s="3"/>
      <c r="XFA127" s="3"/>
      <c r="XFB127" s="3"/>
      <c r="XFC127" s="3"/>
      <c r="XFD127" s="3"/>
    </row>
    <row r="128" s="1" customFormat="1" ht="33" customHeight="1" spans="1:16384">
      <c r="A128" s="7">
        <v>21</v>
      </c>
      <c r="B128" s="7" t="s">
        <v>32</v>
      </c>
      <c r="C128" s="7" t="str">
        <f>"苗艳"</f>
        <v>苗艳</v>
      </c>
      <c r="D128" s="7" t="s">
        <v>17</v>
      </c>
      <c r="E128" s="7" t="s">
        <v>18</v>
      </c>
      <c r="F128" s="7" t="str">
        <f>"15010222702"</f>
        <v>15010222702</v>
      </c>
      <c r="G128" s="7" t="s">
        <v>29</v>
      </c>
      <c r="H128" s="7" t="s">
        <v>20</v>
      </c>
      <c r="I128" s="7">
        <v>65.77</v>
      </c>
      <c r="J128" s="7"/>
      <c r="K128" s="7">
        <v>65.77</v>
      </c>
      <c r="L128" s="10">
        <f t="shared" si="9"/>
        <v>39.462</v>
      </c>
      <c r="M128" s="11">
        <v>76.86</v>
      </c>
      <c r="N128" s="12">
        <f t="shared" si="10"/>
        <v>30.744</v>
      </c>
      <c r="O128" s="13">
        <f t="shared" si="11"/>
        <v>70.206</v>
      </c>
      <c r="XEY128" s="3"/>
      <c r="XEZ128" s="3"/>
      <c r="XFA128" s="3"/>
      <c r="XFB128" s="3"/>
      <c r="XFC128" s="3"/>
      <c r="XFD128" s="3"/>
    </row>
    <row r="129" s="1" customFormat="1" ht="33" customHeight="1" spans="1:16384">
      <c r="A129" s="7">
        <v>22</v>
      </c>
      <c r="B129" s="7" t="s">
        <v>32</v>
      </c>
      <c r="C129" s="7" t="str">
        <f>"温瑞芳"</f>
        <v>温瑞芳</v>
      </c>
      <c r="D129" s="7" t="s">
        <v>17</v>
      </c>
      <c r="E129" s="7" t="s">
        <v>18</v>
      </c>
      <c r="F129" s="7" t="str">
        <f>"15010222617"</f>
        <v>15010222617</v>
      </c>
      <c r="G129" s="7" t="s">
        <v>29</v>
      </c>
      <c r="H129" s="7" t="s">
        <v>20</v>
      </c>
      <c r="I129" s="7">
        <v>64.36</v>
      </c>
      <c r="J129" s="7"/>
      <c r="K129" s="7">
        <v>64.36</v>
      </c>
      <c r="L129" s="10">
        <f t="shared" si="9"/>
        <v>38.616</v>
      </c>
      <c r="M129" s="11">
        <v>78.78</v>
      </c>
      <c r="N129" s="12">
        <f t="shared" si="10"/>
        <v>31.512</v>
      </c>
      <c r="O129" s="13">
        <f t="shared" si="11"/>
        <v>70.128</v>
      </c>
      <c r="XEY129" s="3"/>
      <c r="XEZ129" s="3"/>
      <c r="XFA129" s="3"/>
      <c r="XFB129" s="3"/>
      <c r="XFC129" s="3"/>
      <c r="XFD129" s="3"/>
    </row>
    <row r="130" s="1" customFormat="1" ht="33" customHeight="1" spans="1:16384">
      <c r="A130" s="7">
        <v>23</v>
      </c>
      <c r="B130" s="7" t="s">
        <v>32</v>
      </c>
      <c r="C130" s="7" t="str">
        <f>"何智"</f>
        <v>何智</v>
      </c>
      <c r="D130" s="7" t="s">
        <v>22</v>
      </c>
      <c r="E130" s="7" t="s">
        <v>18</v>
      </c>
      <c r="F130" s="7" t="str">
        <f>"15010222602"</f>
        <v>15010222602</v>
      </c>
      <c r="G130" s="7" t="s">
        <v>21</v>
      </c>
      <c r="H130" s="7" t="s">
        <v>20</v>
      </c>
      <c r="I130" s="7">
        <v>64.74</v>
      </c>
      <c r="J130" s="7"/>
      <c r="K130" s="7">
        <v>64.74</v>
      </c>
      <c r="L130" s="10">
        <f t="shared" si="9"/>
        <v>38.844</v>
      </c>
      <c r="M130" s="11">
        <v>78</v>
      </c>
      <c r="N130" s="12">
        <f t="shared" si="10"/>
        <v>31.2</v>
      </c>
      <c r="O130" s="13">
        <f t="shared" si="11"/>
        <v>70.044</v>
      </c>
      <c r="XEY130" s="3"/>
      <c r="XEZ130" s="3"/>
      <c r="XFA130" s="3"/>
      <c r="XFB130" s="3"/>
      <c r="XFC130" s="3"/>
      <c r="XFD130" s="3"/>
    </row>
    <row r="131" s="1" customFormat="1" ht="33" customHeight="1" spans="1:16384">
      <c r="A131" s="7">
        <v>24</v>
      </c>
      <c r="B131" s="7" t="s">
        <v>32</v>
      </c>
      <c r="C131" s="8" t="str">
        <f>"刘敏"</f>
        <v>刘敏</v>
      </c>
      <c r="D131" s="7" t="s">
        <v>17</v>
      </c>
      <c r="E131" s="7" t="s">
        <v>18</v>
      </c>
      <c r="F131" s="7" t="str">
        <f>"15010222704"</f>
        <v>15010222704</v>
      </c>
      <c r="G131" s="7" t="s">
        <v>24</v>
      </c>
      <c r="H131" s="7" t="s">
        <v>20</v>
      </c>
      <c r="I131" s="7">
        <v>60.73</v>
      </c>
      <c r="J131" s="7"/>
      <c r="K131" s="7">
        <v>60.73</v>
      </c>
      <c r="L131" s="10">
        <f t="shared" si="9"/>
        <v>36.438</v>
      </c>
      <c r="M131" s="11">
        <v>83.88</v>
      </c>
      <c r="N131" s="12">
        <f t="shared" si="10"/>
        <v>33.552</v>
      </c>
      <c r="O131" s="13">
        <f t="shared" si="11"/>
        <v>69.99</v>
      </c>
      <c r="XEY131" s="3"/>
      <c r="XEZ131" s="3"/>
      <c r="XFA131" s="3"/>
      <c r="XFB131" s="3"/>
      <c r="XFC131" s="3"/>
      <c r="XFD131" s="3"/>
    </row>
    <row r="132" s="1" customFormat="1" ht="33" customHeight="1" spans="1:16384">
      <c r="A132" s="7">
        <v>25</v>
      </c>
      <c r="B132" s="7" t="s">
        <v>32</v>
      </c>
      <c r="C132" s="7" t="str">
        <f>"冯旭慧"</f>
        <v>冯旭慧</v>
      </c>
      <c r="D132" s="7" t="s">
        <v>17</v>
      </c>
      <c r="E132" s="7" t="s">
        <v>18</v>
      </c>
      <c r="F132" s="7" t="str">
        <f>"15010222404"</f>
        <v>15010222404</v>
      </c>
      <c r="G132" s="7" t="s">
        <v>19</v>
      </c>
      <c r="H132" s="7" t="s">
        <v>20</v>
      </c>
      <c r="I132" s="7">
        <v>65.12</v>
      </c>
      <c r="J132" s="7"/>
      <c r="K132" s="7">
        <v>65.12</v>
      </c>
      <c r="L132" s="10">
        <f t="shared" si="9"/>
        <v>39.072</v>
      </c>
      <c r="M132" s="11">
        <v>77.26</v>
      </c>
      <c r="N132" s="12">
        <f t="shared" si="10"/>
        <v>30.904</v>
      </c>
      <c r="O132" s="13">
        <f t="shared" si="11"/>
        <v>69.976</v>
      </c>
      <c r="XEY132" s="3"/>
      <c r="XEZ132" s="3"/>
      <c r="XFA132" s="3"/>
      <c r="XFB132" s="3"/>
      <c r="XFC132" s="3"/>
      <c r="XFD132" s="3"/>
    </row>
    <row r="133" s="1" customFormat="1" ht="33" customHeight="1" spans="1:16384">
      <c r="A133" s="7">
        <v>26</v>
      </c>
      <c r="B133" s="7" t="s">
        <v>32</v>
      </c>
      <c r="C133" s="7" t="str">
        <f>"王少春"</f>
        <v>王少春</v>
      </c>
      <c r="D133" s="7" t="s">
        <v>22</v>
      </c>
      <c r="E133" s="7" t="s">
        <v>18</v>
      </c>
      <c r="F133" s="7" t="str">
        <f>"15010222312"</f>
        <v>15010222312</v>
      </c>
      <c r="G133" s="7" t="s">
        <v>24</v>
      </c>
      <c r="H133" s="7" t="s">
        <v>20</v>
      </c>
      <c r="I133" s="7">
        <v>66.05</v>
      </c>
      <c r="J133" s="7"/>
      <c r="K133" s="7">
        <v>66.05</v>
      </c>
      <c r="L133" s="10">
        <f t="shared" si="9"/>
        <v>39.63</v>
      </c>
      <c r="M133" s="11">
        <v>75.86</v>
      </c>
      <c r="N133" s="12">
        <f t="shared" si="10"/>
        <v>30.344</v>
      </c>
      <c r="O133" s="13">
        <f t="shared" si="11"/>
        <v>69.974</v>
      </c>
      <c r="XEY133" s="3"/>
      <c r="XEZ133" s="3"/>
      <c r="XFA133" s="3"/>
      <c r="XFB133" s="3"/>
      <c r="XFC133" s="3"/>
      <c r="XFD133" s="3"/>
    </row>
    <row r="134" s="1" customFormat="1" ht="33" customHeight="1" spans="1:16384">
      <c r="A134" s="7">
        <v>27</v>
      </c>
      <c r="B134" s="7" t="s">
        <v>32</v>
      </c>
      <c r="C134" s="7" t="str">
        <f>"石慧龙"</f>
        <v>石慧龙</v>
      </c>
      <c r="D134" s="7" t="s">
        <v>22</v>
      </c>
      <c r="E134" s="7" t="s">
        <v>18</v>
      </c>
      <c r="F134" s="7" t="str">
        <f>"15010222318"</f>
        <v>15010222318</v>
      </c>
      <c r="G134" s="7" t="s">
        <v>24</v>
      </c>
      <c r="H134" s="7" t="s">
        <v>20</v>
      </c>
      <c r="I134" s="7">
        <v>62.76</v>
      </c>
      <c r="J134" s="7"/>
      <c r="K134" s="7">
        <v>62.76</v>
      </c>
      <c r="L134" s="10">
        <f t="shared" si="9"/>
        <v>37.656</v>
      </c>
      <c r="M134" s="11">
        <v>80.36</v>
      </c>
      <c r="N134" s="12">
        <f t="shared" si="10"/>
        <v>32.144</v>
      </c>
      <c r="O134" s="13">
        <f t="shared" si="11"/>
        <v>69.8</v>
      </c>
      <c r="XEY134" s="3"/>
      <c r="XEZ134" s="3"/>
      <c r="XFA134" s="3"/>
      <c r="XFB134" s="3"/>
      <c r="XFC134" s="3"/>
      <c r="XFD134" s="3"/>
    </row>
    <row r="135" s="1" customFormat="1" ht="33" customHeight="1" spans="1:16384">
      <c r="A135" s="7">
        <v>28</v>
      </c>
      <c r="B135" s="7" t="s">
        <v>32</v>
      </c>
      <c r="C135" s="7" t="str">
        <f>"陈慧帮"</f>
        <v>陈慧帮</v>
      </c>
      <c r="D135" s="7" t="s">
        <v>22</v>
      </c>
      <c r="E135" s="7" t="s">
        <v>18</v>
      </c>
      <c r="F135" s="7" t="str">
        <f>"15010222618"</f>
        <v>15010222618</v>
      </c>
      <c r="G135" s="7" t="s">
        <v>27</v>
      </c>
      <c r="H135" s="7" t="s">
        <v>30</v>
      </c>
      <c r="I135" s="7">
        <v>66.16</v>
      </c>
      <c r="J135" s="7"/>
      <c r="K135" s="7">
        <v>66.16</v>
      </c>
      <c r="L135" s="10">
        <f t="shared" si="9"/>
        <v>39.696</v>
      </c>
      <c r="M135" s="11">
        <v>74.74</v>
      </c>
      <c r="N135" s="12">
        <f t="shared" si="10"/>
        <v>29.896</v>
      </c>
      <c r="O135" s="13">
        <f t="shared" si="11"/>
        <v>69.592</v>
      </c>
      <c r="XEY135" s="3"/>
      <c r="XEZ135" s="3"/>
      <c r="XFA135" s="3"/>
      <c r="XFB135" s="3"/>
      <c r="XFC135" s="3"/>
      <c r="XFD135" s="3"/>
    </row>
    <row r="136" s="1" customFormat="1" ht="33" customHeight="1" spans="1:16384">
      <c r="A136" s="7">
        <v>29</v>
      </c>
      <c r="B136" s="7" t="s">
        <v>32</v>
      </c>
      <c r="C136" s="7" t="str">
        <f>"高彩红"</f>
        <v>高彩红</v>
      </c>
      <c r="D136" s="7" t="s">
        <v>17</v>
      </c>
      <c r="E136" s="7" t="s">
        <v>18</v>
      </c>
      <c r="F136" s="7" t="str">
        <f>"15010222327"</f>
        <v>15010222327</v>
      </c>
      <c r="G136" s="7" t="s">
        <v>19</v>
      </c>
      <c r="H136" s="7" t="s">
        <v>20</v>
      </c>
      <c r="I136" s="7">
        <v>66.77</v>
      </c>
      <c r="J136" s="7"/>
      <c r="K136" s="7">
        <v>66.77</v>
      </c>
      <c r="L136" s="10">
        <f t="shared" si="9"/>
        <v>40.062</v>
      </c>
      <c r="M136" s="11">
        <v>73.44</v>
      </c>
      <c r="N136" s="12">
        <f t="shared" si="10"/>
        <v>29.376</v>
      </c>
      <c r="O136" s="13">
        <f t="shared" si="11"/>
        <v>69.438</v>
      </c>
      <c r="XEY136" s="3"/>
      <c r="XEZ136" s="3"/>
      <c r="XFA136" s="3"/>
      <c r="XFB136" s="3"/>
      <c r="XFC136" s="3"/>
      <c r="XFD136" s="3"/>
    </row>
    <row r="137" s="1" customFormat="1" ht="33" customHeight="1" spans="1:16384">
      <c r="A137" s="7">
        <v>30</v>
      </c>
      <c r="B137" s="7" t="s">
        <v>32</v>
      </c>
      <c r="C137" s="7" t="str">
        <f>"呼楷波"</f>
        <v>呼楷波</v>
      </c>
      <c r="D137" s="7" t="s">
        <v>22</v>
      </c>
      <c r="E137" s="7" t="s">
        <v>18</v>
      </c>
      <c r="F137" s="7" t="str">
        <f>"15010222624"</f>
        <v>15010222624</v>
      </c>
      <c r="G137" s="7" t="s">
        <v>28</v>
      </c>
      <c r="H137" s="7" t="s">
        <v>20</v>
      </c>
      <c r="I137" s="7">
        <v>62.99</v>
      </c>
      <c r="J137" s="7"/>
      <c r="K137" s="7">
        <v>62.99</v>
      </c>
      <c r="L137" s="10">
        <f t="shared" si="9"/>
        <v>37.794</v>
      </c>
      <c r="M137" s="11">
        <v>79.06</v>
      </c>
      <c r="N137" s="12">
        <f t="shared" si="10"/>
        <v>31.624</v>
      </c>
      <c r="O137" s="13">
        <f t="shared" si="11"/>
        <v>69.418</v>
      </c>
      <c r="XEY137" s="3"/>
      <c r="XEZ137" s="3"/>
      <c r="XFA137" s="3"/>
      <c r="XFB137" s="3"/>
      <c r="XFC137" s="3"/>
      <c r="XFD137" s="3"/>
    </row>
    <row r="138" s="1" customFormat="1" ht="33" customHeight="1" spans="1:16384">
      <c r="A138" s="7">
        <v>31</v>
      </c>
      <c r="B138" s="7" t="s">
        <v>32</v>
      </c>
      <c r="C138" s="7" t="str">
        <f>"屈媛媛"</f>
        <v>屈媛媛</v>
      </c>
      <c r="D138" s="7" t="s">
        <v>17</v>
      </c>
      <c r="E138" s="7" t="s">
        <v>18</v>
      </c>
      <c r="F138" s="7" t="str">
        <f>"15010222424"</f>
        <v>15010222424</v>
      </c>
      <c r="G138" s="7" t="s">
        <v>24</v>
      </c>
      <c r="H138" s="7" t="s">
        <v>20</v>
      </c>
      <c r="I138" s="7">
        <v>61.9</v>
      </c>
      <c r="J138" s="7"/>
      <c r="K138" s="7">
        <v>61.9</v>
      </c>
      <c r="L138" s="10">
        <f t="shared" si="9"/>
        <v>37.14</v>
      </c>
      <c r="M138" s="11">
        <v>80.6</v>
      </c>
      <c r="N138" s="12">
        <f t="shared" si="10"/>
        <v>32.24</v>
      </c>
      <c r="O138" s="13">
        <f t="shared" si="11"/>
        <v>69.38</v>
      </c>
      <c r="XEY138" s="3"/>
      <c r="XEZ138" s="3"/>
      <c r="XFA138" s="3"/>
      <c r="XFB138" s="3"/>
      <c r="XFC138" s="3"/>
      <c r="XFD138" s="3"/>
    </row>
    <row r="139" s="1" customFormat="1" ht="33" customHeight="1" spans="1:16384">
      <c r="A139" s="7">
        <v>32</v>
      </c>
      <c r="B139" s="7" t="s">
        <v>32</v>
      </c>
      <c r="C139" s="7" t="str">
        <f>"吴昊月"</f>
        <v>吴昊月</v>
      </c>
      <c r="D139" s="7" t="s">
        <v>17</v>
      </c>
      <c r="E139" s="7" t="s">
        <v>18</v>
      </c>
      <c r="F139" s="7" t="str">
        <f>"15010222325"</f>
        <v>15010222325</v>
      </c>
      <c r="G139" s="7" t="s">
        <v>24</v>
      </c>
      <c r="H139" s="7" t="s">
        <v>20</v>
      </c>
      <c r="I139" s="7">
        <v>63.63</v>
      </c>
      <c r="J139" s="7"/>
      <c r="K139" s="7">
        <v>63.63</v>
      </c>
      <c r="L139" s="10">
        <f t="shared" si="9"/>
        <v>38.178</v>
      </c>
      <c r="M139" s="11">
        <v>77.46</v>
      </c>
      <c r="N139" s="12">
        <f t="shared" si="10"/>
        <v>30.984</v>
      </c>
      <c r="O139" s="13">
        <f t="shared" si="11"/>
        <v>69.162</v>
      </c>
      <c r="XEY139" s="3"/>
      <c r="XEZ139" s="3"/>
      <c r="XFA139" s="3"/>
      <c r="XFB139" s="3"/>
      <c r="XFC139" s="3"/>
      <c r="XFD139" s="3"/>
    </row>
    <row r="140" s="1" customFormat="1" ht="33" customHeight="1" spans="1:16383">
      <c r="A140" s="7">
        <v>1</v>
      </c>
      <c r="B140" s="7" t="s">
        <v>34</v>
      </c>
      <c r="C140" s="7" t="str">
        <f>"丹日妮"</f>
        <v>丹日妮</v>
      </c>
      <c r="D140" s="7" t="s">
        <v>17</v>
      </c>
      <c r="E140" s="7" t="s">
        <v>25</v>
      </c>
      <c r="F140" s="7" t="str">
        <f>"15010323103"</f>
        <v>15010323103</v>
      </c>
      <c r="G140" s="7" t="s">
        <v>24</v>
      </c>
      <c r="H140" s="7" t="s">
        <v>20</v>
      </c>
      <c r="I140" s="7">
        <v>65.95</v>
      </c>
      <c r="J140" s="7">
        <v>2.5</v>
      </c>
      <c r="K140" s="7">
        <v>68.45</v>
      </c>
      <c r="L140" s="10">
        <f t="shared" ref="L140:L175" si="12">SUM(K140*0.6)</f>
        <v>41.07</v>
      </c>
      <c r="M140" s="11">
        <v>81.86</v>
      </c>
      <c r="N140" s="12">
        <f t="shared" ref="N140:N175" si="13">SUM(M140*0.4)</f>
        <v>32.744</v>
      </c>
      <c r="O140" s="13">
        <f t="shared" ref="O140:O175" si="14">SUM(L140+N140)</f>
        <v>73.814</v>
      </c>
      <c r="XEX140" s="3"/>
      <c r="XEY140" s="3"/>
      <c r="XEZ140" s="3"/>
      <c r="XFA140" s="3"/>
      <c r="XFB140" s="3"/>
      <c r="XFC140" s="3"/>
    </row>
    <row r="141" s="1" customFormat="1" ht="33" customHeight="1" spans="1:16383">
      <c r="A141" s="7">
        <v>2</v>
      </c>
      <c r="B141" s="7" t="s">
        <v>34</v>
      </c>
      <c r="C141" s="7" t="str">
        <f>"奇沙娜"</f>
        <v>奇沙娜</v>
      </c>
      <c r="D141" s="7" t="s">
        <v>17</v>
      </c>
      <c r="E141" s="7" t="s">
        <v>25</v>
      </c>
      <c r="F141" s="7" t="str">
        <f>"15010323206"</f>
        <v>15010323206</v>
      </c>
      <c r="G141" s="7" t="s">
        <v>24</v>
      </c>
      <c r="H141" s="7" t="s">
        <v>26</v>
      </c>
      <c r="I141" s="7">
        <v>62.21</v>
      </c>
      <c r="J141" s="7">
        <v>2.5</v>
      </c>
      <c r="K141" s="7">
        <v>64.71</v>
      </c>
      <c r="L141" s="10">
        <f t="shared" si="12"/>
        <v>38.826</v>
      </c>
      <c r="M141" s="11">
        <v>83.76</v>
      </c>
      <c r="N141" s="12">
        <f t="shared" si="13"/>
        <v>33.504</v>
      </c>
      <c r="O141" s="13">
        <f t="shared" si="14"/>
        <v>72.33</v>
      </c>
      <c r="XEX141" s="3"/>
      <c r="XEY141" s="3"/>
      <c r="XEZ141" s="3"/>
      <c r="XFA141" s="3"/>
      <c r="XFB141" s="3"/>
      <c r="XFC141" s="3"/>
    </row>
    <row r="142" s="1" customFormat="1" ht="33" customHeight="1" spans="1:16383">
      <c r="A142" s="7">
        <v>3</v>
      </c>
      <c r="B142" s="7" t="s">
        <v>34</v>
      </c>
      <c r="C142" s="7" t="str">
        <f>"南丁"</f>
        <v>南丁</v>
      </c>
      <c r="D142" s="7" t="s">
        <v>22</v>
      </c>
      <c r="E142" s="7" t="s">
        <v>25</v>
      </c>
      <c r="F142" s="7" t="str">
        <f>"15010323205"</f>
        <v>15010323205</v>
      </c>
      <c r="G142" s="7" t="s">
        <v>27</v>
      </c>
      <c r="H142" s="7" t="s">
        <v>20</v>
      </c>
      <c r="I142" s="7">
        <v>61.76</v>
      </c>
      <c r="J142" s="7">
        <v>2.5</v>
      </c>
      <c r="K142" s="7">
        <v>64.26</v>
      </c>
      <c r="L142" s="10">
        <f t="shared" si="12"/>
        <v>38.556</v>
      </c>
      <c r="M142" s="11">
        <v>79.02</v>
      </c>
      <c r="N142" s="12">
        <f t="shared" si="13"/>
        <v>31.608</v>
      </c>
      <c r="O142" s="13">
        <f t="shared" si="14"/>
        <v>70.164</v>
      </c>
      <c r="XEX142" s="3"/>
      <c r="XEY142" s="3"/>
      <c r="XEZ142" s="3"/>
      <c r="XFA142" s="3"/>
      <c r="XFB142" s="3"/>
      <c r="XFC142" s="3"/>
    </row>
    <row r="143" s="1" customFormat="1" ht="33" customHeight="1" spans="1:16383">
      <c r="A143" s="7">
        <v>4</v>
      </c>
      <c r="B143" s="7" t="s">
        <v>34</v>
      </c>
      <c r="C143" s="7" t="str">
        <f>"苏日娜"</f>
        <v>苏日娜</v>
      </c>
      <c r="D143" s="7" t="s">
        <v>17</v>
      </c>
      <c r="E143" s="7" t="s">
        <v>25</v>
      </c>
      <c r="F143" s="7" t="str">
        <f>"15010323005"</f>
        <v>15010323005</v>
      </c>
      <c r="G143" s="7" t="s">
        <v>24</v>
      </c>
      <c r="H143" s="7" t="s">
        <v>20</v>
      </c>
      <c r="I143" s="7">
        <v>61.77</v>
      </c>
      <c r="J143" s="7">
        <v>2.5</v>
      </c>
      <c r="K143" s="7">
        <v>64.27</v>
      </c>
      <c r="L143" s="10">
        <f t="shared" si="12"/>
        <v>38.562</v>
      </c>
      <c r="M143" s="11">
        <v>77.74</v>
      </c>
      <c r="N143" s="12">
        <f t="shared" si="13"/>
        <v>31.096</v>
      </c>
      <c r="O143" s="13">
        <f t="shared" si="14"/>
        <v>69.658</v>
      </c>
      <c r="XEX143" s="3"/>
      <c r="XEY143" s="3"/>
      <c r="XEZ143" s="3"/>
      <c r="XFA143" s="3"/>
      <c r="XFB143" s="3"/>
      <c r="XFC143" s="3"/>
    </row>
    <row r="144" s="1" customFormat="1" ht="33" customHeight="1" spans="1:16383">
      <c r="A144" s="7">
        <v>5</v>
      </c>
      <c r="B144" s="7" t="s">
        <v>34</v>
      </c>
      <c r="C144" s="7" t="str">
        <f>"乌洞高娃"</f>
        <v>乌洞高娃</v>
      </c>
      <c r="D144" s="7" t="s">
        <v>17</v>
      </c>
      <c r="E144" s="7" t="s">
        <v>25</v>
      </c>
      <c r="F144" s="7" t="str">
        <f>"15010323220"</f>
        <v>15010323220</v>
      </c>
      <c r="G144" s="7" t="s">
        <v>23</v>
      </c>
      <c r="H144" s="7" t="s">
        <v>20</v>
      </c>
      <c r="I144" s="7">
        <v>58.84</v>
      </c>
      <c r="J144" s="7">
        <v>2.5</v>
      </c>
      <c r="K144" s="7">
        <v>61.34</v>
      </c>
      <c r="L144" s="10">
        <f t="shared" si="12"/>
        <v>36.804</v>
      </c>
      <c r="M144" s="11">
        <v>76.78</v>
      </c>
      <c r="N144" s="12">
        <f t="shared" si="13"/>
        <v>30.712</v>
      </c>
      <c r="O144" s="13">
        <f t="shared" si="14"/>
        <v>67.516</v>
      </c>
      <c r="XEX144" s="3"/>
      <c r="XEY144" s="3"/>
      <c r="XEZ144" s="3"/>
      <c r="XFA144" s="3"/>
      <c r="XFB144" s="3"/>
      <c r="XFC144" s="3"/>
    </row>
    <row r="145" s="1" customFormat="1" ht="33" customHeight="1" spans="1:16383">
      <c r="A145" s="7">
        <v>6</v>
      </c>
      <c r="B145" s="7" t="s">
        <v>34</v>
      </c>
      <c r="C145" s="7" t="str">
        <f>"阿云嘎"</f>
        <v>阿云嘎</v>
      </c>
      <c r="D145" s="7" t="s">
        <v>22</v>
      </c>
      <c r="E145" s="7" t="s">
        <v>25</v>
      </c>
      <c r="F145" s="7" t="str">
        <f>"15010323026"</f>
        <v>15010323026</v>
      </c>
      <c r="G145" s="7" t="s">
        <v>27</v>
      </c>
      <c r="H145" s="7" t="s">
        <v>20</v>
      </c>
      <c r="I145" s="7">
        <v>58.12</v>
      </c>
      <c r="J145" s="7">
        <v>2.5</v>
      </c>
      <c r="K145" s="7">
        <v>60.62</v>
      </c>
      <c r="L145" s="10">
        <f t="shared" si="12"/>
        <v>36.372</v>
      </c>
      <c r="M145" s="11">
        <v>77.64</v>
      </c>
      <c r="N145" s="12">
        <f t="shared" si="13"/>
        <v>31.056</v>
      </c>
      <c r="O145" s="13">
        <f t="shared" si="14"/>
        <v>67.428</v>
      </c>
      <c r="XEX145" s="3"/>
      <c r="XEY145" s="3"/>
      <c r="XEZ145" s="3"/>
      <c r="XFA145" s="3"/>
      <c r="XFB145" s="3"/>
      <c r="XFC145" s="3"/>
    </row>
    <row r="146" s="1" customFormat="1" ht="33" customHeight="1" spans="1:16383">
      <c r="A146" s="7">
        <v>7</v>
      </c>
      <c r="B146" s="7" t="s">
        <v>34</v>
      </c>
      <c r="C146" s="7" t="str">
        <f>"白图娅"</f>
        <v>白图娅</v>
      </c>
      <c r="D146" s="7" t="s">
        <v>17</v>
      </c>
      <c r="E146" s="7" t="s">
        <v>25</v>
      </c>
      <c r="F146" s="7" t="str">
        <f>"15010323012"</f>
        <v>15010323012</v>
      </c>
      <c r="G146" s="7" t="s">
        <v>19</v>
      </c>
      <c r="H146" s="7" t="s">
        <v>20</v>
      </c>
      <c r="I146" s="7">
        <v>58.78</v>
      </c>
      <c r="J146" s="7">
        <v>2.5</v>
      </c>
      <c r="K146" s="7">
        <v>61.28</v>
      </c>
      <c r="L146" s="10">
        <f t="shared" si="12"/>
        <v>36.768</v>
      </c>
      <c r="M146" s="11">
        <v>76.46</v>
      </c>
      <c r="N146" s="12">
        <f t="shared" si="13"/>
        <v>30.584</v>
      </c>
      <c r="O146" s="13">
        <f t="shared" si="14"/>
        <v>67.352</v>
      </c>
      <c r="XEX146" s="3"/>
      <c r="XEY146" s="3"/>
      <c r="XEZ146" s="3"/>
      <c r="XFA146" s="3"/>
      <c r="XFB146" s="3"/>
      <c r="XFC146" s="3"/>
    </row>
    <row r="147" s="1" customFormat="1" ht="33" customHeight="1" spans="1:16383">
      <c r="A147" s="7">
        <v>8</v>
      </c>
      <c r="B147" s="7" t="s">
        <v>34</v>
      </c>
      <c r="C147" s="7" t="str">
        <f>"苏和"</f>
        <v>苏和</v>
      </c>
      <c r="D147" s="7" t="s">
        <v>22</v>
      </c>
      <c r="E147" s="7" t="s">
        <v>25</v>
      </c>
      <c r="F147" s="7" t="str">
        <f>"15010323224"</f>
        <v>15010323224</v>
      </c>
      <c r="G147" s="7" t="s">
        <v>24</v>
      </c>
      <c r="H147" s="7" t="s">
        <v>20</v>
      </c>
      <c r="I147" s="7">
        <v>57.98</v>
      </c>
      <c r="J147" s="7">
        <v>2.5</v>
      </c>
      <c r="K147" s="7">
        <v>60.48</v>
      </c>
      <c r="L147" s="10">
        <f t="shared" si="12"/>
        <v>36.288</v>
      </c>
      <c r="M147" s="11">
        <v>77.24</v>
      </c>
      <c r="N147" s="12">
        <f t="shared" si="13"/>
        <v>30.896</v>
      </c>
      <c r="O147" s="13">
        <f t="shared" si="14"/>
        <v>67.184</v>
      </c>
      <c r="XEX147" s="3"/>
      <c r="XEY147" s="3"/>
      <c r="XEZ147" s="3"/>
      <c r="XFA147" s="3"/>
      <c r="XFB147" s="3"/>
      <c r="XFC147" s="3"/>
    </row>
    <row r="148" s="1" customFormat="1" ht="33" customHeight="1" spans="1:16383">
      <c r="A148" s="7">
        <v>9</v>
      </c>
      <c r="B148" s="7" t="s">
        <v>34</v>
      </c>
      <c r="C148" s="7" t="str">
        <f>"杨图雅"</f>
        <v>杨图雅</v>
      </c>
      <c r="D148" s="7" t="s">
        <v>17</v>
      </c>
      <c r="E148" s="7" t="s">
        <v>25</v>
      </c>
      <c r="F148" s="7" t="str">
        <f>"15010323229"</f>
        <v>15010323229</v>
      </c>
      <c r="G148" s="7" t="s">
        <v>24</v>
      </c>
      <c r="H148" s="7" t="s">
        <v>20</v>
      </c>
      <c r="I148" s="7">
        <v>60.83</v>
      </c>
      <c r="J148" s="7">
        <v>2.5</v>
      </c>
      <c r="K148" s="7">
        <v>63.33</v>
      </c>
      <c r="L148" s="10">
        <f t="shared" si="12"/>
        <v>37.998</v>
      </c>
      <c r="M148" s="11">
        <v>72.96</v>
      </c>
      <c r="N148" s="12">
        <f t="shared" si="13"/>
        <v>29.184</v>
      </c>
      <c r="O148" s="13">
        <f t="shared" si="14"/>
        <v>67.182</v>
      </c>
      <c r="XEX148" s="3"/>
      <c r="XEY148" s="3"/>
      <c r="XEZ148" s="3"/>
      <c r="XFA148" s="3"/>
      <c r="XFB148" s="3"/>
      <c r="XFC148" s="3"/>
    </row>
    <row r="149" s="1" customFormat="1" ht="33" customHeight="1" spans="1:16383">
      <c r="A149" s="7">
        <v>10</v>
      </c>
      <c r="B149" s="7" t="s">
        <v>34</v>
      </c>
      <c r="C149" s="7" t="str">
        <f>"塞汉娜"</f>
        <v>塞汉娜</v>
      </c>
      <c r="D149" s="7" t="s">
        <v>17</v>
      </c>
      <c r="E149" s="7" t="s">
        <v>25</v>
      </c>
      <c r="F149" s="7" t="str">
        <f>"15010323021"</f>
        <v>15010323021</v>
      </c>
      <c r="G149" s="7" t="s">
        <v>21</v>
      </c>
      <c r="H149" s="7" t="s">
        <v>20</v>
      </c>
      <c r="I149" s="7">
        <v>53.4</v>
      </c>
      <c r="J149" s="7">
        <v>2.5</v>
      </c>
      <c r="K149" s="7">
        <v>55.9</v>
      </c>
      <c r="L149" s="10">
        <f t="shared" si="12"/>
        <v>33.54</v>
      </c>
      <c r="M149" s="11">
        <v>83.78</v>
      </c>
      <c r="N149" s="12">
        <f t="shared" si="13"/>
        <v>33.512</v>
      </c>
      <c r="O149" s="13">
        <f t="shared" si="14"/>
        <v>67.052</v>
      </c>
      <c r="XEX149" s="3"/>
      <c r="XEY149" s="3"/>
      <c r="XEZ149" s="3"/>
      <c r="XFA149" s="3"/>
      <c r="XFB149" s="3"/>
      <c r="XFC149" s="3"/>
    </row>
    <row r="150" s="1" customFormat="1" ht="33" customHeight="1" spans="1:16383">
      <c r="A150" s="7">
        <v>11</v>
      </c>
      <c r="B150" s="7" t="s">
        <v>34</v>
      </c>
      <c r="C150" s="7" t="str">
        <f>"莫庆"</f>
        <v>莫庆</v>
      </c>
      <c r="D150" s="7" t="s">
        <v>17</v>
      </c>
      <c r="E150" s="7" t="s">
        <v>25</v>
      </c>
      <c r="F150" s="7" t="str">
        <f>"15010323003"</f>
        <v>15010323003</v>
      </c>
      <c r="G150" s="7" t="s">
        <v>23</v>
      </c>
      <c r="H150" s="7" t="s">
        <v>20</v>
      </c>
      <c r="I150" s="7">
        <v>59.39</v>
      </c>
      <c r="J150" s="7">
        <v>2.5</v>
      </c>
      <c r="K150" s="7">
        <v>61.89</v>
      </c>
      <c r="L150" s="10">
        <f t="shared" si="12"/>
        <v>37.134</v>
      </c>
      <c r="M150" s="11">
        <v>74.2</v>
      </c>
      <c r="N150" s="12">
        <f t="shared" si="13"/>
        <v>29.68</v>
      </c>
      <c r="O150" s="13">
        <f t="shared" si="14"/>
        <v>66.814</v>
      </c>
      <c r="XEX150" s="3"/>
      <c r="XEY150" s="3"/>
      <c r="XEZ150" s="3"/>
      <c r="XFA150" s="3"/>
      <c r="XFB150" s="3"/>
      <c r="XFC150" s="3"/>
    </row>
    <row r="151" s="1" customFormat="1" ht="33" customHeight="1" spans="1:16383">
      <c r="A151" s="7">
        <v>12</v>
      </c>
      <c r="B151" s="7" t="s">
        <v>34</v>
      </c>
      <c r="C151" s="7" t="str">
        <f>"阿妮苏"</f>
        <v>阿妮苏</v>
      </c>
      <c r="D151" s="7" t="s">
        <v>17</v>
      </c>
      <c r="E151" s="7" t="s">
        <v>25</v>
      </c>
      <c r="F151" s="7" t="str">
        <f>"15010323007"</f>
        <v>15010323007</v>
      </c>
      <c r="G151" s="7" t="s">
        <v>24</v>
      </c>
      <c r="H151" s="7" t="s">
        <v>20</v>
      </c>
      <c r="I151" s="7">
        <v>55.57</v>
      </c>
      <c r="J151" s="7">
        <v>2.5</v>
      </c>
      <c r="K151" s="7">
        <v>58.07</v>
      </c>
      <c r="L151" s="10">
        <f t="shared" si="12"/>
        <v>34.842</v>
      </c>
      <c r="M151" s="11">
        <v>78.3</v>
      </c>
      <c r="N151" s="12">
        <f t="shared" si="13"/>
        <v>31.32</v>
      </c>
      <c r="O151" s="13">
        <f t="shared" si="14"/>
        <v>66.162</v>
      </c>
      <c r="XEX151" s="3"/>
      <c r="XEY151" s="3"/>
      <c r="XEZ151" s="3"/>
      <c r="XFA151" s="3"/>
      <c r="XFB151" s="3"/>
      <c r="XFC151" s="3"/>
    </row>
    <row r="152" s="1" customFormat="1" ht="33" customHeight="1" spans="1:16383">
      <c r="A152" s="7">
        <v>13</v>
      </c>
      <c r="B152" s="7" t="s">
        <v>34</v>
      </c>
      <c r="C152" s="7" t="str">
        <f>"奇力格"</f>
        <v>奇力格</v>
      </c>
      <c r="D152" s="7" t="s">
        <v>17</v>
      </c>
      <c r="E152" s="7" t="s">
        <v>25</v>
      </c>
      <c r="F152" s="7" t="str">
        <f>"15010323106"</f>
        <v>15010323106</v>
      </c>
      <c r="G152" s="7" t="s">
        <v>27</v>
      </c>
      <c r="H152" s="7" t="s">
        <v>20</v>
      </c>
      <c r="I152" s="7">
        <v>53.42</v>
      </c>
      <c r="J152" s="7">
        <v>2.5</v>
      </c>
      <c r="K152" s="7">
        <v>55.92</v>
      </c>
      <c r="L152" s="10">
        <f t="shared" si="12"/>
        <v>33.552</v>
      </c>
      <c r="M152" s="11">
        <v>81.36</v>
      </c>
      <c r="N152" s="12">
        <f t="shared" si="13"/>
        <v>32.544</v>
      </c>
      <c r="O152" s="13">
        <f t="shared" si="14"/>
        <v>66.096</v>
      </c>
      <c r="XEX152" s="3"/>
      <c r="XEY152" s="3"/>
      <c r="XEZ152" s="3"/>
      <c r="XFA152" s="3"/>
      <c r="XFB152" s="3"/>
      <c r="XFC152" s="3"/>
    </row>
    <row r="153" s="1" customFormat="1" ht="33" customHeight="1" spans="1:16383">
      <c r="A153" s="7">
        <v>14</v>
      </c>
      <c r="B153" s="7" t="s">
        <v>34</v>
      </c>
      <c r="C153" s="7" t="str">
        <f>"道日娜"</f>
        <v>道日娜</v>
      </c>
      <c r="D153" s="7" t="s">
        <v>17</v>
      </c>
      <c r="E153" s="7" t="s">
        <v>25</v>
      </c>
      <c r="F153" s="7" t="str">
        <f>"15010323325"</f>
        <v>15010323325</v>
      </c>
      <c r="G153" s="7" t="s">
        <v>23</v>
      </c>
      <c r="H153" s="7" t="s">
        <v>20</v>
      </c>
      <c r="I153" s="7">
        <v>59.58</v>
      </c>
      <c r="J153" s="7">
        <v>2.5</v>
      </c>
      <c r="K153" s="7">
        <v>62.08</v>
      </c>
      <c r="L153" s="10">
        <f t="shared" si="12"/>
        <v>37.248</v>
      </c>
      <c r="M153" s="11">
        <v>71.52</v>
      </c>
      <c r="N153" s="12">
        <f t="shared" si="13"/>
        <v>28.608</v>
      </c>
      <c r="O153" s="13">
        <f t="shared" si="14"/>
        <v>65.856</v>
      </c>
      <c r="XEX153" s="3"/>
      <c r="XEY153" s="3"/>
      <c r="XEZ153" s="3"/>
      <c r="XFA153" s="3"/>
      <c r="XFB153" s="3"/>
      <c r="XFC153" s="3"/>
    </row>
    <row r="154" s="1" customFormat="1" ht="33" customHeight="1" spans="1:16383">
      <c r="A154" s="7">
        <v>15</v>
      </c>
      <c r="B154" s="7" t="s">
        <v>34</v>
      </c>
      <c r="C154" s="7" t="str">
        <f>"仁庆苏娃"</f>
        <v>仁庆苏娃</v>
      </c>
      <c r="D154" s="7" t="s">
        <v>17</v>
      </c>
      <c r="E154" s="7" t="s">
        <v>25</v>
      </c>
      <c r="F154" s="7" t="str">
        <f>"15010323011"</f>
        <v>15010323011</v>
      </c>
      <c r="G154" s="7" t="s">
        <v>27</v>
      </c>
      <c r="H154" s="7" t="s">
        <v>26</v>
      </c>
      <c r="I154" s="7">
        <v>53.77</v>
      </c>
      <c r="J154" s="7">
        <v>2.5</v>
      </c>
      <c r="K154" s="7">
        <v>56.27</v>
      </c>
      <c r="L154" s="10">
        <f t="shared" si="12"/>
        <v>33.762</v>
      </c>
      <c r="M154" s="11">
        <v>79.68</v>
      </c>
      <c r="N154" s="12">
        <f t="shared" si="13"/>
        <v>31.872</v>
      </c>
      <c r="O154" s="13">
        <f t="shared" si="14"/>
        <v>65.634</v>
      </c>
      <c r="XEX154" s="3"/>
      <c r="XEY154" s="3"/>
      <c r="XEZ154" s="3"/>
      <c r="XFA154" s="3"/>
      <c r="XFB154" s="3"/>
      <c r="XFC154" s="3"/>
    </row>
    <row r="155" s="1" customFormat="1" ht="33" customHeight="1" spans="1:16383">
      <c r="A155" s="7">
        <v>16</v>
      </c>
      <c r="B155" s="7" t="s">
        <v>34</v>
      </c>
      <c r="C155" s="7" t="str">
        <f>"南丁"</f>
        <v>南丁</v>
      </c>
      <c r="D155" s="7" t="s">
        <v>17</v>
      </c>
      <c r="E155" s="7" t="s">
        <v>25</v>
      </c>
      <c r="F155" s="7" t="str">
        <f>"15010323002"</f>
        <v>15010323002</v>
      </c>
      <c r="G155" s="7" t="s">
        <v>27</v>
      </c>
      <c r="H155" s="7" t="s">
        <v>20</v>
      </c>
      <c r="I155" s="7">
        <v>57.98</v>
      </c>
      <c r="J155" s="7">
        <v>2.5</v>
      </c>
      <c r="K155" s="7">
        <v>60.48</v>
      </c>
      <c r="L155" s="10">
        <f t="shared" si="12"/>
        <v>36.288</v>
      </c>
      <c r="M155" s="11">
        <v>72.08</v>
      </c>
      <c r="N155" s="12">
        <f t="shared" si="13"/>
        <v>28.832</v>
      </c>
      <c r="O155" s="13">
        <f t="shared" si="14"/>
        <v>65.12</v>
      </c>
      <c r="XEX155" s="3"/>
      <c r="XEY155" s="3"/>
      <c r="XEZ155" s="3"/>
      <c r="XFA155" s="3"/>
      <c r="XFB155" s="3"/>
      <c r="XFC155" s="3"/>
    </row>
    <row r="156" s="1" customFormat="1" ht="33" customHeight="1" spans="1:16383">
      <c r="A156" s="7">
        <v>17</v>
      </c>
      <c r="B156" s="7" t="s">
        <v>34</v>
      </c>
      <c r="C156" s="7" t="str">
        <f>"白金娜"</f>
        <v>白金娜</v>
      </c>
      <c r="D156" s="7" t="s">
        <v>17</v>
      </c>
      <c r="E156" s="7" t="s">
        <v>25</v>
      </c>
      <c r="F156" s="7" t="str">
        <f>"15010323110"</f>
        <v>15010323110</v>
      </c>
      <c r="G156" s="7" t="s">
        <v>27</v>
      </c>
      <c r="H156" s="7" t="s">
        <v>20</v>
      </c>
      <c r="I156" s="7">
        <v>54.94</v>
      </c>
      <c r="J156" s="7">
        <v>2.5</v>
      </c>
      <c r="K156" s="7">
        <v>57.44</v>
      </c>
      <c r="L156" s="10">
        <f t="shared" si="12"/>
        <v>34.464</v>
      </c>
      <c r="M156" s="11">
        <v>76.2</v>
      </c>
      <c r="N156" s="12">
        <f t="shared" si="13"/>
        <v>30.48</v>
      </c>
      <c r="O156" s="13">
        <f t="shared" si="14"/>
        <v>64.944</v>
      </c>
      <c r="XEX156" s="3"/>
      <c r="XEY156" s="3"/>
      <c r="XEZ156" s="3"/>
      <c r="XFA156" s="3"/>
      <c r="XFB156" s="3"/>
      <c r="XFC156" s="3"/>
    </row>
    <row r="157" s="1" customFormat="1" ht="33" customHeight="1" spans="1:16383">
      <c r="A157" s="7">
        <v>18</v>
      </c>
      <c r="B157" s="7" t="s">
        <v>34</v>
      </c>
      <c r="C157" s="7" t="str">
        <f>"米德格"</f>
        <v>米德格</v>
      </c>
      <c r="D157" s="7" t="s">
        <v>17</v>
      </c>
      <c r="E157" s="7" t="s">
        <v>25</v>
      </c>
      <c r="F157" s="7" t="str">
        <f>"15010323017"</f>
        <v>15010323017</v>
      </c>
      <c r="G157" s="7" t="s">
        <v>27</v>
      </c>
      <c r="H157" s="7" t="s">
        <v>20</v>
      </c>
      <c r="I157" s="7">
        <v>55.07</v>
      </c>
      <c r="J157" s="7">
        <v>2.5</v>
      </c>
      <c r="K157" s="7">
        <v>57.57</v>
      </c>
      <c r="L157" s="10">
        <f t="shared" si="12"/>
        <v>34.542</v>
      </c>
      <c r="M157" s="11">
        <v>75.82</v>
      </c>
      <c r="N157" s="12">
        <f t="shared" si="13"/>
        <v>30.328</v>
      </c>
      <c r="O157" s="13">
        <f t="shared" si="14"/>
        <v>64.87</v>
      </c>
      <c r="XEX157" s="3"/>
      <c r="XEY157" s="3"/>
      <c r="XEZ157" s="3"/>
      <c r="XFA157" s="3"/>
      <c r="XFB157" s="3"/>
      <c r="XFC157" s="3"/>
    </row>
    <row r="158" s="1" customFormat="1" ht="33" customHeight="1" spans="1:16383">
      <c r="A158" s="7">
        <v>19</v>
      </c>
      <c r="B158" s="7" t="s">
        <v>34</v>
      </c>
      <c r="C158" s="7" t="str">
        <f>"查苏娜"</f>
        <v>查苏娜</v>
      </c>
      <c r="D158" s="7" t="s">
        <v>17</v>
      </c>
      <c r="E158" s="7" t="s">
        <v>25</v>
      </c>
      <c r="F158" s="7" t="str">
        <f>"15010323215"</f>
        <v>15010323215</v>
      </c>
      <c r="G158" s="7" t="s">
        <v>23</v>
      </c>
      <c r="H158" s="7" t="s">
        <v>20</v>
      </c>
      <c r="I158" s="7">
        <v>56.82</v>
      </c>
      <c r="J158" s="7">
        <v>2.5</v>
      </c>
      <c r="K158" s="7">
        <v>59.32</v>
      </c>
      <c r="L158" s="10">
        <f t="shared" si="12"/>
        <v>35.592</v>
      </c>
      <c r="M158" s="11">
        <v>72.9</v>
      </c>
      <c r="N158" s="12">
        <f t="shared" si="13"/>
        <v>29.16</v>
      </c>
      <c r="O158" s="13">
        <f t="shared" si="14"/>
        <v>64.752</v>
      </c>
      <c r="XEX158" s="3"/>
      <c r="XEY158" s="3"/>
      <c r="XEZ158" s="3"/>
      <c r="XFA158" s="3"/>
      <c r="XFB158" s="3"/>
      <c r="XFC158" s="3"/>
    </row>
    <row r="159" s="1" customFormat="1" ht="33" customHeight="1" spans="1:16383">
      <c r="A159" s="7">
        <v>20</v>
      </c>
      <c r="B159" s="7" t="s">
        <v>34</v>
      </c>
      <c r="C159" s="7" t="str">
        <f>"冬梅"</f>
        <v>冬梅</v>
      </c>
      <c r="D159" s="7" t="s">
        <v>17</v>
      </c>
      <c r="E159" s="7" t="s">
        <v>25</v>
      </c>
      <c r="F159" s="7" t="str">
        <f>"15010323001"</f>
        <v>15010323001</v>
      </c>
      <c r="G159" s="7" t="s">
        <v>23</v>
      </c>
      <c r="H159" s="7" t="s">
        <v>20</v>
      </c>
      <c r="I159" s="7">
        <v>53.42</v>
      </c>
      <c r="J159" s="7">
        <v>2.5</v>
      </c>
      <c r="K159" s="7">
        <v>55.92</v>
      </c>
      <c r="L159" s="10">
        <f t="shared" si="12"/>
        <v>33.552</v>
      </c>
      <c r="M159" s="11">
        <v>77.8</v>
      </c>
      <c r="N159" s="12">
        <f t="shared" si="13"/>
        <v>31.12</v>
      </c>
      <c r="O159" s="13">
        <f t="shared" si="14"/>
        <v>64.672</v>
      </c>
      <c r="XEX159" s="3"/>
      <c r="XEY159" s="3"/>
      <c r="XEZ159" s="3"/>
      <c r="XFA159" s="3"/>
      <c r="XFB159" s="3"/>
      <c r="XFC159" s="3"/>
    </row>
    <row r="160" s="1" customFormat="1" ht="33" customHeight="1" spans="1:16383">
      <c r="A160" s="7">
        <v>21</v>
      </c>
      <c r="B160" s="7" t="s">
        <v>34</v>
      </c>
      <c r="C160" s="7" t="str">
        <f>"爱丽"</f>
        <v>爱丽</v>
      </c>
      <c r="D160" s="7" t="s">
        <v>17</v>
      </c>
      <c r="E160" s="7" t="s">
        <v>35</v>
      </c>
      <c r="F160" s="7" t="str">
        <f>"15010323113"</f>
        <v>15010323113</v>
      </c>
      <c r="G160" s="7" t="s">
        <v>19</v>
      </c>
      <c r="H160" s="7" t="s">
        <v>20</v>
      </c>
      <c r="I160" s="7">
        <v>55.31</v>
      </c>
      <c r="J160" s="7">
        <v>2.5</v>
      </c>
      <c r="K160" s="7">
        <v>57.81</v>
      </c>
      <c r="L160" s="10">
        <f t="shared" si="12"/>
        <v>34.686</v>
      </c>
      <c r="M160" s="11">
        <v>73.1</v>
      </c>
      <c r="N160" s="12">
        <f t="shared" si="13"/>
        <v>29.24</v>
      </c>
      <c r="O160" s="13">
        <f t="shared" si="14"/>
        <v>63.926</v>
      </c>
      <c r="XEX160" s="3"/>
      <c r="XEY160" s="3"/>
      <c r="XEZ160" s="3"/>
      <c r="XFA160" s="3"/>
      <c r="XFB160" s="3"/>
      <c r="XFC160" s="3"/>
    </row>
    <row r="161" s="1" customFormat="1" ht="33" customHeight="1" spans="1:16383">
      <c r="A161" s="7">
        <v>22</v>
      </c>
      <c r="B161" s="7" t="s">
        <v>34</v>
      </c>
      <c r="C161" s="7" t="str">
        <f>"扎登"</f>
        <v>扎登</v>
      </c>
      <c r="D161" s="7" t="s">
        <v>17</v>
      </c>
      <c r="E161" s="7" t="s">
        <v>25</v>
      </c>
      <c r="F161" s="7" t="str">
        <f>"15010323304"</f>
        <v>15010323304</v>
      </c>
      <c r="G161" s="7" t="s">
        <v>27</v>
      </c>
      <c r="H161" s="7" t="s">
        <v>20</v>
      </c>
      <c r="I161" s="7">
        <v>54.39</v>
      </c>
      <c r="J161" s="7">
        <v>2.5</v>
      </c>
      <c r="K161" s="7">
        <v>56.89</v>
      </c>
      <c r="L161" s="10">
        <f t="shared" si="12"/>
        <v>34.134</v>
      </c>
      <c r="M161" s="11">
        <v>73.54</v>
      </c>
      <c r="N161" s="12">
        <f t="shared" si="13"/>
        <v>29.416</v>
      </c>
      <c r="O161" s="13">
        <f t="shared" si="14"/>
        <v>63.55</v>
      </c>
      <c r="XEX161" s="3"/>
      <c r="XEY161" s="3"/>
      <c r="XEZ161" s="3"/>
      <c r="XFA161" s="3"/>
      <c r="XFB161" s="3"/>
      <c r="XFC161" s="3"/>
    </row>
    <row r="162" s="1" customFormat="1" ht="33" customHeight="1" spans="1:16383">
      <c r="A162" s="7">
        <v>23</v>
      </c>
      <c r="B162" s="7" t="s">
        <v>34</v>
      </c>
      <c r="C162" s="7" t="str">
        <f>"娜仁托娅"</f>
        <v>娜仁托娅</v>
      </c>
      <c r="D162" s="7" t="s">
        <v>17</v>
      </c>
      <c r="E162" s="7" t="s">
        <v>25</v>
      </c>
      <c r="F162" s="7" t="str">
        <f>"15010323202"</f>
        <v>15010323202</v>
      </c>
      <c r="G162" s="7" t="s">
        <v>27</v>
      </c>
      <c r="H162" s="7" t="s">
        <v>20</v>
      </c>
      <c r="I162" s="7">
        <v>54.35</v>
      </c>
      <c r="J162" s="7">
        <v>2.5</v>
      </c>
      <c r="K162" s="7">
        <v>56.85</v>
      </c>
      <c r="L162" s="10">
        <f t="shared" si="12"/>
        <v>34.11</v>
      </c>
      <c r="M162" s="11">
        <v>73.44</v>
      </c>
      <c r="N162" s="12">
        <f t="shared" si="13"/>
        <v>29.376</v>
      </c>
      <c r="O162" s="13">
        <f t="shared" si="14"/>
        <v>63.486</v>
      </c>
      <c r="XEX162" s="3"/>
      <c r="XEY162" s="3"/>
      <c r="XEZ162" s="3"/>
      <c r="XFA162" s="3"/>
      <c r="XFB162" s="3"/>
      <c r="XFC162" s="3"/>
    </row>
    <row r="163" s="1" customFormat="1" ht="33" customHeight="1" spans="1:16383">
      <c r="A163" s="7">
        <v>24</v>
      </c>
      <c r="B163" s="7" t="s">
        <v>34</v>
      </c>
      <c r="C163" s="7" t="str">
        <f>"苏日娜"</f>
        <v>苏日娜</v>
      </c>
      <c r="D163" s="7" t="s">
        <v>17</v>
      </c>
      <c r="E163" s="7" t="s">
        <v>25</v>
      </c>
      <c r="F163" s="7" t="str">
        <f>"15010323024"</f>
        <v>15010323024</v>
      </c>
      <c r="G163" s="7" t="s">
        <v>23</v>
      </c>
      <c r="H163" s="7" t="s">
        <v>20</v>
      </c>
      <c r="I163" s="7">
        <v>52.17</v>
      </c>
      <c r="J163" s="7">
        <v>2.5</v>
      </c>
      <c r="K163" s="7">
        <v>54.67</v>
      </c>
      <c r="L163" s="10">
        <f t="shared" si="12"/>
        <v>32.802</v>
      </c>
      <c r="M163" s="11">
        <v>76.46</v>
      </c>
      <c r="N163" s="12">
        <f t="shared" si="13"/>
        <v>30.584</v>
      </c>
      <c r="O163" s="13">
        <f t="shared" si="14"/>
        <v>63.386</v>
      </c>
      <c r="XEX163" s="3"/>
      <c r="XEY163" s="3"/>
      <c r="XEZ163" s="3"/>
      <c r="XFA163" s="3"/>
      <c r="XFB163" s="3"/>
      <c r="XFC163" s="3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拟录用嘎查村、社区服务工作人员名单（161名）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</cp:lastModifiedBy>
  <cp:revision>0</cp:revision>
  <dcterms:created xsi:type="dcterms:W3CDTF">2021-02-22T15:42:00Z</dcterms:created>
  <cp:lastPrinted>2021-03-01T08:24:00Z</cp:lastPrinted>
  <dcterms:modified xsi:type="dcterms:W3CDTF">2021-04-12T07:43:24Z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225BACDFA3644DE78BE1F74D47879E2E</vt:lpwstr>
  </property>
</Properties>
</file>