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（合格）龙华区校招" sheetId="1" r:id="rId1"/>
  </sheets>
  <definedNames>
    <definedName name="_xlnm._FilterDatabase" localSheetId="0" hidden="1">'（合格）龙华区校招'!$A$2:$G$301</definedName>
  </definedNames>
  <calcPr fullCalcOnLoad="1"/>
</workbook>
</file>

<file path=xl/sharedStrings.xml><?xml version="1.0" encoding="utf-8"?>
<sst xmlns="http://schemas.openxmlformats.org/spreadsheetml/2006/main" count="307" uniqueCount="12">
  <si>
    <t>龙华区2021年招聘师范类优秀毕业生任小学教师考试资格审查合格人员名单</t>
  </si>
  <si>
    <t>序号</t>
  </si>
  <si>
    <t>报考号</t>
  </si>
  <si>
    <t>报考岗位</t>
  </si>
  <si>
    <t>姓名</t>
  </si>
  <si>
    <t>性别</t>
  </si>
  <si>
    <t>户口所在地</t>
  </si>
  <si>
    <t>申报学校</t>
  </si>
  <si>
    <t xml:space="preserve">0101_小学语文岗位1 </t>
  </si>
  <si>
    <t>0102_小学语文岗位2</t>
  </si>
  <si>
    <t xml:space="preserve">0103_小学英语岗位1 </t>
  </si>
  <si>
    <t>0104_小学英语岗位2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</si>
</sst>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22"/>
      <color indexed="8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6"/>
      <color rgb="FF000000"/>
      <name val="宋体"/>
      <family val="0"/>
    </font>
    <font>
      <sz val="2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workbookViewId="0" topLeftCell="A1">
      <selection activeCell="L4" sqref="L4"/>
    </sheetView>
  </sheetViews>
  <sheetFormatPr defaultColWidth="9.00390625" defaultRowHeight="15"/>
  <cols>
    <col min="1" max="1" width="9.00390625" style="4" customWidth="1"/>
    <col min="2" max="2" width="26.00390625" style="4" customWidth="1"/>
    <col min="3" max="3" width="20.7109375" style="4" customWidth="1"/>
    <col min="4" max="4" width="8.8515625" style="4" customWidth="1"/>
    <col min="5" max="5" width="9.00390625" style="4" customWidth="1"/>
    <col min="6" max="6" width="22.8515625" style="4" customWidth="1"/>
    <col min="7" max="7" width="20.140625" style="4" customWidth="1"/>
    <col min="8" max="16384" width="9.00390625" style="4" customWidth="1"/>
  </cols>
  <sheetData>
    <row r="1" spans="1:7" ht="20.25">
      <c r="A1" s="5" t="s">
        <v>0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30" customHeight="1">
      <c r="A3" s="8">
        <v>1</v>
      </c>
      <c r="B3" s="8" t="str">
        <f>"28922021032708472713196"</f>
        <v>28922021032708472713196</v>
      </c>
      <c r="C3" s="8" t="s">
        <v>8</v>
      </c>
      <c r="D3" s="8" t="str">
        <f>"胡佳佳"</f>
        <v>胡佳佳</v>
      </c>
      <c r="E3" s="8" t="str">
        <f aca="true" t="shared" si="0" ref="E3:E14">"女"</f>
        <v>女</v>
      </c>
      <c r="F3" s="8" t="str">
        <f>"陕西省汉中市"</f>
        <v>陕西省汉中市</v>
      </c>
      <c r="G3" s="8" t="str">
        <f>"海口市玉沙实验学校"</f>
        <v>海口市玉沙实验学校</v>
      </c>
    </row>
    <row r="4" spans="1:7" ht="30" customHeight="1">
      <c r="A4" s="8">
        <v>2</v>
      </c>
      <c r="B4" s="8" t="str">
        <f>"28922021032709020413232"</f>
        <v>28922021032709020413232</v>
      </c>
      <c r="C4" s="8" t="s">
        <v>8</v>
      </c>
      <c r="D4" s="8" t="str">
        <f>"林芳霞"</f>
        <v>林芳霞</v>
      </c>
      <c r="E4" s="8" t="str">
        <f t="shared" si="0"/>
        <v>女</v>
      </c>
      <c r="F4" s="8" t="str">
        <f>"海南乐东"</f>
        <v>海南乐东</v>
      </c>
      <c r="G4" s="8" t="str">
        <f>"海口市金盘实验学校"</f>
        <v>海口市金盘实验学校</v>
      </c>
    </row>
    <row r="5" spans="1:7" ht="30" customHeight="1">
      <c r="A5" s="8">
        <v>3</v>
      </c>
      <c r="B5" s="8" t="str">
        <f>"28922021032709091713246"</f>
        <v>28922021032709091713246</v>
      </c>
      <c r="C5" s="8" t="s">
        <v>8</v>
      </c>
      <c r="D5" s="8" t="str">
        <f>"谢运春"</f>
        <v>谢运春</v>
      </c>
      <c r="E5" s="8" t="str">
        <f t="shared" si="0"/>
        <v>女</v>
      </c>
      <c r="F5" s="8" t="str">
        <f>"海南省儋州市"</f>
        <v>海南省儋州市</v>
      </c>
      <c r="G5" s="8" t="str">
        <f>"海口市金盘实验学校"</f>
        <v>海口市金盘实验学校</v>
      </c>
    </row>
    <row r="6" spans="1:7" ht="30" customHeight="1">
      <c r="A6" s="8">
        <v>4</v>
      </c>
      <c r="B6" s="8" t="str">
        <f>"28922021032709405413340"</f>
        <v>28922021032709405413340</v>
      </c>
      <c r="C6" s="8" t="s">
        <v>8</v>
      </c>
      <c r="D6" s="8" t="str">
        <f>"高茜微"</f>
        <v>高茜微</v>
      </c>
      <c r="E6" s="8" t="str">
        <f t="shared" si="0"/>
        <v>女</v>
      </c>
      <c r="F6" s="8" t="str">
        <f>"甘肃省兰州市"</f>
        <v>甘肃省兰州市</v>
      </c>
      <c r="G6" s="8" t="str">
        <f>"海口市玉沙实验学校"</f>
        <v>海口市玉沙实验学校</v>
      </c>
    </row>
    <row r="7" spans="1:7" ht="30" customHeight="1">
      <c r="A7" s="8">
        <v>5</v>
      </c>
      <c r="B7" s="8" t="str">
        <f>"28922021032709414113343"</f>
        <v>28922021032709414113343</v>
      </c>
      <c r="C7" s="8" t="s">
        <v>8</v>
      </c>
      <c r="D7" s="8" t="str">
        <f>"唐娜"</f>
        <v>唐娜</v>
      </c>
      <c r="E7" s="8" t="str">
        <f t="shared" si="0"/>
        <v>女</v>
      </c>
      <c r="F7" s="8" t="str">
        <f>"海南省儋州市"</f>
        <v>海南省儋州市</v>
      </c>
      <c r="G7" s="8" t="str">
        <f>"海口市金盘实验学校"</f>
        <v>海口市金盘实验学校</v>
      </c>
    </row>
    <row r="8" spans="1:7" ht="30" customHeight="1">
      <c r="A8" s="8">
        <v>6</v>
      </c>
      <c r="B8" s="8" t="str">
        <f>"28922021032710232813469"</f>
        <v>28922021032710232813469</v>
      </c>
      <c r="C8" s="8" t="s">
        <v>8</v>
      </c>
      <c r="D8" s="8" t="str">
        <f>"吴瑜"</f>
        <v>吴瑜</v>
      </c>
      <c r="E8" s="8" t="str">
        <f t="shared" si="0"/>
        <v>女</v>
      </c>
      <c r="F8" s="8" t="str">
        <f>"海南省儋州市"</f>
        <v>海南省儋州市</v>
      </c>
      <c r="G8" s="8" t="str">
        <f>"海口市海瑞学校"</f>
        <v>海口市海瑞学校</v>
      </c>
    </row>
    <row r="9" spans="1:7" ht="30" customHeight="1">
      <c r="A9" s="8">
        <v>7</v>
      </c>
      <c r="B9" s="8" t="str">
        <f>"28922021032710254913473"</f>
        <v>28922021032710254913473</v>
      </c>
      <c r="C9" s="8" t="s">
        <v>8</v>
      </c>
      <c r="D9" s="8" t="str">
        <f>"陈献霞"</f>
        <v>陈献霞</v>
      </c>
      <c r="E9" s="8" t="str">
        <f t="shared" si="0"/>
        <v>女</v>
      </c>
      <c r="F9" s="8" t="str">
        <f>"海南省儋州市"</f>
        <v>海南省儋州市</v>
      </c>
      <c r="G9" s="8" t="str">
        <f>"海口市海燕小学"</f>
        <v>海口市海燕小学</v>
      </c>
    </row>
    <row r="10" spans="1:7" ht="30" customHeight="1">
      <c r="A10" s="8">
        <v>8</v>
      </c>
      <c r="B10" s="8" t="str">
        <f>"28922021032710351313503"</f>
        <v>28922021032710351313503</v>
      </c>
      <c r="C10" s="8" t="s">
        <v>8</v>
      </c>
      <c r="D10" s="8" t="str">
        <f>"符小丽"</f>
        <v>符小丽</v>
      </c>
      <c r="E10" s="8" t="str">
        <f t="shared" si="0"/>
        <v>女</v>
      </c>
      <c r="F10" s="8" t="str">
        <f>"海南省东方市"</f>
        <v>海南省东方市</v>
      </c>
      <c r="G10" s="8" t="str">
        <f>"海南省农垦直属第三小学"</f>
        <v>海南省农垦直属第三小学</v>
      </c>
    </row>
    <row r="11" spans="1:7" ht="30" customHeight="1">
      <c r="A11" s="8">
        <v>9</v>
      </c>
      <c r="B11" s="8" t="str">
        <f>"28922021032710580113565"</f>
        <v>28922021032710580113565</v>
      </c>
      <c r="C11" s="8" t="s">
        <v>8</v>
      </c>
      <c r="D11" s="8" t="str">
        <f>"闫军貤"</f>
        <v>闫军貤</v>
      </c>
      <c r="E11" s="8" t="str">
        <f t="shared" si="0"/>
        <v>女</v>
      </c>
      <c r="F11" s="8" t="str">
        <f>"吉林省长春市"</f>
        <v>吉林省长春市</v>
      </c>
      <c r="G11" s="8" t="str">
        <f>"海口市玉沙实验学校"</f>
        <v>海口市玉沙实验学校</v>
      </c>
    </row>
    <row r="12" spans="1:7" ht="30" customHeight="1">
      <c r="A12" s="8">
        <v>10</v>
      </c>
      <c r="B12" s="8" t="str">
        <f>"28922021032711111813596"</f>
        <v>28922021032711111813596</v>
      </c>
      <c r="C12" s="8" t="s">
        <v>8</v>
      </c>
      <c r="D12" s="8" t="str">
        <f>"王港"</f>
        <v>王港</v>
      </c>
      <c r="E12" s="8" t="str">
        <f t="shared" si="0"/>
        <v>女</v>
      </c>
      <c r="F12" s="8" t="str">
        <f>"海南省屯昌县"</f>
        <v>海南省屯昌县</v>
      </c>
      <c r="G12" s="8" t="str">
        <f>"海口市龙华小学城南校区"</f>
        <v>海口市龙华小学城南校区</v>
      </c>
    </row>
    <row r="13" spans="1:7" ht="30" customHeight="1">
      <c r="A13" s="8">
        <v>11</v>
      </c>
      <c r="B13" s="8" t="str">
        <f>"28922021032711290013641"</f>
        <v>28922021032711290013641</v>
      </c>
      <c r="C13" s="8" t="s">
        <v>8</v>
      </c>
      <c r="D13" s="8" t="str">
        <f>"王芷仙"</f>
        <v>王芷仙</v>
      </c>
      <c r="E13" s="8" t="str">
        <f t="shared" si="0"/>
        <v>女</v>
      </c>
      <c r="F13" s="8" t="str">
        <f>"海南省海口市"</f>
        <v>海南省海口市</v>
      </c>
      <c r="G13" s="8" t="str">
        <f>"海口市海瑞学校"</f>
        <v>海口市海瑞学校</v>
      </c>
    </row>
    <row r="14" spans="1:7" s="2" customFormat="1" ht="30" customHeight="1">
      <c r="A14" s="9">
        <v>12</v>
      </c>
      <c r="B14" s="9" t="str">
        <f>"28922021032711303513647"</f>
        <v>28922021032711303513647</v>
      </c>
      <c r="C14" s="9" t="s">
        <v>8</v>
      </c>
      <c r="D14" s="9" t="str">
        <f>"李钊"</f>
        <v>李钊</v>
      </c>
      <c r="E14" s="9" t="str">
        <f t="shared" si="0"/>
        <v>女</v>
      </c>
      <c r="F14" s="9" t="str">
        <f>"海南省三亚市"</f>
        <v>海南省三亚市</v>
      </c>
      <c r="G14" s="9" t="str">
        <f>"海口市玉沙实验学校"</f>
        <v>海口市玉沙实验学校</v>
      </c>
    </row>
    <row r="15" spans="1:7" ht="30" customHeight="1">
      <c r="A15" s="8">
        <v>13</v>
      </c>
      <c r="B15" s="8" t="str">
        <f>"28922021032711352513658"</f>
        <v>28922021032711352513658</v>
      </c>
      <c r="C15" s="8" t="s">
        <v>8</v>
      </c>
      <c r="D15" s="8" t="str">
        <f>"李泽栋"</f>
        <v>李泽栋</v>
      </c>
      <c r="E15" s="8" t="str">
        <f>"男"</f>
        <v>男</v>
      </c>
      <c r="F15" s="8" t="str">
        <f>"海南省三亚市"</f>
        <v>海南省三亚市</v>
      </c>
      <c r="G15" s="8" t="str">
        <f>"海口市玉沙实验学校"</f>
        <v>海口市玉沙实验学校</v>
      </c>
    </row>
    <row r="16" spans="1:7" ht="30" customHeight="1">
      <c r="A16" s="8">
        <v>14</v>
      </c>
      <c r="B16" s="8" t="str">
        <f>"28922021032712065813728"</f>
        <v>28922021032712065813728</v>
      </c>
      <c r="C16" s="8" t="s">
        <v>8</v>
      </c>
      <c r="D16" s="8" t="str">
        <f>"邢可欣"</f>
        <v>邢可欣</v>
      </c>
      <c r="E16" s="8" t="str">
        <f aca="true" t="shared" si="1" ref="E16:E21">"女"</f>
        <v>女</v>
      </c>
      <c r="F16" s="8" t="str">
        <f>"海南省海口市"</f>
        <v>海南省海口市</v>
      </c>
      <c r="G16" s="8" t="str">
        <f>"海口市玉沙实验学校"</f>
        <v>海口市玉沙实验学校</v>
      </c>
    </row>
    <row r="17" spans="1:7" ht="30" customHeight="1">
      <c r="A17" s="8">
        <v>15</v>
      </c>
      <c r="B17" s="8" t="str">
        <f>"28922021032712115213742"</f>
        <v>28922021032712115213742</v>
      </c>
      <c r="C17" s="8" t="s">
        <v>8</v>
      </c>
      <c r="D17" s="8" t="str">
        <f>"姚睿"</f>
        <v>姚睿</v>
      </c>
      <c r="E17" s="8" t="str">
        <f t="shared" si="1"/>
        <v>女</v>
      </c>
      <c r="F17" s="8" t="str">
        <f>"黑龙江省齐齐哈尔市克东县"</f>
        <v>黑龙江省齐齐哈尔市克东县</v>
      </c>
      <c r="G17" s="8" t="str">
        <f>"海口市第二十六小学"</f>
        <v>海口市第二十六小学</v>
      </c>
    </row>
    <row r="18" spans="1:7" ht="30" customHeight="1">
      <c r="A18" s="8">
        <v>16</v>
      </c>
      <c r="B18" s="8" t="str">
        <f>"28922021032714545514024"</f>
        <v>28922021032714545514024</v>
      </c>
      <c r="C18" s="8" t="s">
        <v>8</v>
      </c>
      <c r="D18" s="8" t="str">
        <f>"吴丽娜"</f>
        <v>吴丽娜</v>
      </c>
      <c r="E18" s="8" t="str">
        <f t="shared" si="1"/>
        <v>女</v>
      </c>
      <c r="F18" s="8" t="str">
        <f>"海南省海口市"</f>
        <v>海南省海口市</v>
      </c>
      <c r="G18" s="8" t="str">
        <f>"海口市玉沙实验学校"</f>
        <v>海口市玉沙实验学校</v>
      </c>
    </row>
    <row r="19" spans="1:7" ht="30" customHeight="1">
      <c r="A19" s="8">
        <v>17</v>
      </c>
      <c r="B19" s="8" t="str">
        <f>"28922021032715130314048"</f>
        <v>28922021032715130314048</v>
      </c>
      <c r="C19" s="8" t="s">
        <v>8</v>
      </c>
      <c r="D19" s="8" t="str">
        <f>"邱燕敏"</f>
        <v>邱燕敏</v>
      </c>
      <c r="E19" s="8" t="str">
        <f t="shared" si="1"/>
        <v>女</v>
      </c>
      <c r="F19" s="8" t="str">
        <f>"海南省海口市"</f>
        <v>海南省海口市</v>
      </c>
      <c r="G19" s="8" t="str">
        <f>"海口市海瑞学校"</f>
        <v>海口市海瑞学校</v>
      </c>
    </row>
    <row r="20" spans="1:7" ht="30" customHeight="1">
      <c r="A20" s="8">
        <v>18</v>
      </c>
      <c r="B20" s="8" t="str">
        <f>"28922021032715323414078"</f>
        <v>28922021032715323414078</v>
      </c>
      <c r="C20" s="8" t="s">
        <v>8</v>
      </c>
      <c r="D20" s="8" t="str">
        <f>"林祖英"</f>
        <v>林祖英</v>
      </c>
      <c r="E20" s="8" t="str">
        <f t="shared" si="1"/>
        <v>女</v>
      </c>
      <c r="F20" s="8" t="str">
        <f>"海南省儋州市"</f>
        <v>海南省儋州市</v>
      </c>
      <c r="G20" s="8" t="str">
        <f>"海口市玉沙实验学校"</f>
        <v>海口市玉沙实验学校</v>
      </c>
    </row>
    <row r="21" spans="1:7" ht="30" customHeight="1">
      <c r="A21" s="8">
        <v>19</v>
      </c>
      <c r="B21" s="8" t="str">
        <f>"28922021032715485314112"</f>
        <v>28922021032715485314112</v>
      </c>
      <c r="C21" s="8" t="s">
        <v>8</v>
      </c>
      <c r="D21" s="8" t="str">
        <f>"陈雨铭"</f>
        <v>陈雨铭</v>
      </c>
      <c r="E21" s="8" t="str">
        <f t="shared" si="1"/>
        <v>女</v>
      </c>
      <c r="F21" s="8" t="str">
        <f>"广东省台山市"</f>
        <v>广东省台山市</v>
      </c>
      <c r="G21" s="8" t="str">
        <f>"海口市海瑞学校"</f>
        <v>海口市海瑞学校</v>
      </c>
    </row>
    <row r="22" spans="1:7" ht="30" customHeight="1">
      <c r="A22" s="8">
        <v>20</v>
      </c>
      <c r="B22" s="8" t="str">
        <f>"28922021032715504714113"</f>
        <v>28922021032715504714113</v>
      </c>
      <c r="C22" s="8" t="s">
        <v>8</v>
      </c>
      <c r="D22" s="8" t="str">
        <f>"杨禄丰"</f>
        <v>杨禄丰</v>
      </c>
      <c r="E22" s="8" t="str">
        <f>"男"</f>
        <v>男</v>
      </c>
      <c r="F22" s="8" t="str">
        <f>"四川省德阳市什邡市"</f>
        <v>四川省德阳市什邡市</v>
      </c>
      <c r="G22" s="8" t="str">
        <f>"海口市金盘实验学校"</f>
        <v>海口市金盘实验学校</v>
      </c>
    </row>
    <row r="23" spans="1:7" ht="30" customHeight="1">
      <c r="A23" s="8">
        <v>21</v>
      </c>
      <c r="B23" s="8" t="str">
        <f>"28922021032716493514211"</f>
        <v>28922021032716493514211</v>
      </c>
      <c r="C23" s="8" t="s">
        <v>8</v>
      </c>
      <c r="D23" s="8" t="str">
        <f>"符祝瑜"</f>
        <v>符祝瑜</v>
      </c>
      <c r="E23" s="8" t="str">
        <f aca="true" t="shared" si="2" ref="E23:E33">"女"</f>
        <v>女</v>
      </c>
      <c r="F23" s="8" t="str">
        <f>"海南省文昌市"</f>
        <v>海南省文昌市</v>
      </c>
      <c r="G23" s="8" t="str">
        <f>"海口市金盘实验学校"</f>
        <v>海口市金盘实验学校</v>
      </c>
    </row>
    <row r="24" spans="1:7" ht="30" customHeight="1">
      <c r="A24" s="8">
        <v>22</v>
      </c>
      <c r="B24" s="8" t="str">
        <f>"28922021032717261914291"</f>
        <v>28922021032717261914291</v>
      </c>
      <c r="C24" s="8" t="s">
        <v>8</v>
      </c>
      <c r="D24" s="8" t="str">
        <f>"韦琳影"</f>
        <v>韦琳影</v>
      </c>
      <c r="E24" s="8" t="str">
        <f t="shared" si="2"/>
        <v>女</v>
      </c>
      <c r="F24" s="8" t="str">
        <f>"海南省三亚市"</f>
        <v>海南省三亚市</v>
      </c>
      <c r="G24" s="8" t="str">
        <f>"海口市金盘实验学校"</f>
        <v>海口市金盘实验学校</v>
      </c>
    </row>
    <row r="25" spans="1:7" ht="30" customHeight="1">
      <c r="A25" s="8">
        <v>23</v>
      </c>
      <c r="B25" s="8" t="str">
        <f>"28922021032717325914310"</f>
        <v>28922021032717325914310</v>
      </c>
      <c r="C25" s="8" t="s">
        <v>8</v>
      </c>
      <c r="D25" s="8" t="str">
        <f>"王小丹"</f>
        <v>王小丹</v>
      </c>
      <c r="E25" s="8" t="str">
        <f t="shared" si="2"/>
        <v>女</v>
      </c>
      <c r="F25" s="8" t="str">
        <f>"海南省白沙黎族自治县"</f>
        <v>海南省白沙黎族自治县</v>
      </c>
      <c r="G25" s="8" t="str">
        <f>"海南省农垦直属第三小学"</f>
        <v>海南省农垦直属第三小学</v>
      </c>
    </row>
    <row r="26" spans="1:7" ht="30" customHeight="1">
      <c r="A26" s="8">
        <v>24</v>
      </c>
      <c r="B26" s="8" t="str">
        <f>"28922021032717581414358"</f>
        <v>28922021032717581414358</v>
      </c>
      <c r="C26" s="8" t="s">
        <v>8</v>
      </c>
      <c r="D26" s="8" t="str">
        <f>"苏滢源"</f>
        <v>苏滢源</v>
      </c>
      <c r="E26" s="8" t="str">
        <f t="shared" si="2"/>
        <v>女</v>
      </c>
      <c r="F26" s="8" t="str">
        <f>"海南省海口市"</f>
        <v>海南省海口市</v>
      </c>
      <c r="G26" s="8" t="str">
        <f>"海南省农垦直属第三小学"</f>
        <v>海南省农垦直属第三小学</v>
      </c>
    </row>
    <row r="27" spans="1:7" ht="30" customHeight="1">
      <c r="A27" s="8">
        <v>25</v>
      </c>
      <c r="B27" s="8" t="str">
        <f>"28922021032719325414551"</f>
        <v>28922021032719325414551</v>
      </c>
      <c r="C27" s="8" t="s">
        <v>8</v>
      </c>
      <c r="D27" s="8" t="str">
        <f>"卢翠"</f>
        <v>卢翠</v>
      </c>
      <c r="E27" s="8" t="str">
        <f t="shared" si="2"/>
        <v>女</v>
      </c>
      <c r="F27" s="8" t="str">
        <f>"海南省琼海市"</f>
        <v>海南省琼海市</v>
      </c>
      <c r="G27" s="8" t="str">
        <f>"海口市苍西小学"</f>
        <v>海口市苍西小学</v>
      </c>
    </row>
    <row r="28" spans="1:7" ht="30" customHeight="1">
      <c r="A28" s="8">
        <v>26</v>
      </c>
      <c r="B28" s="8" t="str">
        <f>"28922021032719525714596"</f>
        <v>28922021032719525714596</v>
      </c>
      <c r="C28" s="8" t="s">
        <v>8</v>
      </c>
      <c r="D28" s="8" t="str">
        <f>"许文晶"</f>
        <v>许文晶</v>
      </c>
      <c r="E28" s="8" t="str">
        <f t="shared" si="2"/>
        <v>女</v>
      </c>
      <c r="F28" s="8" t="str">
        <f>"海南省琼海市"</f>
        <v>海南省琼海市</v>
      </c>
      <c r="G28" s="8" t="str">
        <f>"海口市海瑞学校"</f>
        <v>海口市海瑞学校</v>
      </c>
    </row>
    <row r="29" spans="1:7" ht="30" customHeight="1">
      <c r="A29" s="8">
        <v>27</v>
      </c>
      <c r="B29" s="8" t="str">
        <f>"28922021032720315714678"</f>
        <v>28922021032720315714678</v>
      </c>
      <c r="C29" s="8" t="s">
        <v>8</v>
      </c>
      <c r="D29" s="8" t="str">
        <f>"杨欣燏"</f>
        <v>杨欣燏</v>
      </c>
      <c r="E29" s="8" t="str">
        <f t="shared" si="2"/>
        <v>女</v>
      </c>
      <c r="F29" s="8" t="str">
        <f>"海南省海口市"</f>
        <v>海南省海口市</v>
      </c>
      <c r="G29" s="8" t="str">
        <f>"海口市玉沙实验学校"</f>
        <v>海口市玉沙实验学校</v>
      </c>
    </row>
    <row r="30" spans="1:7" ht="30" customHeight="1">
      <c r="A30" s="8">
        <v>28</v>
      </c>
      <c r="B30" s="8" t="str">
        <f>"28922021032720410514700"</f>
        <v>28922021032720410514700</v>
      </c>
      <c r="C30" s="8" t="s">
        <v>8</v>
      </c>
      <c r="D30" s="8" t="str">
        <f>"郑婷婷"</f>
        <v>郑婷婷</v>
      </c>
      <c r="E30" s="8" t="str">
        <f t="shared" si="2"/>
        <v>女</v>
      </c>
      <c r="F30" s="8" t="str">
        <f>"贵州省遵义市"</f>
        <v>贵州省遵义市</v>
      </c>
      <c r="G30" s="8" t="str">
        <f>"海口市海瑞学校"</f>
        <v>海口市海瑞学校</v>
      </c>
    </row>
    <row r="31" spans="1:7" ht="30" customHeight="1">
      <c r="A31" s="8">
        <v>29</v>
      </c>
      <c r="B31" s="8" t="str">
        <f>"28922021032721061414783"</f>
        <v>28922021032721061414783</v>
      </c>
      <c r="C31" s="8" t="s">
        <v>8</v>
      </c>
      <c r="D31" s="8" t="str">
        <f>"唐淑花"</f>
        <v>唐淑花</v>
      </c>
      <c r="E31" s="8" t="str">
        <f t="shared" si="2"/>
        <v>女</v>
      </c>
      <c r="F31" s="8" t="str">
        <f>"海南省儋州市"</f>
        <v>海南省儋州市</v>
      </c>
      <c r="G31" s="8" t="str">
        <f>"海口市玉沙实验学校"</f>
        <v>海口市玉沙实验学校</v>
      </c>
    </row>
    <row r="32" spans="1:7" ht="30" customHeight="1">
      <c r="A32" s="8">
        <v>30</v>
      </c>
      <c r="B32" s="8" t="str">
        <f>"28922021032722324815002"</f>
        <v>28922021032722324815002</v>
      </c>
      <c r="C32" s="8" t="s">
        <v>8</v>
      </c>
      <c r="D32" s="8" t="str">
        <f>"韦思言"</f>
        <v>韦思言</v>
      </c>
      <c r="E32" s="8" t="str">
        <f t="shared" si="2"/>
        <v>女</v>
      </c>
      <c r="F32" s="8" t="str">
        <f>"海南省海口市"</f>
        <v>海南省海口市</v>
      </c>
      <c r="G32" s="8" t="str">
        <f>"海口市海燕小学"</f>
        <v>海口市海燕小学</v>
      </c>
    </row>
    <row r="33" spans="1:7" ht="30" customHeight="1">
      <c r="A33" s="8">
        <v>31</v>
      </c>
      <c r="B33" s="8" t="str">
        <f>"28922021032723234615154"</f>
        <v>28922021032723234615154</v>
      </c>
      <c r="C33" s="8" t="s">
        <v>8</v>
      </c>
      <c r="D33" s="8" t="str">
        <f>"卢灿"</f>
        <v>卢灿</v>
      </c>
      <c r="E33" s="8" t="str">
        <f t="shared" si="2"/>
        <v>女</v>
      </c>
      <c r="F33" s="8" t="str">
        <f>"湖北省宜昌市长阳县"</f>
        <v>湖北省宜昌市长阳县</v>
      </c>
      <c r="G33" s="8" t="str">
        <f>"海口市玉沙实验学校"</f>
        <v>海口市玉沙实验学校</v>
      </c>
    </row>
    <row r="34" spans="1:7" ht="30" customHeight="1">
      <c r="A34" s="8">
        <v>32</v>
      </c>
      <c r="B34" s="8" t="str">
        <f>"28922021032808090115366"</f>
        <v>28922021032808090115366</v>
      </c>
      <c r="C34" s="8" t="s">
        <v>8</v>
      </c>
      <c r="D34" s="8" t="str">
        <f>"邹兴涛"</f>
        <v>邹兴涛</v>
      </c>
      <c r="E34" s="8" t="str">
        <f>"男"</f>
        <v>男</v>
      </c>
      <c r="F34" s="8" t="str">
        <f>"四川省绵阳市三台县"</f>
        <v>四川省绵阳市三台县</v>
      </c>
      <c r="G34" s="8" t="str">
        <f>"海口市苍西小学"</f>
        <v>海口市苍西小学</v>
      </c>
    </row>
    <row r="35" spans="1:7" ht="30" customHeight="1">
      <c r="A35" s="8">
        <v>33</v>
      </c>
      <c r="B35" s="8" t="str">
        <f>"28922021032809463715542"</f>
        <v>28922021032809463715542</v>
      </c>
      <c r="C35" s="8" t="s">
        <v>8</v>
      </c>
      <c r="D35" s="8" t="str">
        <f>"陈梅平"</f>
        <v>陈梅平</v>
      </c>
      <c r="E35" s="8" t="str">
        <f aca="true" t="shared" si="3" ref="E35:E60">"女"</f>
        <v>女</v>
      </c>
      <c r="F35" s="8" t="str">
        <f>"海南省屯昌县"</f>
        <v>海南省屯昌县</v>
      </c>
      <c r="G35" s="8" t="str">
        <f>"海口市城西小学"</f>
        <v>海口市城西小学</v>
      </c>
    </row>
    <row r="36" spans="1:7" ht="30" customHeight="1">
      <c r="A36" s="8">
        <v>34</v>
      </c>
      <c r="B36" s="8" t="str">
        <f>"28922021032810133615614"</f>
        <v>28922021032810133615614</v>
      </c>
      <c r="C36" s="8" t="s">
        <v>8</v>
      </c>
      <c r="D36" s="8" t="str">
        <f>"彭思露"</f>
        <v>彭思露</v>
      </c>
      <c r="E36" s="8" t="str">
        <f t="shared" si="3"/>
        <v>女</v>
      </c>
      <c r="F36" s="8" t="str">
        <f>"广东省中山市火炬开发区"</f>
        <v>广东省中山市火炬开发区</v>
      </c>
      <c r="G36" s="8" t="str">
        <f>"海口市金盘实验学校"</f>
        <v>海口市金盘实验学校</v>
      </c>
    </row>
    <row r="37" spans="1:7" ht="30" customHeight="1">
      <c r="A37" s="8">
        <v>35</v>
      </c>
      <c r="B37" s="8" t="str">
        <f>"28922021032810473615719"</f>
        <v>28922021032810473615719</v>
      </c>
      <c r="C37" s="8" t="s">
        <v>8</v>
      </c>
      <c r="D37" s="8" t="str">
        <f>"陈薇"</f>
        <v>陈薇</v>
      </c>
      <c r="E37" s="8" t="str">
        <f t="shared" si="3"/>
        <v>女</v>
      </c>
      <c r="F37" s="8" t="str">
        <f>"海南省琼海市"</f>
        <v>海南省琼海市</v>
      </c>
      <c r="G37" s="8" t="str">
        <f>"海口市第二十六小学"</f>
        <v>海口市第二十六小学</v>
      </c>
    </row>
    <row r="38" spans="1:7" ht="30" customHeight="1">
      <c r="A38" s="8">
        <v>36</v>
      </c>
      <c r="B38" s="8" t="str">
        <f>"28922021032813182116155"</f>
        <v>28922021032813182116155</v>
      </c>
      <c r="C38" s="8" t="s">
        <v>8</v>
      </c>
      <c r="D38" s="8" t="str">
        <f>"李若贤"</f>
        <v>李若贤</v>
      </c>
      <c r="E38" s="8" t="str">
        <f t="shared" si="3"/>
        <v>女</v>
      </c>
      <c r="F38" s="8" t="str">
        <f>"海南省定安县"</f>
        <v>海南省定安县</v>
      </c>
      <c r="G38" s="8" t="str">
        <f>"海口市玉沙实验学校"</f>
        <v>海口市玉沙实验学校</v>
      </c>
    </row>
    <row r="39" spans="1:7" ht="30" customHeight="1">
      <c r="A39" s="8">
        <v>37</v>
      </c>
      <c r="B39" s="8" t="str">
        <f>"28922021032815122516507"</f>
        <v>28922021032815122516507</v>
      </c>
      <c r="C39" s="8" t="s">
        <v>8</v>
      </c>
      <c r="D39" s="8" t="str">
        <f>"杜海明"</f>
        <v>杜海明</v>
      </c>
      <c r="E39" s="8" t="str">
        <f t="shared" si="3"/>
        <v>女</v>
      </c>
      <c r="F39" s="8" t="str">
        <f>"海南省海口市"</f>
        <v>海南省海口市</v>
      </c>
      <c r="G39" s="8" t="str">
        <f>"海口市金盘实验学校"</f>
        <v>海口市金盘实验学校</v>
      </c>
    </row>
    <row r="40" spans="1:7" ht="30" customHeight="1">
      <c r="A40" s="8">
        <v>38</v>
      </c>
      <c r="B40" s="8" t="str">
        <f>"28922021032815311816556"</f>
        <v>28922021032815311816556</v>
      </c>
      <c r="C40" s="8" t="s">
        <v>8</v>
      </c>
      <c r="D40" s="8" t="str">
        <f>"庞梦瑜"</f>
        <v>庞梦瑜</v>
      </c>
      <c r="E40" s="8" t="str">
        <f t="shared" si="3"/>
        <v>女</v>
      </c>
      <c r="F40" s="8" t="str">
        <f>"海南省海口市"</f>
        <v>海南省海口市</v>
      </c>
      <c r="G40" s="8" t="str">
        <f>"海口市金盘实验学校"</f>
        <v>海口市金盘实验学校</v>
      </c>
    </row>
    <row r="41" spans="1:7" ht="30" customHeight="1">
      <c r="A41" s="8">
        <v>39</v>
      </c>
      <c r="B41" s="8" t="str">
        <f>"28922021032815324016558"</f>
        <v>28922021032815324016558</v>
      </c>
      <c r="C41" s="8" t="s">
        <v>8</v>
      </c>
      <c r="D41" s="8" t="str">
        <f>"周小霞"</f>
        <v>周小霞</v>
      </c>
      <c r="E41" s="8" t="str">
        <f t="shared" si="3"/>
        <v>女</v>
      </c>
      <c r="F41" s="8" t="str">
        <f>"海南省陵水县"</f>
        <v>海南省陵水县</v>
      </c>
      <c r="G41" s="8" t="str">
        <f>"海口市海瑞学校"</f>
        <v>海口市海瑞学校</v>
      </c>
    </row>
    <row r="42" spans="1:7" ht="30" customHeight="1">
      <c r="A42" s="8">
        <v>40</v>
      </c>
      <c r="B42" s="8" t="str">
        <f>"28922021032816293016730"</f>
        <v>28922021032816293016730</v>
      </c>
      <c r="C42" s="8" t="s">
        <v>8</v>
      </c>
      <c r="D42" s="8" t="str">
        <f>"卢香奕"</f>
        <v>卢香奕</v>
      </c>
      <c r="E42" s="8" t="str">
        <f t="shared" si="3"/>
        <v>女</v>
      </c>
      <c r="F42" s="8" t="str">
        <f>"海南省乐东县"</f>
        <v>海南省乐东县</v>
      </c>
      <c r="G42" s="8" t="str">
        <f>"海口市金盘实验学校"</f>
        <v>海口市金盘实验学校</v>
      </c>
    </row>
    <row r="43" spans="1:7" ht="30" customHeight="1">
      <c r="A43" s="8">
        <v>41</v>
      </c>
      <c r="B43" s="8" t="str">
        <f>"28922021032819443917147"</f>
        <v>28922021032819443917147</v>
      </c>
      <c r="C43" s="8" t="s">
        <v>8</v>
      </c>
      <c r="D43" s="8" t="str">
        <f>"曾绳芳"</f>
        <v>曾绳芳</v>
      </c>
      <c r="E43" s="8" t="str">
        <f t="shared" si="3"/>
        <v>女</v>
      </c>
      <c r="F43" s="8" t="str">
        <f>"海南省乐东县"</f>
        <v>海南省乐东县</v>
      </c>
      <c r="G43" s="8" t="str">
        <f>"海口市金盘实验学校"</f>
        <v>海口市金盘实验学校</v>
      </c>
    </row>
    <row r="44" spans="1:7" ht="30" customHeight="1">
      <c r="A44" s="8">
        <v>42</v>
      </c>
      <c r="B44" s="8" t="str">
        <f>"28922021032820091017209"</f>
        <v>28922021032820091017209</v>
      </c>
      <c r="C44" s="8" t="s">
        <v>8</v>
      </c>
      <c r="D44" s="8" t="str">
        <f>"张萌"</f>
        <v>张萌</v>
      </c>
      <c r="E44" s="8" t="str">
        <f t="shared" si="3"/>
        <v>女</v>
      </c>
      <c r="F44" s="8" t="str">
        <f>"河南省南阳市"</f>
        <v>河南省南阳市</v>
      </c>
      <c r="G44" s="8" t="str">
        <f>"海口市玉沙实验学校"</f>
        <v>海口市玉沙实验学校</v>
      </c>
    </row>
    <row r="45" spans="1:7" ht="30" customHeight="1">
      <c r="A45" s="8">
        <v>43</v>
      </c>
      <c r="B45" s="8" t="str">
        <f>"28922021032822535117654"</f>
        <v>28922021032822535117654</v>
      </c>
      <c r="C45" s="8" t="s">
        <v>8</v>
      </c>
      <c r="D45" s="8" t="str">
        <f>"冯巧溱"</f>
        <v>冯巧溱</v>
      </c>
      <c r="E45" s="8" t="str">
        <f t="shared" si="3"/>
        <v>女</v>
      </c>
      <c r="F45" s="8" t="str">
        <f>"海南省琼海市嘉积镇"</f>
        <v>海南省琼海市嘉积镇</v>
      </c>
      <c r="G45" s="8" t="str">
        <f>"海口市海瑞学校"</f>
        <v>海口市海瑞学校</v>
      </c>
    </row>
    <row r="46" spans="1:7" ht="30" customHeight="1">
      <c r="A46" s="8">
        <v>44</v>
      </c>
      <c r="B46" s="8" t="str">
        <f>"28922021032822535617655"</f>
        <v>28922021032822535617655</v>
      </c>
      <c r="C46" s="8" t="s">
        <v>8</v>
      </c>
      <c r="D46" s="8" t="str">
        <f>"高妹"</f>
        <v>高妹</v>
      </c>
      <c r="E46" s="8" t="str">
        <f t="shared" si="3"/>
        <v>女</v>
      </c>
      <c r="F46" s="8" t="str">
        <f>"海南省万宁市"</f>
        <v>海南省万宁市</v>
      </c>
      <c r="G46" s="8" t="str">
        <f>"海口市玉沙实验学校"</f>
        <v>海口市玉沙实验学校</v>
      </c>
    </row>
    <row r="47" spans="1:7" ht="30" customHeight="1">
      <c r="A47" s="8">
        <v>45</v>
      </c>
      <c r="B47" s="8" t="str">
        <f>"28922021032823281517728"</f>
        <v>28922021032823281517728</v>
      </c>
      <c r="C47" s="8" t="s">
        <v>8</v>
      </c>
      <c r="D47" s="8" t="str">
        <f>"刘文君"</f>
        <v>刘文君</v>
      </c>
      <c r="E47" s="8" t="str">
        <f t="shared" si="3"/>
        <v>女</v>
      </c>
      <c r="F47" s="8" t="str">
        <f>"甘肃省兰州市"</f>
        <v>甘肃省兰州市</v>
      </c>
      <c r="G47" s="8" t="str">
        <f>"海口市金盘实验学校"</f>
        <v>海口市金盘实验学校</v>
      </c>
    </row>
    <row r="48" spans="1:7" ht="30" customHeight="1">
      <c r="A48" s="8">
        <v>46</v>
      </c>
      <c r="B48" s="8" t="str">
        <f>"28922021032907540417863"</f>
        <v>28922021032907540417863</v>
      </c>
      <c r="C48" s="8" t="s">
        <v>8</v>
      </c>
      <c r="D48" s="8" t="str">
        <f>"钟永婷"</f>
        <v>钟永婷</v>
      </c>
      <c r="E48" s="8" t="str">
        <f t="shared" si="3"/>
        <v>女</v>
      </c>
      <c r="F48" s="8" t="str">
        <f>"海南省乐东县"</f>
        <v>海南省乐东县</v>
      </c>
      <c r="G48" s="8" t="str">
        <f>"海口市玉沙实验学校"</f>
        <v>海口市玉沙实验学校</v>
      </c>
    </row>
    <row r="49" spans="1:7" ht="30" customHeight="1">
      <c r="A49" s="8">
        <v>47</v>
      </c>
      <c r="B49" s="8" t="str">
        <f>"28922021032908550818044"</f>
        <v>28922021032908550818044</v>
      </c>
      <c r="C49" s="8" t="s">
        <v>8</v>
      </c>
      <c r="D49" s="8" t="str">
        <f>"王玉"</f>
        <v>王玉</v>
      </c>
      <c r="E49" s="8" t="str">
        <f t="shared" si="3"/>
        <v>女</v>
      </c>
      <c r="F49" s="8" t="str">
        <f>"河南省项城市"</f>
        <v>河南省项城市</v>
      </c>
      <c r="G49" s="8" t="str">
        <f>"海口市玉沙实验学校"</f>
        <v>海口市玉沙实验学校</v>
      </c>
    </row>
    <row r="50" spans="1:7" ht="30" customHeight="1">
      <c r="A50" s="8">
        <v>48</v>
      </c>
      <c r="B50" s="8" t="str">
        <f>"28922021032908563418052"</f>
        <v>28922021032908563418052</v>
      </c>
      <c r="C50" s="8" t="s">
        <v>8</v>
      </c>
      <c r="D50" s="8" t="str">
        <f>"林芳桦"</f>
        <v>林芳桦</v>
      </c>
      <c r="E50" s="8" t="str">
        <f t="shared" si="3"/>
        <v>女</v>
      </c>
      <c r="F50" s="8" t="str">
        <f>"海南省海口市"</f>
        <v>海南省海口市</v>
      </c>
      <c r="G50" s="8" t="str">
        <f>"海南省农垦直属第一小学"</f>
        <v>海南省农垦直属第一小学</v>
      </c>
    </row>
    <row r="51" spans="1:7" ht="30" customHeight="1">
      <c r="A51" s="8">
        <v>49</v>
      </c>
      <c r="B51" s="8" t="str">
        <f>"28922021032909393118696"</f>
        <v>28922021032909393118696</v>
      </c>
      <c r="C51" s="8" t="s">
        <v>8</v>
      </c>
      <c r="D51" s="8" t="str">
        <f>"吴丹"</f>
        <v>吴丹</v>
      </c>
      <c r="E51" s="8" t="str">
        <f t="shared" si="3"/>
        <v>女</v>
      </c>
      <c r="F51" s="8" t="str">
        <f>"海南省海口市"</f>
        <v>海南省海口市</v>
      </c>
      <c r="G51" s="8" t="str">
        <f>"海口市玉沙实验学校"</f>
        <v>海口市玉沙实验学校</v>
      </c>
    </row>
    <row r="52" spans="1:7" ht="30" customHeight="1">
      <c r="A52" s="8">
        <v>50</v>
      </c>
      <c r="B52" s="8" t="str">
        <f>"28922021032910185819229"</f>
        <v>28922021032910185819229</v>
      </c>
      <c r="C52" s="8" t="s">
        <v>8</v>
      </c>
      <c r="D52" s="8" t="str">
        <f>"麦海娜"</f>
        <v>麦海娜</v>
      </c>
      <c r="E52" s="8" t="str">
        <f t="shared" si="3"/>
        <v>女</v>
      </c>
      <c r="F52" s="8" t="str">
        <f>"海南省东方市"</f>
        <v>海南省东方市</v>
      </c>
      <c r="G52" s="8" t="str">
        <f>"海口市金盘实验学校"</f>
        <v>海口市金盘实验学校</v>
      </c>
    </row>
    <row r="53" spans="1:7" ht="30" customHeight="1">
      <c r="A53" s="8">
        <v>51</v>
      </c>
      <c r="B53" s="8" t="str">
        <f>"28922021032910354119449"</f>
        <v>28922021032910354119449</v>
      </c>
      <c r="C53" s="8" t="s">
        <v>8</v>
      </c>
      <c r="D53" s="8" t="str">
        <f>"陈欣玫"</f>
        <v>陈欣玫</v>
      </c>
      <c r="E53" s="8" t="str">
        <f t="shared" si="3"/>
        <v>女</v>
      </c>
      <c r="F53" s="8" t="str">
        <f>"海南省万宁市兴隆河西派出所"</f>
        <v>海南省万宁市兴隆河西派出所</v>
      </c>
      <c r="G53" s="8" t="str">
        <f>"海口市海瑞学校"</f>
        <v>海口市海瑞学校</v>
      </c>
    </row>
    <row r="54" spans="1:7" ht="30" customHeight="1">
      <c r="A54" s="8">
        <v>52</v>
      </c>
      <c r="B54" s="8" t="str">
        <f>"28922021032911545720245"</f>
        <v>28922021032911545720245</v>
      </c>
      <c r="C54" s="8" t="s">
        <v>8</v>
      </c>
      <c r="D54" s="8" t="str">
        <f>"徐婉婷"</f>
        <v>徐婉婷</v>
      </c>
      <c r="E54" s="8" t="str">
        <f t="shared" si="3"/>
        <v>女</v>
      </c>
      <c r="F54" s="8" t="str">
        <f>"海南省文昌市"</f>
        <v>海南省文昌市</v>
      </c>
      <c r="G54" s="8" t="str">
        <f>"海口市玉沙实验学校"</f>
        <v>海口市玉沙实验学校</v>
      </c>
    </row>
    <row r="55" spans="1:7" ht="30" customHeight="1">
      <c r="A55" s="8">
        <v>53</v>
      </c>
      <c r="B55" s="8" t="str">
        <f>"28922021032912193320391"</f>
        <v>28922021032912193320391</v>
      </c>
      <c r="C55" s="8" t="s">
        <v>8</v>
      </c>
      <c r="D55" s="8" t="str">
        <f>"林紫蔚"</f>
        <v>林紫蔚</v>
      </c>
      <c r="E55" s="8" t="str">
        <f t="shared" si="3"/>
        <v>女</v>
      </c>
      <c r="F55" s="8" t="str">
        <f>"海南省琼海市"</f>
        <v>海南省琼海市</v>
      </c>
      <c r="G55" s="8" t="str">
        <f>"海口市金盘实验学校"</f>
        <v>海口市金盘实验学校</v>
      </c>
    </row>
    <row r="56" spans="1:7" ht="30" customHeight="1">
      <c r="A56" s="8">
        <v>54</v>
      </c>
      <c r="B56" s="8" t="str">
        <f>"28922021032912525520568"</f>
        <v>28922021032912525520568</v>
      </c>
      <c r="C56" s="8" t="s">
        <v>8</v>
      </c>
      <c r="D56" s="8" t="str">
        <f>"许小钰"</f>
        <v>许小钰</v>
      </c>
      <c r="E56" s="8" t="str">
        <f t="shared" si="3"/>
        <v>女</v>
      </c>
      <c r="F56" s="8" t="str">
        <f>"海南省琼海市烟塘派出所"</f>
        <v>海南省琼海市烟塘派出所</v>
      </c>
      <c r="G56" s="8" t="str">
        <f>"海口市金盘实验学校"</f>
        <v>海口市金盘实验学校</v>
      </c>
    </row>
    <row r="57" spans="1:7" ht="30" customHeight="1">
      <c r="A57" s="8">
        <v>55</v>
      </c>
      <c r="B57" s="8" t="str">
        <f>"28922021032913342820751"</f>
        <v>28922021032913342820751</v>
      </c>
      <c r="C57" s="8" t="s">
        <v>8</v>
      </c>
      <c r="D57" s="8" t="str">
        <f>"陈雪"</f>
        <v>陈雪</v>
      </c>
      <c r="E57" s="8" t="str">
        <f t="shared" si="3"/>
        <v>女</v>
      </c>
      <c r="F57" s="8" t="str">
        <f>"海南省万宁市"</f>
        <v>海南省万宁市</v>
      </c>
      <c r="G57" s="8" t="str">
        <f>"海口市金盘实验学校"</f>
        <v>海口市金盘实验学校</v>
      </c>
    </row>
    <row r="58" spans="1:7" ht="30" customHeight="1">
      <c r="A58" s="8">
        <v>56</v>
      </c>
      <c r="B58" s="8" t="str">
        <f>"28922021032913574820843"</f>
        <v>28922021032913574820843</v>
      </c>
      <c r="C58" s="8" t="s">
        <v>8</v>
      </c>
      <c r="D58" s="8" t="str">
        <f>"何天涯"</f>
        <v>何天涯</v>
      </c>
      <c r="E58" s="8" t="str">
        <f t="shared" si="3"/>
        <v>女</v>
      </c>
      <c r="F58" s="8" t="str">
        <f>"海南省乐东黎族自治县"</f>
        <v>海南省乐东黎族自治县</v>
      </c>
      <c r="G58" s="8" t="str">
        <f>"海口市玉沙实验学校"</f>
        <v>海口市玉沙实验学校</v>
      </c>
    </row>
    <row r="59" spans="1:7" ht="30" customHeight="1">
      <c r="A59" s="8">
        <v>57</v>
      </c>
      <c r="B59" s="8" t="str">
        <f>"28922021032915065621233"</f>
        <v>28922021032915065621233</v>
      </c>
      <c r="C59" s="8" t="s">
        <v>8</v>
      </c>
      <c r="D59" s="8" t="str">
        <f>"李荣英"</f>
        <v>李荣英</v>
      </c>
      <c r="E59" s="8" t="str">
        <f t="shared" si="3"/>
        <v>女</v>
      </c>
      <c r="F59" s="8" t="str">
        <f>"海南省定安县"</f>
        <v>海南省定安县</v>
      </c>
      <c r="G59" s="8" t="str">
        <f>"海口市秀峰实验学校"</f>
        <v>海口市秀峰实验学校</v>
      </c>
    </row>
    <row r="60" spans="1:7" ht="30" customHeight="1">
      <c r="A60" s="8">
        <v>58</v>
      </c>
      <c r="B60" s="8" t="str">
        <f>"28922021032915441121510"</f>
        <v>28922021032915441121510</v>
      </c>
      <c r="C60" s="8" t="s">
        <v>8</v>
      </c>
      <c r="D60" s="8" t="str">
        <f>"李红慧"</f>
        <v>李红慧</v>
      </c>
      <c r="E60" s="8" t="str">
        <f t="shared" si="3"/>
        <v>女</v>
      </c>
      <c r="F60" s="8" t="str">
        <f>"海南海口"</f>
        <v>海南海口</v>
      </c>
      <c r="G60" s="8" t="str">
        <f>"海口市海瑞学校"</f>
        <v>海口市海瑞学校</v>
      </c>
    </row>
    <row r="61" spans="1:7" ht="30" customHeight="1">
      <c r="A61" s="8">
        <v>59</v>
      </c>
      <c r="B61" s="8" t="str">
        <f>"28922021032915595221648"</f>
        <v>28922021032915595221648</v>
      </c>
      <c r="C61" s="8" t="s">
        <v>8</v>
      </c>
      <c r="D61" s="8" t="str">
        <f>"符东琦"</f>
        <v>符东琦</v>
      </c>
      <c r="E61" s="8" t="str">
        <f>"男"</f>
        <v>男</v>
      </c>
      <c r="F61" s="8" t="str">
        <f>"海南省三亚市"</f>
        <v>海南省三亚市</v>
      </c>
      <c r="G61" s="8" t="str">
        <f>"海口市玉沙实验学校"</f>
        <v>海口市玉沙实验学校</v>
      </c>
    </row>
    <row r="62" spans="1:7" ht="30" customHeight="1">
      <c r="A62" s="8">
        <v>60</v>
      </c>
      <c r="B62" s="8" t="str">
        <f>"28922021032917172422106"</f>
        <v>28922021032917172422106</v>
      </c>
      <c r="C62" s="8" t="s">
        <v>8</v>
      </c>
      <c r="D62" s="8" t="str">
        <f>"张珠茱"</f>
        <v>张珠茱</v>
      </c>
      <c r="E62" s="8" t="str">
        <f aca="true" t="shared" si="4" ref="E62:E84">"女"</f>
        <v>女</v>
      </c>
      <c r="F62" s="8" t="str">
        <f>"海南省五指山市"</f>
        <v>海南省五指山市</v>
      </c>
      <c r="G62" s="8" t="str">
        <f>"海口市玉沙实验学校"</f>
        <v>海口市玉沙实验学校</v>
      </c>
    </row>
    <row r="63" spans="1:7" ht="30" customHeight="1">
      <c r="A63" s="8">
        <v>61</v>
      </c>
      <c r="B63" s="8" t="str">
        <f>"28922021032917374222230"</f>
        <v>28922021032917374222230</v>
      </c>
      <c r="C63" s="8" t="s">
        <v>8</v>
      </c>
      <c r="D63" s="8" t="str">
        <f>"潘琳"</f>
        <v>潘琳</v>
      </c>
      <c r="E63" s="8" t="str">
        <f t="shared" si="4"/>
        <v>女</v>
      </c>
      <c r="F63" s="8" t="str">
        <f>"海南省琼海市"</f>
        <v>海南省琼海市</v>
      </c>
      <c r="G63" s="8" t="str">
        <f>"海口市金盘实验学校"</f>
        <v>海口市金盘实验学校</v>
      </c>
    </row>
    <row r="64" spans="1:7" ht="30" customHeight="1">
      <c r="A64" s="8">
        <v>62</v>
      </c>
      <c r="B64" s="8" t="str">
        <f>"28922021032918051622340"</f>
        <v>28922021032918051622340</v>
      </c>
      <c r="C64" s="8" t="s">
        <v>8</v>
      </c>
      <c r="D64" s="8" t="str">
        <f>"单妍"</f>
        <v>单妍</v>
      </c>
      <c r="E64" s="8" t="str">
        <f t="shared" si="4"/>
        <v>女</v>
      </c>
      <c r="F64" s="8" t="str">
        <f>"山东省济南市"</f>
        <v>山东省济南市</v>
      </c>
      <c r="G64" s="8" t="str">
        <f>"海口市玉沙实验学校"</f>
        <v>海口市玉沙实验学校</v>
      </c>
    </row>
    <row r="65" spans="1:7" ht="30" customHeight="1">
      <c r="A65" s="8">
        <v>63</v>
      </c>
      <c r="B65" s="8" t="str">
        <f>"28922021032919062122551"</f>
        <v>28922021032919062122551</v>
      </c>
      <c r="C65" s="8" t="s">
        <v>8</v>
      </c>
      <c r="D65" s="8" t="str">
        <f>"潘振铃"</f>
        <v>潘振铃</v>
      </c>
      <c r="E65" s="8" t="str">
        <f t="shared" si="4"/>
        <v>女</v>
      </c>
      <c r="F65" s="8" t="str">
        <f>"海南省乐东县"</f>
        <v>海南省乐东县</v>
      </c>
      <c r="G65" s="8" t="str">
        <f>"海口市金盘实验学校"</f>
        <v>海口市金盘实验学校</v>
      </c>
    </row>
    <row r="66" spans="1:7" ht="30" customHeight="1">
      <c r="A66" s="8">
        <v>64</v>
      </c>
      <c r="B66" s="8" t="str">
        <f>"28922021032919255622630"</f>
        <v>28922021032919255622630</v>
      </c>
      <c r="C66" s="8" t="s">
        <v>8</v>
      </c>
      <c r="D66" s="8" t="str">
        <f>"符武婷"</f>
        <v>符武婷</v>
      </c>
      <c r="E66" s="8" t="str">
        <f t="shared" si="4"/>
        <v>女</v>
      </c>
      <c r="F66" s="8" t="str">
        <f>"海南省乐东黎族自治县"</f>
        <v>海南省乐东黎族自治县</v>
      </c>
      <c r="G66" s="8" t="str">
        <f>"海口市苍西小学"</f>
        <v>海口市苍西小学</v>
      </c>
    </row>
    <row r="67" spans="1:7" ht="30" customHeight="1">
      <c r="A67" s="8">
        <v>65</v>
      </c>
      <c r="B67" s="8" t="str">
        <f>"28922021032919334922667"</f>
        <v>28922021032919334922667</v>
      </c>
      <c r="C67" s="8" t="s">
        <v>8</v>
      </c>
      <c r="D67" s="8" t="str">
        <f>"黄美茹"</f>
        <v>黄美茹</v>
      </c>
      <c r="E67" s="8" t="str">
        <f t="shared" si="4"/>
        <v>女</v>
      </c>
      <c r="F67" s="8" t="str">
        <f>"海南省海口市"</f>
        <v>海南省海口市</v>
      </c>
      <c r="G67" s="8" t="str">
        <f>"海口市金盘实验学校"</f>
        <v>海口市金盘实验学校</v>
      </c>
    </row>
    <row r="68" spans="1:7" ht="30" customHeight="1">
      <c r="A68" s="8">
        <v>66</v>
      </c>
      <c r="B68" s="8" t="str">
        <f>"28922021032920081922803"</f>
        <v>28922021032920081922803</v>
      </c>
      <c r="C68" s="8" t="s">
        <v>8</v>
      </c>
      <c r="D68" s="8" t="str">
        <f>"康宇"</f>
        <v>康宇</v>
      </c>
      <c r="E68" s="8" t="str">
        <f t="shared" si="4"/>
        <v>女</v>
      </c>
      <c r="F68" s="8" t="str">
        <f>"黑龙江省东宁市"</f>
        <v>黑龙江省东宁市</v>
      </c>
      <c r="G68" s="8" t="str">
        <f>"海口市金盘实验学校"</f>
        <v>海口市金盘实验学校</v>
      </c>
    </row>
    <row r="69" spans="1:7" ht="30" customHeight="1">
      <c r="A69" s="8">
        <v>67</v>
      </c>
      <c r="B69" s="8" t="str">
        <f>"28922021032920085522806"</f>
        <v>28922021032920085522806</v>
      </c>
      <c r="C69" s="8" t="s">
        <v>8</v>
      </c>
      <c r="D69" s="8" t="str">
        <f>"鞠铠羽"</f>
        <v>鞠铠羽</v>
      </c>
      <c r="E69" s="8" t="str">
        <f t="shared" si="4"/>
        <v>女</v>
      </c>
      <c r="F69" s="8" t="str">
        <f>"山东省潍坊市"</f>
        <v>山东省潍坊市</v>
      </c>
      <c r="G69" s="8" t="str">
        <f>"海口市金盘实验学校"</f>
        <v>海口市金盘实验学校</v>
      </c>
    </row>
    <row r="70" spans="1:7" ht="30" customHeight="1">
      <c r="A70" s="8">
        <v>68</v>
      </c>
      <c r="B70" s="8" t="str">
        <f>"28922021032920193022852"</f>
        <v>28922021032920193022852</v>
      </c>
      <c r="C70" s="8" t="s">
        <v>8</v>
      </c>
      <c r="D70" s="8" t="str">
        <f>"钟冰冰"</f>
        <v>钟冰冰</v>
      </c>
      <c r="E70" s="8" t="str">
        <f t="shared" si="4"/>
        <v>女</v>
      </c>
      <c r="F70" s="8" t="str">
        <f>"海南省陵水黎族自治县"</f>
        <v>海南省陵水黎族自治县</v>
      </c>
      <c r="G70" s="8" t="str">
        <f>"海口市金盘实验学校"</f>
        <v>海口市金盘实验学校</v>
      </c>
    </row>
    <row r="71" spans="1:7" ht="30" customHeight="1">
      <c r="A71" s="8">
        <v>69</v>
      </c>
      <c r="B71" s="8" t="str">
        <f>"28922021032920421922978"</f>
        <v>28922021032920421922978</v>
      </c>
      <c r="C71" s="8" t="s">
        <v>8</v>
      </c>
      <c r="D71" s="8" t="str">
        <f>"王倩"</f>
        <v>王倩</v>
      </c>
      <c r="E71" s="8" t="str">
        <f t="shared" si="4"/>
        <v>女</v>
      </c>
      <c r="F71" s="8" t="str">
        <f>"海南省琼海市"</f>
        <v>海南省琼海市</v>
      </c>
      <c r="G71" s="8" t="str">
        <f>"海南省农垦直属第三小学"</f>
        <v>海南省农垦直属第三小学</v>
      </c>
    </row>
    <row r="72" spans="1:7" ht="30" customHeight="1">
      <c r="A72" s="8">
        <v>70</v>
      </c>
      <c r="B72" s="8" t="str">
        <f>"28922021032921443323276"</f>
        <v>28922021032921443323276</v>
      </c>
      <c r="C72" s="8" t="s">
        <v>8</v>
      </c>
      <c r="D72" s="8" t="str">
        <f>"吴中兰"</f>
        <v>吴中兰</v>
      </c>
      <c r="E72" s="8" t="str">
        <f t="shared" si="4"/>
        <v>女</v>
      </c>
      <c r="F72" s="8" t="str">
        <f>"重庆市永川区"</f>
        <v>重庆市永川区</v>
      </c>
      <c r="G72" s="8" t="str">
        <f>"海口市玉沙实验学校"</f>
        <v>海口市玉沙实验学校</v>
      </c>
    </row>
    <row r="73" spans="1:7" ht="30" customHeight="1">
      <c r="A73" s="8">
        <v>71</v>
      </c>
      <c r="B73" s="8" t="str">
        <f>"28922021032921544323327"</f>
        <v>28922021032921544323327</v>
      </c>
      <c r="C73" s="8" t="s">
        <v>8</v>
      </c>
      <c r="D73" s="8" t="str">
        <f>"刘恒"</f>
        <v>刘恒</v>
      </c>
      <c r="E73" s="8" t="str">
        <f t="shared" si="4"/>
        <v>女</v>
      </c>
      <c r="F73" s="8" t="str">
        <f>"河北省唐山市海港开发区"</f>
        <v>河北省唐山市海港开发区</v>
      </c>
      <c r="G73" s="8" t="str">
        <f>"海口市玉沙实验学校"</f>
        <v>海口市玉沙实验学校</v>
      </c>
    </row>
    <row r="74" spans="1:7" ht="30" customHeight="1">
      <c r="A74" s="8">
        <v>72</v>
      </c>
      <c r="B74" s="8" t="str">
        <f>"28922021032923243423672"</f>
        <v>28922021032923243423672</v>
      </c>
      <c r="C74" s="8" t="s">
        <v>8</v>
      </c>
      <c r="D74" s="8" t="str">
        <f>"林静"</f>
        <v>林静</v>
      </c>
      <c r="E74" s="8" t="str">
        <f t="shared" si="4"/>
        <v>女</v>
      </c>
      <c r="F74" s="8" t="str">
        <f>"海南省海口市"</f>
        <v>海南省海口市</v>
      </c>
      <c r="G74" s="8" t="str">
        <f>"海口市第九小学"</f>
        <v>海口市第九小学</v>
      </c>
    </row>
    <row r="75" spans="1:7" ht="30" customHeight="1">
      <c r="A75" s="8">
        <v>73</v>
      </c>
      <c r="B75" s="8" t="str">
        <f>"28922021032923390023703"</f>
        <v>28922021032923390023703</v>
      </c>
      <c r="C75" s="8" t="s">
        <v>8</v>
      </c>
      <c r="D75" s="8" t="str">
        <f>"陈其花"</f>
        <v>陈其花</v>
      </c>
      <c r="E75" s="8" t="str">
        <f t="shared" si="4"/>
        <v>女</v>
      </c>
      <c r="F75" s="8" t="str">
        <f>"海南省儋州市"</f>
        <v>海南省儋州市</v>
      </c>
      <c r="G75" s="8" t="str">
        <f>"海口市玉沙实验学校"</f>
        <v>海口市玉沙实验学校</v>
      </c>
    </row>
    <row r="76" spans="1:7" ht="30" customHeight="1">
      <c r="A76" s="8">
        <v>74</v>
      </c>
      <c r="B76" s="8" t="str">
        <f>"28922021033007065423817"</f>
        <v>28922021033007065423817</v>
      </c>
      <c r="C76" s="8" t="s">
        <v>8</v>
      </c>
      <c r="D76" s="8" t="str">
        <f>"王韵诗"</f>
        <v>王韵诗</v>
      </c>
      <c r="E76" s="8" t="str">
        <f t="shared" si="4"/>
        <v>女</v>
      </c>
      <c r="F76" s="8" t="str">
        <f>"吉林省长春市"</f>
        <v>吉林省长春市</v>
      </c>
      <c r="G76" s="8" t="str">
        <f>"海口市金盘实验学校"</f>
        <v>海口市金盘实验学校</v>
      </c>
    </row>
    <row r="77" spans="1:7" ht="30" customHeight="1">
      <c r="A77" s="8">
        <v>75</v>
      </c>
      <c r="B77" s="8" t="str">
        <f>"28922021033009293524219"</f>
        <v>28922021033009293524219</v>
      </c>
      <c r="C77" s="8" t="s">
        <v>8</v>
      </c>
      <c r="D77" s="8" t="str">
        <f>"田杉杉"</f>
        <v>田杉杉</v>
      </c>
      <c r="E77" s="8" t="str">
        <f t="shared" si="4"/>
        <v>女</v>
      </c>
      <c r="F77" s="8" t="str">
        <f>"重庆市开县"</f>
        <v>重庆市开县</v>
      </c>
      <c r="G77" s="8" t="str">
        <f>"海口市玉沙实验学校"</f>
        <v>海口市玉沙实验学校</v>
      </c>
    </row>
    <row r="78" spans="1:7" ht="30" customHeight="1">
      <c r="A78" s="8">
        <v>76</v>
      </c>
      <c r="B78" s="8" t="str">
        <f>"28922021033011565225012"</f>
        <v>28922021033011565225012</v>
      </c>
      <c r="C78" s="8" t="s">
        <v>8</v>
      </c>
      <c r="D78" s="8" t="str">
        <f>"吴思颖"</f>
        <v>吴思颖</v>
      </c>
      <c r="E78" s="8" t="str">
        <f t="shared" si="4"/>
        <v>女</v>
      </c>
      <c r="F78" s="8" t="str">
        <f>"海南省海口市"</f>
        <v>海南省海口市</v>
      </c>
      <c r="G78" s="8" t="str">
        <f>"海口市金盘实验学校"</f>
        <v>海口市金盘实验学校</v>
      </c>
    </row>
    <row r="79" spans="1:7" ht="30" customHeight="1">
      <c r="A79" s="8">
        <v>77</v>
      </c>
      <c r="B79" s="8" t="str">
        <f>"28922021033013162025308"</f>
        <v>28922021033013162025308</v>
      </c>
      <c r="C79" s="8" t="s">
        <v>8</v>
      </c>
      <c r="D79" s="8" t="str">
        <f>"韦海兰"</f>
        <v>韦海兰</v>
      </c>
      <c r="E79" s="8" t="str">
        <f t="shared" si="4"/>
        <v>女</v>
      </c>
      <c r="F79" s="8" t="str">
        <f>"广西壮族自治区柳州市柳江区"</f>
        <v>广西壮族自治区柳州市柳江区</v>
      </c>
      <c r="G79" s="8" t="str">
        <f>"海口市金盘实验学校"</f>
        <v>海口市金盘实验学校</v>
      </c>
    </row>
    <row r="80" spans="1:7" ht="30" customHeight="1">
      <c r="A80" s="8">
        <v>78</v>
      </c>
      <c r="B80" s="8" t="str">
        <f>"28922021033013594725404"</f>
        <v>28922021033013594725404</v>
      </c>
      <c r="C80" s="8" t="s">
        <v>8</v>
      </c>
      <c r="D80" s="8" t="str">
        <f>"冯怡"</f>
        <v>冯怡</v>
      </c>
      <c r="E80" s="8" t="str">
        <f t="shared" si="4"/>
        <v>女</v>
      </c>
      <c r="F80" s="8" t="str">
        <f>"海南省琼海市"</f>
        <v>海南省琼海市</v>
      </c>
      <c r="G80" s="8" t="str">
        <f>"海口市海瑞学校"</f>
        <v>海口市海瑞学校</v>
      </c>
    </row>
    <row r="81" spans="1:7" ht="30" customHeight="1">
      <c r="A81" s="8">
        <v>79</v>
      </c>
      <c r="B81" s="8" t="str">
        <f>"28922021033014431525527"</f>
        <v>28922021033014431525527</v>
      </c>
      <c r="C81" s="8" t="s">
        <v>8</v>
      </c>
      <c r="D81" s="8" t="str">
        <f>"赵荣花"</f>
        <v>赵荣花</v>
      </c>
      <c r="E81" s="8" t="str">
        <f t="shared" si="4"/>
        <v>女</v>
      </c>
      <c r="F81" s="8" t="str">
        <f>"海南省儋州市"</f>
        <v>海南省儋州市</v>
      </c>
      <c r="G81" s="8" t="str">
        <f>"海口市金盘实验学校"</f>
        <v>海口市金盘实验学校</v>
      </c>
    </row>
    <row r="82" spans="1:7" ht="30" customHeight="1">
      <c r="A82" s="8">
        <v>80</v>
      </c>
      <c r="B82" s="8" t="str">
        <f>"28922021033019423226600"</f>
        <v>28922021033019423226600</v>
      </c>
      <c r="C82" s="8" t="s">
        <v>8</v>
      </c>
      <c r="D82" s="8" t="str">
        <f>"何品丹"</f>
        <v>何品丹</v>
      </c>
      <c r="E82" s="8" t="str">
        <f t="shared" si="4"/>
        <v>女</v>
      </c>
      <c r="F82" s="8" t="str">
        <f>"海南省儋州市"</f>
        <v>海南省儋州市</v>
      </c>
      <c r="G82" s="8" t="str">
        <f>"海口市海燕小学"</f>
        <v>海口市海燕小学</v>
      </c>
    </row>
    <row r="83" spans="1:7" ht="30" customHeight="1">
      <c r="A83" s="8">
        <v>81</v>
      </c>
      <c r="B83" s="8" t="str">
        <f>"28922021033019440926603"</f>
        <v>28922021033019440926603</v>
      </c>
      <c r="C83" s="8" t="s">
        <v>8</v>
      </c>
      <c r="D83" s="8" t="str">
        <f>"谢子晴"</f>
        <v>谢子晴</v>
      </c>
      <c r="E83" s="8" t="str">
        <f t="shared" si="4"/>
        <v>女</v>
      </c>
      <c r="F83" s="8" t="str">
        <f>"海南省儋州市"</f>
        <v>海南省儋州市</v>
      </c>
      <c r="G83" s="8" t="str">
        <f>"海南省农垦直属第三小学"</f>
        <v>海南省农垦直属第三小学</v>
      </c>
    </row>
    <row r="84" spans="1:7" ht="30" customHeight="1">
      <c r="A84" s="8">
        <v>82</v>
      </c>
      <c r="B84" s="8" t="str">
        <f>"28922021033020492126800"</f>
        <v>28922021033020492126800</v>
      </c>
      <c r="C84" s="8" t="s">
        <v>8</v>
      </c>
      <c r="D84" s="8" t="str">
        <f>"符芷芸"</f>
        <v>符芷芸</v>
      </c>
      <c r="E84" s="8" t="str">
        <f t="shared" si="4"/>
        <v>女</v>
      </c>
      <c r="F84" s="8" t="str">
        <f>"海南省海口市"</f>
        <v>海南省海口市</v>
      </c>
      <c r="G84" s="8" t="str">
        <f>"海口市金盘实验学校"</f>
        <v>海口市金盘实验学校</v>
      </c>
    </row>
    <row r="85" spans="1:7" ht="30" customHeight="1">
      <c r="A85" s="8">
        <v>83</v>
      </c>
      <c r="B85" s="8" t="str">
        <f>"28922021033021393526982"</f>
        <v>28922021033021393526982</v>
      </c>
      <c r="C85" s="8" t="s">
        <v>8</v>
      </c>
      <c r="D85" s="8" t="str">
        <f>"孟宜林"</f>
        <v>孟宜林</v>
      </c>
      <c r="E85" s="8" t="str">
        <f>"男"</f>
        <v>男</v>
      </c>
      <c r="F85" s="8" t="str">
        <f>"河南省漯河市"</f>
        <v>河南省漯河市</v>
      </c>
      <c r="G85" s="8" t="str">
        <f>"海口市玉沙实验学校"</f>
        <v>海口市玉沙实验学校</v>
      </c>
    </row>
    <row r="86" spans="1:7" ht="30" customHeight="1">
      <c r="A86" s="8">
        <v>84</v>
      </c>
      <c r="B86" s="8" t="str">
        <f>"28922021033102072927415"</f>
        <v>28922021033102072927415</v>
      </c>
      <c r="C86" s="8" t="s">
        <v>8</v>
      </c>
      <c r="D86" s="8" t="str">
        <f>"李可欣"</f>
        <v>李可欣</v>
      </c>
      <c r="E86" s="8" t="str">
        <f>"女"</f>
        <v>女</v>
      </c>
      <c r="F86" s="8" t="str">
        <f>"辽宁省开原市"</f>
        <v>辽宁省开原市</v>
      </c>
      <c r="G86" s="8" t="str">
        <f>"海口市玉沙实验学校"</f>
        <v>海口市玉沙实验学校</v>
      </c>
    </row>
    <row r="87" spans="1:7" ht="30" customHeight="1">
      <c r="A87" s="8">
        <v>85</v>
      </c>
      <c r="B87" s="8" t="str">
        <f>"28922021033110550328157"</f>
        <v>28922021033110550328157</v>
      </c>
      <c r="C87" s="8" t="s">
        <v>8</v>
      </c>
      <c r="D87" s="8" t="str">
        <f>"王娟"</f>
        <v>王娟</v>
      </c>
      <c r="E87" s="8" t="str">
        <f>"女"</f>
        <v>女</v>
      </c>
      <c r="F87" s="8" t="str">
        <f>"海南琼中"</f>
        <v>海南琼中</v>
      </c>
      <c r="G87" s="8" t="str">
        <f>"海口市玉沙实验学校"</f>
        <v>海口市玉沙实验学校</v>
      </c>
    </row>
    <row r="88" spans="1:7" ht="30" customHeight="1">
      <c r="A88" s="8">
        <v>86</v>
      </c>
      <c r="B88" s="8" t="str">
        <f>"28922021033111530128412"</f>
        <v>28922021033111530128412</v>
      </c>
      <c r="C88" s="8" t="s">
        <v>8</v>
      </c>
      <c r="D88" s="8" t="str">
        <f>"谢观福"</f>
        <v>谢观福</v>
      </c>
      <c r="E88" s="8" t="str">
        <f>"男"</f>
        <v>男</v>
      </c>
      <c r="F88" s="8" t="str">
        <f>"江西省赣州市于都县"</f>
        <v>江西省赣州市于都县</v>
      </c>
      <c r="G88" s="8" t="str">
        <f>"海口市海瑞学校"</f>
        <v>海口市海瑞学校</v>
      </c>
    </row>
    <row r="89" spans="1:7" ht="30" customHeight="1">
      <c r="A89" s="8">
        <v>87</v>
      </c>
      <c r="B89" s="8" t="str">
        <f>"28922021033115332929043"</f>
        <v>28922021033115332929043</v>
      </c>
      <c r="C89" s="8" t="s">
        <v>8</v>
      </c>
      <c r="D89" s="8" t="str">
        <f>"莫国霞"</f>
        <v>莫国霞</v>
      </c>
      <c r="E89" s="8" t="str">
        <f aca="true" t="shared" si="5" ref="E89:E112">"女"</f>
        <v>女</v>
      </c>
      <c r="F89" s="8" t="str">
        <f>"海南省琼海市龙江镇"</f>
        <v>海南省琼海市龙江镇</v>
      </c>
      <c r="G89" s="8" t="str">
        <f>"海口市玉沙实验学校"</f>
        <v>海口市玉沙实验学校</v>
      </c>
    </row>
    <row r="90" spans="1:7" ht="30" customHeight="1">
      <c r="A90" s="8">
        <v>88</v>
      </c>
      <c r="B90" s="8" t="str">
        <f>"28922021033118131329473"</f>
        <v>28922021033118131329473</v>
      </c>
      <c r="C90" s="8" t="s">
        <v>8</v>
      </c>
      <c r="D90" s="8" t="str">
        <f>"陈静"</f>
        <v>陈静</v>
      </c>
      <c r="E90" s="8" t="str">
        <f t="shared" si="5"/>
        <v>女</v>
      </c>
      <c r="F90" s="8" t="str">
        <f>"海南省乐东县"</f>
        <v>海南省乐东县</v>
      </c>
      <c r="G90" s="8" t="str">
        <f>"海口市金盘实验学校"</f>
        <v>海口市金盘实验学校</v>
      </c>
    </row>
    <row r="91" spans="1:7" ht="30" customHeight="1">
      <c r="A91" s="8">
        <v>89</v>
      </c>
      <c r="B91" s="8" t="str">
        <f>"28922021033118204829502"</f>
        <v>28922021033118204829502</v>
      </c>
      <c r="C91" s="8" t="s">
        <v>8</v>
      </c>
      <c r="D91" s="8" t="str">
        <f>"王小南"</f>
        <v>王小南</v>
      </c>
      <c r="E91" s="8" t="str">
        <f t="shared" si="5"/>
        <v>女</v>
      </c>
      <c r="F91" s="8" t="str">
        <f>"海南省屯昌县"</f>
        <v>海南省屯昌县</v>
      </c>
      <c r="G91" s="8" t="str">
        <f>"海口市海瑞学校"</f>
        <v>海口市海瑞学校</v>
      </c>
    </row>
    <row r="92" spans="1:7" ht="30" customHeight="1">
      <c r="A92" s="8">
        <v>90</v>
      </c>
      <c r="B92" s="8" t="str">
        <f>"28922021033118212429503"</f>
        <v>28922021033118212429503</v>
      </c>
      <c r="C92" s="8" t="s">
        <v>8</v>
      </c>
      <c r="D92" s="8" t="str">
        <f>"姚成林"</f>
        <v>姚成林</v>
      </c>
      <c r="E92" s="8" t="str">
        <f t="shared" si="5"/>
        <v>女</v>
      </c>
      <c r="F92" s="8" t="str">
        <f>"河南省周口市"</f>
        <v>河南省周口市</v>
      </c>
      <c r="G92" s="8" t="str">
        <f>"海口市第九小学"</f>
        <v>海口市第九小学</v>
      </c>
    </row>
    <row r="93" spans="1:7" ht="30" customHeight="1">
      <c r="A93" s="8">
        <v>91</v>
      </c>
      <c r="B93" s="8" t="str">
        <f>"28922021033119195330032"</f>
        <v>28922021033119195330032</v>
      </c>
      <c r="C93" s="8" t="s">
        <v>8</v>
      </c>
      <c r="D93" s="8" t="str">
        <f>"张文婷"</f>
        <v>张文婷</v>
      </c>
      <c r="E93" s="8" t="str">
        <f t="shared" si="5"/>
        <v>女</v>
      </c>
      <c r="F93" s="8" t="str">
        <f>"海南儋州"</f>
        <v>海南儋州</v>
      </c>
      <c r="G93" s="8" t="str">
        <f>"海口市苍西小学"</f>
        <v>海口市苍西小学</v>
      </c>
    </row>
    <row r="94" spans="1:7" ht="30" customHeight="1">
      <c r="A94" s="8">
        <v>92</v>
      </c>
      <c r="B94" s="8" t="str">
        <f>"28922021033119402130080"</f>
        <v>28922021033119402130080</v>
      </c>
      <c r="C94" s="8" t="s">
        <v>8</v>
      </c>
      <c r="D94" s="8" t="str">
        <f>"黄亚孟"</f>
        <v>黄亚孟</v>
      </c>
      <c r="E94" s="8" t="str">
        <f t="shared" si="5"/>
        <v>女</v>
      </c>
      <c r="F94" s="8" t="str">
        <f>"海南省陵水县"</f>
        <v>海南省陵水县</v>
      </c>
      <c r="G94" s="8" t="str">
        <f>"海口市玉沙实验学校"</f>
        <v>海口市玉沙实验学校</v>
      </c>
    </row>
    <row r="95" spans="1:7" ht="30" customHeight="1">
      <c r="A95" s="8">
        <v>93</v>
      </c>
      <c r="B95" s="8" t="str">
        <f>"28922021033119595530116"</f>
        <v>28922021033119595530116</v>
      </c>
      <c r="C95" s="8" t="s">
        <v>8</v>
      </c>
      <c r="D95" s="8" t="str">
        <f>"马颖"</f>
        <v>马颖</v>
      </c>
      <c r="E95" s="8" t="str">
        <f t="shared" si="5"/>
        <v>女</v>
      </c>
      <c r="F95" s="8" t="str">
        <f>"甘肃省天水市"</f>
        <v>甘肃省天水市</v>
      </c>
      <c r="G95" s="8" t="str">
        <f>"海口市玉沙实验学校"</f>
        <v>海口市玉沙实验学校</v>
      </c>
    </row>
    <row r="96" spans="1:7" ht="30" customHeight="1">
      <c r="A96" s="8">
        <v>94</v>
      </c>
      <c r="B96" s="8" t="str">
        <f>"28922021033120271630178"</f>
        <v>28922021033120271630178</v>
      </c>
      <c r="C96" s="8" t="s">
        <v>8</v>
      </c>
      <c r="D96" s="8" t="str">
        <f>"李丹丹"</f>
        <v>李丹丹</v>
      </c>
      <c r="E96" s="8" t="str">
        <f t="shared" si="5"/>
        <v>女</v>
      </c>
      <c r="F96" s="8" t="str">
        <f>"海南省琼海市"</f>
        <v>海南省琼海市</v>
      </c>
      <c r="G96" s="8" t="str">
        <f>"海口市玉沙实验学校"</f>
        <v>海口市玉沙实验学校</v>
      </c>
    </row>
    <row r="97" spans="1:7" ht="30" customHeight="1">
      <c r="A97" s="8">
        <v>95</v>
      </c>
      <c r="B97" s="8" t="str">
        <f>"28922021033120475230233"</f>
        <v>28922021033120475230233</v>
      </c>
      <c r="C97" s="8" t="s">
        <v>8</v>
      </c>
      <c r="D97" s="8" t="str">
        <f>"曾欣"</f>
        <v>曾欣</v>
      </c>
      <c r="E97" s="8" t="str">
        <f t="shared" si="5"/>
        <v>女</v>
      </c>
      <c r="F97" s="8" t="str">
        <f>"江西省吉安县"</f>
        <v>江西省吉安县</v>
      </c>
      <c r="G97" s="8" t="str">
        <f>"海口市金盘实验学校"</f>
        <v>海口市金盘实验学校</v>
      </c>
    </row>
    <row r="98" spans="1:7" ht="30" customHeight="1">
      <c r="A98" s="8">
        <v>96</v>
      </c>
      <c r="B98" s="8" t="str">
        <f>"28922021033122153730442"</f>
        <v>28922021033122153730442</v>
      </c>
      <c r="C98" s="8" t="s">
        <v>8</v>
      </c>
      <c r="D98" s="8" t="str">
        <f>"王梅云"</f>
        <v>王梅云</v>
      </c>
      <c r="E98" s="8" t="str">
        <f t="shared" si="5"/>
        <v>女</v>
      </c>
      <c r="F98" s="8" t="str">
        <f>"海南省海口市"</f>
        <v>海南省海口市</v>
      </c>
      <c r="G98" s="8" t="str">
        <f>"海口市苍西小学"</f>
        <v>海口市苍西小学</v>
      </c>
    </row>
    <row r="99" spans="1:7" ht="30" customHeight="1">
      <c r="A99" s="8">
        <v>97</v>
      </c>
      <c r="B99" s="8" t="str">
        <f>"28922021040106334630737"</f>
        <v>28922021040106334630737</v>
      </c>
      <c r="C99" s="8" t="s">
        <v>8</v>
      </c>
      <c r="D99" s="8" t="str">
        <f>"吴燕芬"</f>
        <v>吴燕芬</v>
      </c>
      <c r="E99" s="8" t="str">
        <f t="shared" si="5"/>
        <v>女</v>
      </c>
      <c r="F99" s="8" t="str">
        <f>"海南省万宁市"</f>
        <v>海南省万宁市</v>
      </c>
      <c r="G99" s="8" t="str">
        <f>"海口市金盘实验学校"</f>
        <v>海口市金盘实验学校</v>
      </c>
    </row>
    <row r="100" spans="1:7" ht="30" customHeight="1">
      <c r="A100" s="8">
        <v>98</v>
      </c>
      <c r="B100" s="8" t="str">
        <f>"28922021040111140131340"</f>
        <v>28922021040111140131340</v>
      </c>
      <c r="C100" s="8" t="s">
        <v>8</v>
      </c>
      <c r="D100" s="8" t="str">
        <f>"冯诗晴"</f>
        <v>冯诗晴</v>
      </c>
      <c r="E100" s="8" t="str">
        <f t="shared" si="5"/>
        <v>女</v>
      </c>
      <c r="F100" s="8" t="str">
        <f>"海南省海口市"</f>
        <v>海南省海口市</v>
      </c>
      <c r="G100" s="8" t="str">
        <f>"海口市玉沙实验学校"</f>
        <v>海口市玉沙实验学校</v>
      </c>
    </row>
    <row r="101" spans="1:7" ht="30" customHeight="1">
      <c r="A101" s="8">
        <v>99</v>
      </c>
      <c r="B101" s="8" t="str">
        <f>"28922021040112571931602"</f>
        <v>28922021040112571931602</v>
      </c>
      <c r="C101" s="8" t="s">
        <v>8</v>
      </c>
      <c r="D101" s="8" t="str">
        <f>"吴冬月"</f>
        <v>吴冬月</v>
      </c>
      <c r="E101" s="8" t="str">
        <f t="shared" si="5"/>
        <v>女</v>
      </c>
      <c r="F101" s="8" t="str">
        <f>"海南省海口市"</f>
        <v>海南省海口市</v>
      </c>
      <c r="G101" s="8" t="str">
        <f>"海口市金盘实验学校"</f>
        <v>海口市金盘实验学校</v>
      </c>
    </row>
    <row r="102" spans="1:7" ht="30" customHeight="1">
      <c r="A102" s="8">
        <v>100</v>
      </c>
      <c r="B102" s="8" t="str">
        <f>"28922021040114265431789"</f>
        <v>28922021040114265431789</v>
      </c>
      <c r="C102" s="8" t="s">
        <v>8</v>
      </c>
      <c r="D102" s="8" t="str">
        <f>"史杨华"</f>
        <v>史杨华</v>
      </c>
      <c r="E102" s="8" t="str">
        <f t="shared" si="5"/>
        <v>女</v>
      </c>
      <c r="F102" s="8" t="str">
        <f>"海南省海口市"</f>
        <v>海南省海口市</v>
      </c>
      <c r="G102" s="8" t="str">
        <f>"海口市玉沙实验学校"</f>
        <v>海口市玉沙实验学校</v>
      </c>
    </row>
    <row r="103" spans="1:7" ht="30" customHeight="1">
      <c r="A103" s="8">
        <v>101</v>
      </c>
      <c r="B103" s="8" t="str">
        <f>"28922021040114512331865"</f>
        <v>28922021040114512331865</v>
      </c>
      <c r="C103" s="8" t="s">
        <v>8</v>
      </c>
      <c r="D103" s="8" t="str">
        <f>"欧铃燕"</f>
        <v>欧铃燕</v>
      </c>
      <c r="E103" s="8" t="str">
        <f t="shared" si="5"/>
        <v>女</v>
      </c>
      <c r="F103" s="8" t="str">
        <f>"海南省万宁市"</f>
        <v>海南省万宁市</v>
      </c>
      <c r="G103" s="8" t="str">
        <f>"海口市海瑞学校"</f>
        <v>海口市海瑞学校</v>
      </c>
    </row>
    <row r="104" spans="1:7" ht="30" customHeight="1">
      <c r="A104" s="8">
        <v>102</v>
      </c>
      <c r="B104" s="8" t="str">
        <f>"28922021040116290732188"</f>
        <v>28922021040116290732188</v>
      </c>
      <c r="C104" s="8" t="s">
        <v>8</v>
      </c>
      <c r="D104" s="8" t="str">
        <f>"陈泰润"</f>
        <v>陈泰润</v>
      </c>
      <c r="E104" s="8" t="str">
        <f t="shared" si="5"/>
        <v>女</v>
      </c>
      <c r="F104" s="8" t="str">
        <f>"海南省东方市"</f>
        <v>海南省东方市</v>
      </c>
      <c r="G104" s="8" t="str">
        <f>"海口市海瑞学校"</f>
        <v>海口市海瑞学校</v>
      </c>
    </row>
    <row r="105" spans="1:7" ht="30" customHeight="1">
      <c r="A105" s="8">
        <v>103</v>
      </c>
      <c r="B105" s="8" t="str">
        <f>"28922021040117323732335"</f>
        <v>28922021040117323732335</v>
      </c>
      <c r="C105" s="8" t="s">
        <v>8</v>
      </c>
      <c r="D105" s="8" t="str">
        <f>"韩雪云"</f>
        <v>韩雪云</v>
      </c>
      <c r="E105" s="8" t="str">
        <f t="shared" si="5"/>
        <v>女</v>
      </c>
      <c r="F105" s="8" t="str">
        <f>"海南省万宁市"</f>
        <v>海南省万宁市</v>
      </c>
      <c r="G105" s="8" t="str">
        <f>"海口市金盘实验学校"</f>
        <v>海口市金盘实验学校</v>
      </c>
    </row>
    <row r="106" spans="1:7" ht="30" customHeight="1">
      <c r="A106" s="8">
        <v>104</v>
      </c>
      <c r="B106" s="8" t="str">
        <f>"28922021040117520632359"</f>
        <v>28922021040117520632359</v>
      </c>
      <c r="C106" s="8" t="s">
        <v>8</v>
      </c>
      <c r="D106" s="8" t="str">
        <f>"刘恬恬"</f>
        <v>刘恬恬</v>
      </c>
      <c r="E106" s="8" t="str">
        <f t="shared" si="5"/>
        <v>女</v>
      </c>
      <c r="F106" s="8" t="str">
        <f>"海南省东方市"</f>
        <v>海南省东方市</v>
      </c>
      <c r="G106" s="8" t="str">
        <f>"海口市玉沙实验学校"</f>
        <v>海口市玉沙实验学校</v>
      </c>
    </row>
    <row r="107" spans="1:7" ht="30" customHeight="1">
      <c r="A107" s="8">
        <v>105</v>
      </c>
      <c r="B107" s="8" t="str">
        <f>"28922021040118043332370"</f>
        <v>28922021040118043332370</v>
      </c>
      <c r="C107" s="8" t="s">
        <v>8</v>
      </c>
      <c r="D107" s="8" t="str">
        <f>"温雅妮"</f>
        <v>温雅妮</v>
      </c>
      <c r="E107" s="8" t="str">
        <f t="shared" si="5"/>
        <v>女</v>
      </c>
      <c r="F107" s="8" t="str">
        <f>"海南省澄迈县"</f>
        <v>海南省澄迈县</v>
      </c>
      <c r="G107" s="8" t="str">
        <f>"海口市海瑞学校"</f>
        <v>海口市海瑞学校</v>
      </c>
    </row>
    <row r="108" spans="1:7" ht="30" customHeight="1">
      <c r="A108" s="8">
        <v>106</v>
      </c>
      <c r="B108" s="8" t="str">
        <f>"28922021040118140532384"</f>
        <v>28922021040118140532384</v>
      </c>
      <c r="C108" s="8" t="s">
        <v>8</v>
      </c>
      <c r="D108" s="8" t="str">
        <f>"王舒倩"</f>
        <v>王舒倩</v>
      </c>
      <c r="E108" s="8" t="str">
        <f t="shared" si="5"/>
        <v>女</v>
      </c>
      <c r="F108" s="8" t="str">
        <f>"海南省五指山市"</f>
        <v>海南省五指山市</v>
      </c>
      <c r="G108" s="8" t="str">
        <f>"海口市金盘实验学校"</f>
        <v>海口市金盘实验学校</v>
      </c>
    </row>
    <row r="109" spans="1:7" ht="30" customHeight="1">
      <c r="A109" s="8">
        <v>107</v>
      </c>
      <c r="B109" s="8" t="str">
        <f>"28922021040118155632387"</f>
        <v>28922021040118155632387</v>
      </c>
      <c r="C109" s="8" t="s">
        <v>8</v>
      </c>
      <c r="D109" s="8" t="str">
        <f>"王立倩"</f>
        <v>王立倩</v>
      </c>
      <c r="E109" s="8" t="str">
        <f t="shared" si="5"/>
        <v>女</v>
      </c>
      <c r="F109" s="8" t="str">
        <f>"海南省东方市"</f>
        <v>海南省东方市</v>
      </c>
      <c r="G109" s="8" t="str">
        <f>"海口市苍西小学"</f>
        <v>海口市苍西小学</v>
      </c>
    </row>
    <row r="110" spans="1:7" ht="30" customHeight="1">
      <c r="A110" s="8">
        <v>108</v>
      </c>
      <c r="B110" s="8" t="str">
        <f>"28922021040119501132512"</f>
        <v>28922021040119501132512</v>
      </c>
      <c r="C110" s="8" t="s">
        <v>8</v>
      </c>
      <c r="D110" s="8" t="str">
        <f>"陈盛美"</f>
        <v>陈盛美</v>
      </c>
      <c r="E110" s="8" t="str">
        <f t="shared" si="5"/>
        <v>女</v>
      </c>
      <c r="F110" s="8" t="str">
        <f>"海南省儋州市排浦镇"</f>
        <v>海南省儋州市排浦镇</v>
      </c>
      <c r="G110" s="8" t="str">
        <f>"海口市金盘实验学校"</f>
        <v>海口市金盘实验学校</v>
      </c>
    </row>
    <row r="111" spans="1:7" ht="30" customHeight="1">
      <c r="A111" s="8">
        <v>109</v>
      </c>
      <c r="B111" s="8" t="str">
        <f>"28922021040120303532563"</f>
        <v>28922021040120303532563</v>
      </c>
      <c r="C111" s="8" t="s">
        <v>8</v>
      </c>
      <c r="D111" s="8" t="str">
        <f>"冯瑞诗"</f>
        <v>冯瑞诗</v>
      </c>
      <c r="E111" s="8" t="str">
        <f t="shared" si="5"/>
        <v>女</v>
      </c>
      <c r="F111" s="8" t="str">
        <f>"海南省儋州市"</f>
        <v>海南省儋州市</v>
      </c>
      <c r="G111" s="8" t="str">
        <f>"海口市金盘实验学校"</f>
        <v>海口市金盘实验学校</v>
      </c>
    </row>
    <row r="112" spans="1:7" ht="30" customHeight="1">
      <c r="A112" s="8">
        <v>110</v>
      </c>
      <c r="B112" s="8" t="str">
        <f>"28922021040120464932593"</f>
        <v>28922021040120464932593</v>
      </c>
      <c r="C112" s="8" t="s">
        <v>8</v>
      </c>
      <c r="D112" s="8" t="str">
        <f>"林妍妙"</f>
        <v>林妍妙</v>
      </c>
      <c r="E112" s="8" t="str">
        <f t="shared" si="5"/>
        <v>女</v>
      </c>
      <c r="F112" s="8" t="str">
        <f>"海南省琼海市"</f>
        <v>海南省琼海市</v>
      </c>
      <c r="G112" s="8" t="str">
        <f>"海口市金盘实验学校"</f>
        <v>海口市金盘实验学校</v>
      </c>
    </row>
    <row r="113" spans="1:7" ht="30" customHeight="1">
      <c r="A113" s="8">
        <v>111</v>
      </c>
      <c r="B113" s="8" t="str">
        <f>"28922021040121365132642"</f>
        <v>28922021040121365132642</v>
      </c>
      <c r="C113" s="8" t="s">
        <v>8</v>
      </c>
      <c r="D113" s="8" t="str">
        <f>"穆浩渊"</f>
        <v>穆浩渊</v>
      </c>
      <c r="E113" s="8" t="str">
        <f>"男"</f>
        <v>男</v>
      </c>
      <c r="F113" s="8" t="str">
        <f>"陕西省西安市未央区学府中路6号A区公寓"</f>
        <v>陕西省西安市未央区学府中路6号A区公寓</v>
      </c>
      <c r="G113" s="8" t="str">
        <f>"海口市玉沙实验学校"</f>
        <v>海口市玉沙实验学校</v>
      </c>
    </row>
    <row r="114" spans="1:7" ht="30" customHeight="1">
      <c r="A114" s="8">
        <v>112</v>
      </c>
      <c r="B114" s="8" t="str">
        <f>"28922021040121464832658"</f>
        <v>28922021040121464832658</v>
      </c>
      <c r="C114" s="8" t="s">
        <v>8</v>
      </c>
      <c r="D114" s="8" t="str">
        <f>"仲一超"</f>
        <v>仲一超</v>
      </c>
      <c r="E114" s="8" t="str">
        <f>"男"</f>
        <v>男</v>
      </c>
      <c r="F114" s="8" t="str">
        <f>"陕西省西安市灞桥区"</f>
        <v>陕西省西安市灞桥区</v>
      </c>
      <c r="G114" s="8" t="str">
        <f>"海南省农垦直属第三小学"</f>
        <v>海南省农垦直属第三小学</v>
      </c>
    </row>
    <row r="115" spans="1:7" ht="30" customHeight="1">
      <c r="A115" s="8">
        <v>113</v>
      </c>
      <c r="B115" s="8" t="str">
        <f>"28922021040122295632727"</f>
        <v>28922021040122295632727</v>
      </c>
      <c r="C115" s="8" t="s">
        <v>8</v>
      </c>
      <c r="D115" s="8" t="str">
        <f>"庄敏慧"</f>
        <v>庄敏慧</v>
      </c>
      <c r="E115" s="8" t="str">
        <f aca="true" t="shared" si="6" ref="E115:E142">"女"</f>
        <v>女</v>
      </c>
      <c r="F115" s="8" t="str">
        <f>"海南省万宁市"</f>
        <v>海南省万宁市</v>
      </c>
      <c r="G115" s="8" t="str">
        <f>"海口市金盘实验学校"</f>
        <v>海口市金盘实验学校</v>
      </c>
    </row>
    <row r="116" spans="1:7" ht="30" customHeight="1">
      <c r="A116" s="8">
        <v>114</v>
      </c>
      <c r="B116" s="8" t="str">
        <f>"28922021040209443233563"</f>
        <v>28922021040209443233563</v>
      </c>
      <c r="C116" s="8" t="s">
        <v>8</v>
      </c>
      <c r="D116" s="8" t="str">
        <f>"张海英"</f>
        <v>张海英</v>
      </c>
      <c r="E116" s="8" t="str">
        <f t="shared" si="6"/>
        <v>女</v>
      </c>
      <c r="F116" s="8" t="str">
        <f>"海南省儋州市"</f>
        <v>海南省儋州市</v>
      </c>
      <c r="G116" s="8" t="str">
        <f>"海口市第九小学"</f>
        <v>海口市第九小学</v>
      </c>
    </row>
    <row r="117" spans="1:7" ht="30" customHeight="1">
      <c r="A117" s="8">
        <v>115</v>
      </c>
      <c r="B117" s="8" t="str">
        <f>"28922021040211401234412"</f>
        <v>28922021040211401234412</v>
      </c>
      <c r="C117" s="8" t="s">
        <v>8</v>
      </c>
      <c r="D117" s="8" t="str">
        <f>"林秋岸"</f>
        <v>林秋岸</v>
      </c>
      <c r="E117" s="8" t="str">
        <f t="shared" si="6"/>
        <v>女</v>
      </c>
      <c r="F117" s="8" t="str">
        <f>"海南省临高县"</f>
        <v>海南省临高县</v>
      </c>
      <c r="G117" s="8" t="str">
        <f>"海口市玉沙实验学校"</f>
        <v>海口市玉沙实验学校</v>
      </c>
    </row>
    <row r="118" spans="1:7" ht="30" customHeight="1">
      <c r="A118" s="8">
        <v>116</v>
      </c>
      <c r="B118" s="8" t="str">
        <f>"28922021040211525534470"</f>
        <v>28922021040211525534470</v>
      </c>
      <c r="C118" s="8" t="s">
        <v>8</v>
      </c>
      <c r="D118" s="8" t="str">
        <f>"蔡美秋"</f>
        <v>蔡美秋</v>
      </c>
      <c r="E118" s="8" t="str">
        <f t="shared" si="6"/>
        <v>女</v>
      </c>
      <c r="F118" s="8" t="str">
        <f>"海南省昌江黎族自治县"</f>
        <v>海南省昌江黎族自治县</v>
      </c>
      <c r="G118" s="8" t="str">
        <f>"海南省农垦直属第一小学"</f>
        <v>海南省农垦直属第一小学</v>
      </c>
    </row>
    <row r="119" spans="1:7" ht="30" customHeight="1">
      <c r="A119" s="8">
        <v>117</v>
      </c>
      <c r="B119" s="8" t="str">
        <f>"28922021040212391834716"</f>
        <v>28922021040212391834716</v>
      </c>
      <c r="C119" s="8" t="s">
        <v>8</v>
      </c>
      <c r="D119" s="8" t="str">
        <f>"俞秀真"</f>
        <v>俞秀真</v>
      </c>
      <c r="E119" s="8" t="str">
        <f t="shared" si="6"/>
        <v>女</v>
      </c>
      <c r="F119" s="8" t="str">
        <f>"江西省上饶市"</f>
        <v>江西省上饶市</v>
      </c>
      <c r="G119" s="8" t="str">
        <f>"海口市金盘实验学校"</f>
        <v>海口市金盘实验学校</v>
      </c>
    </row>
    <row r="120" spans="1:7" ht="30" customHeight="1">
      <c r="A120" s="8">
        <v>118</v>
      </c>
      <c r="B120" s="8" t="str">
        <f>"28922021040212404534725"</f>
        <v>28922021040212404534725</v>
      </c>
      <c r="C120" s="8" t="s">
        <v>8</v>
      </c>
      <c r="D120" s="8" t="str">
        <f>"温雯雯"</f>
        <v>温雯雯</v>
      </c>
      <c r="E120" s="8" t="str">
        <f t="shared" si="6"/>
        <v>女</v>
      </c>
      <c r="F120" s="8" t="str">
        <f>"海南省文昌市"</f>
        <v>海南省文昌市</v>
      </c>
      <c r="G120" s="8" t="str">
        <f>"海口市玉沙实验学校"</f>
        <v>海口市玉沙实验学校</v>
      </c>
    </row>
    <row r="121" spans="1:7" ht="30" customHeight="1">
      <c r="A121" s="8">
        <v>119</v>
      </c>
      <c r="B121" s="8" t="str">
        <f>"28922021040213242534888"</f>
        <v>28922021040213242534888</v>
      </c>
      <c r="C121" s="8" t="s">
        <v>8</v>
      </c>
      <c r="D121" s="8" t="str">
        <f>"吉晶莹"</f>
        <v>吉晶莹</v>
      </c>
      <c r="E121" s="8" t="str">
        <f t="shared" si="6"/>
        <v>女</v>
      </c>
      <c r="F121" s="8" t="str">
        <f>"海南琼中"</f>
        <v>海南琼中</v>
      </c>
      <c r="G121" s="8" t="str">
        <f>"海口市海瑞学校"</f>
        <v>海口市海瑞学校</v>
      </c>
    </row>
    <row r="122" spans="1:7" ht="30" customHeight="1">
      <c r="A122" s="8">
        <v>120</v>
      </c>
      <c r="B122" s="8" t="str">
        <f>"28922021040213452134957"</f>
        <v>28922021040213452134957</v>
      </c>
      <c r="C122" s="8" t="s">
        <v>8</v>
      </c>
      <c r="D122" s="8" t="str">
        <f>"赵清凡"</f>
        <v>赵清凡</v>
      </c>
      <c r="E122" s="8" t="str">
        <f t="shared" si="6"/>
        <v>女</v>
      </c>
      <c r="F122" s="8" t="str">
        <f>"海南省东方市"</f>
        <v>海南省东方市</v>
      </c>
      <c r="G122" s="8" t="str">
        <f>"海口市海瑞学校"</f>
        <v>海口市海瑞学校</v>
      </c>
    </row>
    <row r="123" spans="1:7" ht="30" customHeight="1">
      <c r="A123" s="8">
        <v>121</v>
      </c>
      <c r="B123" s="8" t="str">
        <f>"28922021040214183835043"</f>
        <v>28922021040214183835043</v>
      </c>
      <c r="C123" s="8" t="s">
        <v>8</v>
      </c>
      <c r="D123" s="8" t="str">
        <f>"祝丽"</f>
        <v>祝丽</v>
      </c>
      <c r="E123" s="8" t="str">
        <f t="shared" si="6"/>
        <v>女</v>
      </c>
      <c r="F123" s="8" t="str">
        <f>"江西省上饶市"</f>
        <v>江西省上饶市</v>
      </c>
      <c r="G123" s="8" t="str">
        <f>"海口市金盘实验学校"</f>
        <v>海口市金盘实验学校</v>
      </c>
    </row>
    <row r="124" spans="1:7" ht="30" customHeight="1">
      <c r="A124" s="8">
        <v>122</v>
      </c>
      <c r="B124" s="8" t="str">
        <f>"28922021040215084035257"</f>
        <v>28922021040215084035257</v>
      </c>
      <c r="C124" s="8" t="s">
        <v>8</v>
      </c>
      <c r="D124" s="8" t="str">
        <f>"赵庄宁"</f>
        <v>赵庄宁</v>
      </c>
      <c r="E124" s="8" t="str">
        <f t="shared" si="6"/>
        <v>女</v>
      </c>
      <c r="F124" s="8" t="str">
        <f>"河南省荥阳市"</f>
        <v>河南省荥阳市</v>
      </c>
      <c r="G124" s="8" t="str">
        <f>"海口市金盘实验学校"</f>
        <v>海口市金盘实验学校</v>
      </c>
    </row>
    <row r="125" spans="1:7" ht="30" customHeight="1">
      <c r="A125" s="8">
        <v>123</v>
      </c>
      <c r="B125" s="8" t="str">
        <f>"28922021032708025213141"</f>
        <v>28922021032708025213141</v>
      </c>
      <c r="C125" s="8" t="s">
        <v>9</v>
      </c>
      <c r="D125" s="8" t="str">
        <f>"苟媛媛"</f>
        <v>苟媛媛</v>
      </c>
      <c r="E125" s="8" t="str">
        <f t="shared" si="6"/>
        <v>女</v>
      </c>
      <c r="F125" s="8" t="str">
        <f>"四川省会理县通安镇"</f>
        <v>四川省会理县通安镇</v>
      </c>
      <c r="G125" s="8" t="str">
        <f>"海口市第九小学"</f>
        <v>海口市第九小学</v>
      </c>
    </row>
    <row r="126" spans="1:7" ht="30" customHeight="1">
      <c r="A126" s="8">
        <v>124</v>
      </c>
      <c r="B126" s="8" t="str">
        <f>"28922021032708112213152"</f>
        <v>28922021032708112213152</v>
      </c>
      <c r="C126" s="8" t="s">
        <v>9</v>
      </c>
      <c r="D126" s="8" t="str">
        <f>"周清妙"</f>
        <v>周清妙</v>
      </c>
      <c r="E126" s="8" t="str">
        <f t="shared" si="6"/>
        <v>女</v>
      </c>
      <c r="F126" s="8" t="str">
        <f>"海南省文昌市抱罗镇"</f>
        <v>海南省文昌市抱罗镇</v>
      </c>
      <c r="G126" s="8" t="str">
        <f>"海口市秀峰实验学校"</f>
        <v>海口市秀峰实验学校</v>
      </c>
    </row>
    <row r="127" spans="1:7" ht="30" customHeight="1">
      <c r="A127" s="8">
        <v>125</v>
      </c>
      <c r="B127" s="8" t="str">
        <f>"28922021032708512713205"</f>
        <v>28922021032708512713205</v>
      </c>
      <c r="C127" s="8" t="s">
        <v>9</v>
      </c>
      <c r="D127" s="8" t="str">
        <f>"李小亚"</f>
        <v>李小亚</v>
      </c>
      <c r="E127" s="8" t="str">
        <f t="shared" si="6"/>
        <v>女</v>
      </c>
      <c r="F127" s="8" t="str">
        <f>"海南省澄迈县老城镇罗驿村"</f>
        <v>海南省澄迈县老城镇罗驿村</v>
      </c>
      <c r="G127" s="8" t="str">
        <f>"海口市第九小学"</f>
        <v>海口市第九小学</v>
      </c>
    </row>
    <row r="128" spans="1:7" ht="30" customHeight="1">
      <c r="A128" s="8">
        <v>126</v>
      </c>
      <c r="B128" s="8" t="str">
        <f>"28922021032709322813315"</f>
        <v>28922021032709322813315</v>
      </c>
      <c r="C128" s="8" t="s">
        <v>9</v>
      </c>
      <c r="D128" s="8" t="str">
        <f>"陈小威"</f>
        <v>陈小威</v>
      </c>
      <c r="E128" s="8" t="str">
        <f t="shared" si="6"/>
        <v>女</v>
      </c>
      <c r="F128" s="8" t="str">
        <f>"海南省屯昌县"</f>
        <v>海南省屯昌县</v>
      </c>
      <c r="G128" s="8" t="str">
        <f>"海口市海燕小学"</f>
        <v>海口市海燕小学</v>
      </c>
    </row>
    <row r="129" spans="1:7" ht="30" customHeight="1">
      <c r="A129" s="8">
        <v>127</v>
      </c>
      <c r="B129" s="8" t="str">
        <f>"28922021032709354713325"</f>
        <v>28922021032709354713325</v>
      </c>
      <c r="C129" s="8" t="s">
        <v>9</v>
      </c>
      <c r="D129" s="8" t="str">
        <f>"王力茁"</f>
        <v>王力茁</v>
      </c>
      <c r="E129" s="8" t="str">
        <f t="shared" si="6"/>
        <v>女</v>
      </c>
      <c r="F129" s="8" t="str">
        <f>"海南省三亚市"</f>
        <v>海南省三亚市</v>
      </c>
      <c r="G129" s="8" t="str">
        <f>"海口市城西小学"</f>
        <v>海口市城西小学</v>
      </c>
    </row>
    <row r="130" spans="1:7" ht="30" customHeight="1">
      <c r="A130" s="8">
        <v>128</v>
      </c>
      <c r="B130" s="8" t="str">
        <f>"28922021032709432413350"</f>
        <v>28922021032709432413350</v>
      </c>
      <c r="C130" s="8" t="s">
        <v>9</v>
      </c>
      <c r="D130" s="8" t="str">
        <f>"王丹"</f>
        <v>王丹</v>
      </c>
      <c r="E130" s="8" t="str">
        <f t="shared" si="6"/>
        <v>女</v>
      </c>
      <c r="F130" s="8" t="str">
        <f>"海南省屯昌县"</f>
        <v>海南省屯昌县</v>
      </c>
      <c r="G130" s="8" t="str">
        <f>"海口市秀峰实验学校"</f>
        <v>海口市秀峰实验学校</v>
      </c>
    </row>
    <row r="131" spans="1:7" ht="30" customHeight="1">
      <c r="A131" s="8">
        <v>129</v>
      </c>
      <c r="B131" s="8" t="str">
        <f>"28922021032709593813399"</f>
        <v>28922021032709593813399</v>
      </c>
      <c r="C131" s="8" t="s">
        <v>9</v>
      </c>
      <c r="D131" s="8" t="str">
        <f>"王愿"</f>
        <v>王愿</v>
      </c>
      <c r="E131" s="8" t="str">
        <f t="shared" si="6"/>
        <v>女</v>
      </c>
      <c r="F131" s="8" t="str">
        <f>"海南省乐东黎族自治县利国镇望楼村"</f>
        <v>海南省乐东黎族自治县利国镇望楼村</v>
      </c>
      <c r="G131" s="8" t="str">
        <f>"海口市海燕小学"</f>
        <v>海口市海燕小学</v>
      </c>
    </row>
    <row r="132" spans="1:7" ht="30" customHeight="1">
      <c r="A132" s="8">
        <v>130</v>
      </c>
      <c r="B132" s="8" t="str">
        <f>"28922021032710024213403"</f>
        <v>28922021032710024213403</v>
      </c>
      <c r="C132" s="8" t="s">
        <v>9</v>
      </c>
      <c r="D132" s="8" t="str">
        <f>"林启艳"</f>
        <v>林启艳</v>
      </c>
      <c r="E132" s="8" t="str">
        <f t="shared" si="6"/>
        <v>女</v>
      </c>
      <c r="F132" s="8" t="str">
        <f>"海南省儋州市"</f>
        <v>海南省儋州市</v>
      </c>
      <c r="G132" s="8" t="str">
        <f>"海口市龙华小学城南校区"</f>
        <v>海口市龙华小学城南校区</v>
      </c>
    </row>
    <row r="133" spans="1:7" ht="30" customHeight="1">
      <c r="A133" s="8">
        <v>131</v>
      </c>
      <c r="B133" s="8" t="str">
        <f>"28922021032710094013426"</f>
        <v>28922021032710094013426</v>
      </c>
      <c r="C133" s="8" t="s">
        <v>9</v>
      </c>
      <c r="D133" s="8" t="str">
        <f>"祁妍"</f>
        <v>祁妍</v>
      </c>
      <c r="E133" s="8" t="str">
        <f t="shared" si="6"/>
        <v>女</v>
      </c>
      <c r="F133" s="8" t="str">
        <f>"黑龙江省哈尔滨市巴彦县"</f>
        <v>黑龙江省哈尔滨市巴彦县</v>
      </c>
      <c r="G133" s="8" t="str">
        <f>"海口市海燕小学"</f>
        <v>海口市海燕小学</v>
      </c>
    </row>
    <row r="134" spans="1:7" ht="30" customHeight="1">
      <c r="A134" s="8">
        <v>132</v>
      </c>
      <c r="B134" s="8" t="str">
        <f>"28922021032710153713450"</f>
        <v>28922021032710153713450</v>
      </c>
      <c r="C134" s="8" t="s">
        <v>9</v>
      </c>
      <c r="D134" s="8" t="str">
        <f>"李小琴"</f>
        <v>李小琴</v>
      </c>
      <c r="E134" s="8" t="str">
        <f t="shared" si="6"/>
        <v>女</v>
      </c>
      <c r="F134" s="8" t="str">
        <f>"海南省澄迈县"</f>
        <v>海南省澄迈县</v>
      </c>
      <c r="G134" s="8" t="str">
        <f>"海口市秀峰实验学校"</f>
        <v>海口市秀峰实验学校</v>
      </c>
    </row>
    <row r="135" spans="1:7" ht="30" customHeight="1">
      <c r="A135" s="8">
        <v>133</v>
      </c>
      <c r="B135" s="8" t="str">
        <f>"28922021032710462313528"</f>
        <v>28922021032710462313528</v>
      </c>
      <c r="C135" s="8" t="s">
        <v>9</v>
      </c>
      <c r="D135" s="8" t="str">
        <f>"陈炯晴"</f>
        <v>陈炯晴</v>
      </c>
      <c r="E135" s="8" t="str">
        <f t="shared" si="6"/>
        <v>女</v>
      </c>
      <c r="F135" s="8" t="str">
        <f>"海南省万宁市"</f>
        <v>海南省万宁市</v>
      </c>
      <c r="G135" s="8" t="str">
        <f>"海口市第九小学"</f>
        <v>海口市第九小学</v>
      </c>
    </row>
    <row r="136" spans="1:7" ht="30" customHeight="1">
      <c r="A136" s="8">
        <v>134</v>
      </c>
      <c r="B136" s="8" t="str">
        <f>"28922021032711420013673"</f>
        <v>28922021032711420013673</v>
      </c>
      <c r="C136" s="8" t="s">
        <v>9</v>
      </c>
      <c r="D136" s="8" t="str">
        <f>"王海林"</f>
        <v>王海林</v>
      </c>
      <c r="E136" s="8" t="str">
        <f t="shared" si="6"/>
        <v>女</v>
      </c>
      <c r="F136" s="8" t="str">
        <f>"海南省海口市"</f>
        <v>海南省海口市</v>
      </c>
      <c r="G136" s="8" t="str">
        <f>"海口市海燕小学"</f>
        <v>海口市海燕小学</v>
      </c>
    </row>
    <row r="137" spans="1:7" ht="30" customHeight="1">
      <c r="A137" s="8">
        <v>135</v>
      </c>
      <c r="B137" s="8" t="str">
        <f>"28922021032714005013947"</f>
        <v>28922021032714005013947</v>
      </c>
      <c r="C137" s="8" t="s">
        <v>9</v>
      </c>
      <c r="D137" s="8" t="str">
        <f>"吴惠丽"</f>
        <v>吴惠丽</v>
      </c>
      <c r="E137" s="8" t="str">
        <f t="shared" si="6"/>
        <v>女</v>
      </c>
      <c r="F137" s="8" t="str">
        <f>"海南省海口市"</f>
        <v>海南省海口市</v>
      </c>
      <c r="G137" s="8" t="str">
        <f>"海口市第九小学"</f>
        <v>海口市第九小学</v>
      </c>
    </row>
    <row r="138" spans="1:7" ht="30" customHeight="1">
      <c r="A138" s="8">
        <v>136</v>
      </c>
      <c r="B138" s="8" t="str">
        <f>"28922021032714053813959"</f>
        <v>28922021032714053813959</v>
      </c>
      <c r="C138" s="8" t="s">
        <v>9</v>
      </c>
      <c r="D138" s="8" t="str">
        <f>"刘诗琪"</f>
        <v>刘诗琪</v>
      </c>
      <c r="E138" s="8" t="str">
        <f t="shared" si="6"/>
        <v>女</v>
      </c>
      <c r="F138" s="8" t="str">
        <f>"海南省海口市"</f>
        <v>海南省海口市</v>
      </c>
      <c r="G138" s="8" t="str">
        <f>"海南省农垦直属第二小学"</f>
        <v>海南省农垦直属第二小学</v>
      </c>
    </row>
    <row r="139" spans="1:7" ht="30" customHeight="1">
      <c r="A139" s="8">
        <v>137</v>
      </c>
      <c r="B139" s="8" t="str">
        <f>"28922021032714294113998"</f>
        <v>28922021032714294113998</v>
      </c>
      <c r="C139" s="8" t="s">
        <v>9</v>
      </c>
      <c r="D139" s="8" t="str">
        <f>"陈文婷"</f>
        <v>陈文婷</v>
      </c>
      <c r="E139" s="8" t="str">
        <f t="shared" si="6"/>
        <v>女</v>
      </c>
      <c r="F139" s="8" t="str">
        <f>"海南省海口市甸昆路11号甸昆教师村"</f>
        <v>海南省海口市甸昆路11号甸昆教师村</v>
      </c>
      <c r="G139" s="8" t="str">
        <f>"海口市第九小学"</f>
        <v>海口市第九小学</v>
      </c>
    </row>
    <row r="140" spans="1:7" ht="30" customHeight="1">
      <c r="A140" s="8">
        <v>138</v>
      </c>
      <c r="B140" s="8" t="str">
        <f>"28922021032715101014042"</f>
        <v>28922021032715101014042</v>
      </c>
      <c r="C140" s="8" t="s">
        <v>9</v>
      </c>
      <c r="D140" s="8" t="str">
        <f>"温雅"</f>
        <v>温雅</v>
      </c>
      <c r="E140" s="8" t="str">
        <f t="shared" si="6"/>
        <v>女</v>
      </c>
      <c r="F140" s="8" t="str">
        <f>"海南省澄迈县"</f>
        <v>海南省澄迈县</v>
      </c>
      <c r="G140" s="8" t="str">
        <f>"海口市第九小学"</f>
        <v>海口市第九小学</v>
      </c>
    </row>
    <row r="141" spans="1:7" ht="30" customHeight="1">
      <c r="A141" s="8">
        <v>139</v>
      </c>
      <c r="B141" s="8" t="str">
        <f>"28922021032716333014186"</f>
        <v>28922021032716333014186</v>
      </c>
      <c r="C141" s="8" t="s">
        <v>9</v>
      </c>
      <c r="D141" s="8" t="str">
        <f>"周炳菊"</f>
        <v>周炳菊</v>
      </c>
      <c r="E141" s="8" t="str">
        <f t="shared" si="6"/>
        <v>女</v>
      </c>
      <c r="F141" s="8" t="str">
        <f>"海南省东方市"</f>
        <v>海南省东方市</v>
      </c>
      <c r="G141" s="8" t="str">
        <f>"海口市海燕小学"</f>
        <v>海口市海燕小学</v>
      </c>
    </row>
    <row r="142" spans="1:7" ht="30" customHeight="1">
      <c r="A142" s="8">
        <v>140</v>
      </c>
      <c r="B142" s="8" t="str">
        <f>"28922021032718245914402"</f>
        <v>28922021032718245914402</v>
      </c>
      <c r="C142" s="8" t="s">
        <v>9</v>
      </c>
      <c r="D142" s="8" t="str">
        <f>"黄晓佳"</f>
        <v>黄晓佳</v>
      </c>
      <c r="E142" s="8" t="str">
        <f t="shared" si="6"/>
        <v>女</v>
      </c>
      <c r="F142" s="8" t="str">
        <f>"海南省万宁市"</f>
        <v>海南省万宁市</v>
      </c>
      <c r="G142" s="8" t="str">
        <f>"海口市海燕小学"</f>
        <v>海口市海燕小学</v>
      </c>
    </row>
    <row r="143" spans="1:7" ht="30" customHeight="1">
      <c r="A143" s="8">
        <v>141</v>
      </c>
      <c r="B143" s="8" t="str">
        <f>"28922021032718320414418"</f>
        <v>28922021032718320414418</v>
      </c>
      <c r="C143" s="8" t="s">
        <v>9</v>
      </c>
      <c r="D143" s="8" t="str">
        <f>"许邦权"</f>
        <v>许邦权</v>
      </c>
      <c r="E143" s="8" t="str">
        <f>"男"</f>
        <v>男</v>
      </c>
      <c r="F143" s="8" t="str">
        <f>"海南省文昌市"</f>
        <v>海南省文昌市</v>
      </c>
      <c r="G143" s="8" t="str">
        <f>"海口市城西小学"</f>
        <v>海口市城西小学</v>
      </c>
    </row>
    <row r="144" spans="1:7" ht="30" customHeight="1">
      <c r="A144" s="8">
        <v>142</v>
      </c>
      <c r="B144" s="8" t="str">
        <f>"28922021032718335614423"</f>
        <v>28922021032718335614423</v>
      </c>
      <c r="C144" s="8" t="s">
        <v>9</v>
      </c>
      <c r="D144" s="8" t="str">
        <f>"陈宜婷"</f>
        <v>陈宜婷</v>
      </c>
      <c r="E144" s="8" t="str">
        <f aca="true" t="shared" si="7" ref="E144:E153">"女"</f>
        <v>女</v>
      </c>
      <c r="F144" s="8" t="str">
        <f>"广东省汕头市"</f>
        <v>广东省汕头市</v>
      </c>
      <c r="G144" s="8" t="str">
        <f>"海口市第九小学"</f>
        <v>海口市第九小学</v>
      </c>
    </row>
    <row r="145" spans="1:7" ht="30" customHeight="1">
      <c r="A145" s="8">
        <v>143</v>
      </c>
      <c r="B145" s="8" t="str">
        <f>"28922021032719225314526"</f>
        <v>28922021032719225314526</v>
      </c>
      <c r="C145" s="8" t="s">
        <v>9</v>
      </c>
      <c r="D145" s="8" t="str">
        <f>"唐利利"</f>
        <v>唐利利</v>
      </c>
      <c r="E145" s="8" t="str">
        <f t="shared" si="7"/>
        <v>女</v>
      </c>
      <c r="F145" s="8" t="str">
        <f>"海南省儋州市"</f>
        <v>海南省儋州市</v>
      </c>
      <c r="G145" s="8" t="str">
        <f>"海南省农垦直属第二小学"</f>
        <v>海南省农垦直属第二小学</v>
      </c>
    </row>
    <row r="146" spans="1:7" ht="30" customHeight="1">
      <c r="A146" s="8">
        <v>144</v>
      </c>
      <c r="B146" s="8" t="str">
        <f>"28922021032719492714587"</f>
        <v>28922021032719492714587</v>
      </c>
      <c r="C146" s="8" t="s">
        <v>9</v>
      </c>
      <c r="D146" s="8" t="str">
        <f>"邹慧芳"</f>
        <v>邹慧芳</v>
      </c>
      <c r="E146" s="8" t="str">
        <f t="shared" si="7"/>
        <v>女</v>
      </c>
      <c r="F146" s="8" t="str">
        <f>"海南省临高县"</f>
        <v>海南省临高县</v>
      </c>
      <c r="G146" s="8" t="str">
        <f>"海口市海燕小学"</f>
        <v>海口市海燕小学</v>
      </c>
    </row>
    <row r="147" spans="1:7" ht="30" customHeight="1">
      <c r="A147" s="8">
        <v>145</v>
      </c>
      <c r="B147" s="8" t="str">
        <f>"28922021032720240314662"</f>
        <v>28922021032720240314662</v>
      </c>
      <c r="C147" s="8" t="s">
        <v>9</v>
      </c>
      <c r="D147" s="8" t="str">
        <f>"谢焮焮"</f>
        <v>谢焮焮</v>
      </c>
      <c r="E147" s="8" t="str">
        <f t="shared" si="7"/>
        <v>女</v>
      </c>
      <c r="F147" s="8" t="str">
        <f>"海南省澄迈县"</f>
        <v>海南省澄迈县</v>
      </c>
      <c r="G147" s="8" t="str">
        <f>"海口市海燕小学"</f>
        <v>海口市海燕小学</v>
      </c>
    </row>
    <row r="148" spans="1:7" ht="30" customHeight="1">
      <c r="A148" s="8">
        <v>146</v>
      </c>
      <c r="B148" s="8" t="str">
        <f>"28922021032720272714665"</f>
        <v>28922021032720272714665</v>
      </c>
      <c r="C148" s="8" t="s">
        <v>9</v>
      </c>
      <c r="D148" s="8" t="str">
        <f>"吴淑亲"</f>
        <v>吴淑亲</v>
      </c>
      <c r="E148" s="8" t="str">
        <f t="shared" si="7"/>
        <v>女</v>
      </c>
      <c r="F148" s="8" t="str">
        <f>"海南省澄迈县"</f>
        <v>海南省澄迈县</v>
      </c>
      <c r="G148" s="8" t="str">
        <f>"海口市海燕小学"</f>
        <v>海口市海燕小学</v>
      </c>
    </row>
    <row r="149" spans="1:7" ht="30" customHeight="1">
      <c r="A149" s="8">
        <v>147</v>
      </c>
      <c r="B149" s="8" t="str">
        <f>"28922021032720571514748"</f>
        <v>28922021032720571514748</v>
      </c>
      <c r="C149" s="8" t="s">
        <v>9</v>
      </c>
      <c r="D149" s="8" t="str">
        <f>"朱乔滟"</f>
        <v>朱乔滟</v>
      </c>
      <c r="E149" s="8" t="str">
        <f t="shared" si="7"/>
        <v>女</v>
      </c>
      <c r="F149" s="8" t="str">
        <f>"海南省文昌市"</f>
        <v>海南省文昌市</v>
      </c>
      <c r="G149" s="8" t="str">
        <f>"海口市秀峰实验学校"</f>
        <v>海口市秀峰实验学校</v>
      </c>
    </row>
    <row r="150" spans="1:7" ht="30" customHeight="1">
      <c r="A150" s="8">
        <v>148</v>
      </c>
      <c r="B150" s="8" t="str">
        <f>"28922021032722092314948"</f>
        <v>28922021032722092314948</v>
      </c>
      <c r="C150" s="8" t="s">
        <v>9</v>
      </c>
      <c r="D150" s="8" t="str">
        <f>"王华玲"</f>
        <v>王华玲</v>
      </c>
      <c r="E150" s="8" t="str">
        <f t="shared" si="7"/>
        <v>女</v>
      </c>
      <c r="F150" s="8" t="str">
        <f>"海南省儋州市王五镇"</f>
        <v>海南省儋州市王五镇</v>
      </c>
      <c r="G150" s="8" t="str">
        <f>"海口市海燕小学"</f>
        <v>海口市海燕小学</v>
      </c>
    </row>
    <row r="151" spans="1:7" ht="30" customHeight="1">
      <c r="A151" s="8">
        <v>149</v>
      </c>
      <c r="B151" s="8" t="str">
        <f>"28922021032800161815251"</f>
        <v>28922021032800161815251</v>
      </c>
      <c r="C151" s="8" t="s">
        <v>9</v>
      </c>
      <c r="D151" s="8" t="str">
        <f>"黄玉春"</f>
        <v>黄玉春</v>
      </c>
      <c r="E151" s="8" t="str">
        <f t="shared" si="7"/>
        <v>女</v>
      </c>
      <c r="F151" s="8" t="str">
        <f>"海南省海口市"</f>
        <v>海南省海口市</v>
      </c>
      <c r="G151" s="8" t="str">
        <f>"海口市海燕小学"</f>
        <v>海口市海燕小学</v>
      </c>
    </row>
    <row r="152" spans="1:7" ht="30" customHeight="1">
      <c r="A152" s="8">
        <v>150</v>
      </c>
      <c r="B152" s="8" t="str">
        <f>"28922021032810485515722"</f>
        <v>28922021032810485515722</v>
      </c>
      <c r="C152" s="8" t="s">
        <v>9</v>
      </c>
      <c r="D152" s="8" t="str">
        <f>"符霜瑜"</f>
        <v>符霜瑜</v>
      </c>
      <c r="E152" s="8" t="str">
        <f t="shared" si="7"/>
        <v>女</v>
      </c>
      <c r="F152" s="8" t="str">
        <f>"海南万宁"</f>
        <v>海南万宁</v>
      </c>
      <c r="G152" s="8" t="str">
        <f>"海口市海燕小学"</f>
        <v>海口市海燕小学</v>
      </c>
    </row>
    <row r="153" spans="1:7" ht="30" customHeight="1">
      <c r="A153" s="8">
        <v>151</v>
      </c>
      <c r="B153" s="8" t="str">
        <f>"28922021032811025915765"</f>
        <v>28922021032811025915765</v>
      </c>
      <c r="C153" s="8" t="s">
        <v>9</v>
      </c>
      <c r="D153" s="8" t="str">
        <f>"欧阳文婷"</f>
        <v>欧阳文婷</v>
      </c>
      <c r="E153" s="8" t="str">
        <f t="shared" si="7"/>
        <v>女</v>
      </c>
      <c r="F153" s="8" t="str">
        <f>"江西省吉安市吉州区白塘街道"</f>
        <v>江西省吉安市吉州区白塘街道</v>
      </c>
      <c r="G153" s="8" t="str">
        <f>"海口市西湖实验学校"</f>
        <v>海口市西湖实验学校</v>
      </c>
    </row>
    <row r="154" spans="1:7" ht="30" customHeight="1">
      <c r="A154" s="8">
        <v>152</v>
      </c>
      <c r="B154" s="8" t="str">
        <f>"28922021032811105315792"</f>
        <v>28922021032811105315792</v>
      </c>
      <c r="C154" s="8" t="s">
        <v>9</v>
      </c>
      <c r="D154" s="8" t="str">
        <f>"符加卫"</f>
        <v>符加卫</v>
      </c>
      <c r="E154" s="8" t="str">
        <f>"男"</f>
        <v>男</v>
      </c>
      <c r="F154" s="8" t="str">
        <f>"海南东方"</f>
        <v>海南东方</v>
      </c>
      <c r="G154" s="8" t="str">
        <f>"海口市秀峰实验学校"</f>
        <v>海口市秀峰实验学校</v>
      </c>
    </row>
    <row r="155" spans="1:7" ht="30" customHeight="1">
      <c r="A155" s="8">
        <v>153</v>
      </c>
      <c r="B155" s="8" t="str">
        <f>"28922021032811280415848"</f>
        <v>28922021032811280415848</v>
      </c>
      <c r="C155" s="8" t="s">
        <v>9</v>
      </c>
      <c r="D155" s="8" t="str">
        <f>"魏雨时"</f>
        <v>魏雨时</v>
      </c>
      <c r="E155" s="8" t="str">
        <f aca="true" t="shared" si="8" ref="E155:E187">"女"</f>
        <v>女</v>
      </c>
      <c r="F155" s="8" t="str">
        <f>"辽宁省锦州市北镇市"</f>
        <v>辽宁省锦州市北镇市</v>
      </c>
      <c r="G155" s="8" t="str">
        <f>"海口市海燕小学"</f>
        <v>海口市海燕小学</v>
      </c>
    </row>
    <row r="156" spans="1:7" ht="30" customHeight="1">
      <c r="A156" s="8">
        <v>154</v>
      </c>
      <c r="B156" s="8" t="str">
        <f>"28922021032812112415984"</f>
        <v>28922021032812112415984</v>
      </c>
      <c r="C156" s="8" t="s">
        <v>9</v>
      </c>
      <c r="D156" s="8" t="str">
        <f>"刘淑艳"</f>
        <v>刘淑艳</v>
      </c>
      <c r="E156" s="8" t="str">
        <f t="shared" si="8"/>
        <v>女</v>
      </c>
      <c r="F156" s="8" t="str">
        <f>"海南省儋州市"</f>
        <v>海南省儋州市</v>
      </c>
      <c r="G156" s="8" t="str">
        <f>"海口市第九小学"</f>
        <v>海口市第九小学</v>
      </c>
    </row>
    <row r="157" spans="1:7" ht="30" customHeight="1">
      <c r="A157" s="8">
        <v>155</v>
      </c>
      <c r="B157" s="8" t="str">
        <f>"28922021032813112116137"</f>
        <v>28922021032813112116137</v>
      </c>
      <c r="C157" s="8" t="s">
        <v>9</v>
      </c>
      <c r="D157" s="8" t="str">
        <f>"廖正莉"</f>
        <v>廖正莉</v>
      </c>
      <c r="E157" s="8" t="str">
        <f t="shared" si="8"/>
        <v>女</v>
      </c>
      <c r="F157" s="8" t="str">
        <f>"海南省万宁市"</f>
        <v>海南省万宁市</v>
      </c>
      <c r="G157" s="8" t="str">
        <f>"海口市秀峰实验学校"</f>
        <v>海口市秀峰实验学校</v>
      </c>
    </row>
    <row r="158" spans="1:7" ht="30" customHeight="1">
      <c r="A158" s="8">
        <v>156</v>
      </c>
      <c r="B158" s="8" t="str">
        <f>"28922021032813394716220"</f>
        <v>28922021032813394716220</v>
      </c>
      <c r="C158" s="8" t="s">
        <v>9</v>
      </c>
      <c r="D158" s="8" t="str">
        <f>"张秋香"</f>
        <v>张秋香</v>
      </c>
      <c r="E158" s="8" t="str">
        <f t="shared" si="8"/>
        <v>女</v>
      </c>
      <c r="F158" s="8" t="str">
        <f>"海南省儋州市"</f>
        <v>海南省儋州市</v>
      </c>
      <c r="G158" s="8" t="str">
        <f>"海口市第二十六小学"</f>
        <v>海口市第二十六小学</v>
      </c>
    </row>
    <row r="159" spans="1:7" ht="30" customHeight="1">
      <c r="A159" s="8">
        <v>157</v>
      </c>
      <c r="B159" s="8" t="str">
        <f>"28922021032815105316498"</f>
        <v>28922021032815105316498</v>
      </c>
      <c r="C159" s="8" t="s">
        <v>9</v>
      </c>
      <c r="D159" s="8" t="str">
        <f>"王紫雯"</f>
        <v>王紫雯</v>
      </c>
      <c r="E159" s="8" t="str">
        <f t="shared" si="8"/>
        <v>女</v>
      </c>
      <c r="F159" s="8" t="str">
        <f>"海南省海口市"</f>
        <v>海南省海口市</v>
      </c>
      <c r="G159" s="8" t="str">
        <f>"海口市金盘实验学校"</f>
        <v>海口市金盘实验学校</v>
      </c>
    </row>
    <row r="160" spans="1:7" ht="30" customHeight="1">
      <c r="A160" s="8">
        <v>158</v>
      </c>
      <c r="B160" s="8" t="str">
        <f>"28922021032816083116670"</f>
        <v>28922021032816083116670</v>
      </c>
      <c r="C160" s="8" t="s">
        <v>9</v>
      </c>
      <c r="D160" s="8" t="str">
        <f>"陈奕然"</f>
        <v>陈奕然</v>
      </c>
      <c r="E160" s="8" t="str">
        <f t="shared" si="8"/>
        <v>女</v>
      </c>
      <c r="F160" s="8" t="str">
        <f>"海南海口"</f>
        <v>海南海口</v>
      </c>
      <c r="G160" s="8" t="str">
        <f>"海口市西湖实验学校"</f>
        <v>海口市西湖实验学校</v>
      </c>
    </row>
    <row r="161" spans="1:7" ht="30" customHeight="1">
      <c r="A161" s="8">
        <v>159</v>
      </c>
      <c r="B161" s="8" t="str">
        <f>"28922021032817551116932"</f>
        <v>28922021032817551116932</v>
      </c>
      <c r="C161" s="8" t="s">
        <v>9</v>
      </c>
      <c r="D161" s="8" t="str">
        <f>"陈佩"</f>
        <v>陈佩</v>
      </c>
      <c r="E161" s="8" t="str">
        <f t="shared" si="8"/>
        <v>女</v>
      </c>
      <c r="F161" s="8" t="str">
        <f>"湖北省红安县"</f>
        <v>湖北省红安县</v>
      </c>
      <c r="G161" s="8" t="str">
        <f>"海口市秀峰实验学校"</f>
        <v>海口市秀峰实验学校</v>
      </c>
    </row>
    <row r="162" spans="1:7" ht="30" customHeight="1">
      <c r="A162" s="8">
        <v>160</v>
      </c>
      <c r="B162" s="8" t="str">
        <f>"28922021032818274716993"</f>
        <v>28922021032818274716993</v>
      </c>
      <c r="C162" s="8" t="s">
        <v>9</v>
      </c>
      <c r="D162" s="8" t="str">
        <f>"符树婷"</f>
        <v>符树婷</v>
      </c>
      <c r="E162" s="8" t="str">
        <f t="shared" si="8"/>
        <v>女</v>
      </c>
      <c r="F162" s="8" t="str">
        <f>"海南省白沙黎族自治县"</f>
        <v>海南省白沙黎族自治县</v>
      </c>
      <c r="G162" s="8" t="str">
        <f>"海口市海燕小学"</f>
        <v>海口市海燕小学</v>
      </c>
    </row>
    <row r="163" spans="1:7" ht="30" customHeight="1">
      <c r="A163" s="8">
        <v>161</v>
      </c>
      <c r="B163" s="8" t="str">
        <f>"28922021032819133517079"</f>
        <v>28922021032819133517079</v>
      </c>
      <c r="C163" s="8" t="s">
        <v>9</v>
      </c>
      <c r="D163" s="8" t="str">
        <f>"洪慧欣"</f>
        <v>洪慧欣</v>
      </c>
      <c r="E163" s="8" t="str">
        <f t="shared" si="8"/>
        <v>女</v>
      </c>
      <c r="F163" s="8" t="str">
        <f>"海南海口"</f>
        <v>海南海口</v>
      </c>
      <c r="G163" s="8" t="str">
        <f>"海口市第二十六小学"</f>
        <v>海口市第二十六小学</v>
      </c>
    </row>
    <row r="164" spans="1:7" ht="30" customHeight="1">
      <c r="A164" s="8">
        <v>162</v>
      </c>
      <c r="B164" s="8" t="str">
        <f>"28922021032820243117245"</f>
        <v>28922021032820243117245</v>
      </c>
      <c r="C164" s="8" t="s">
        <v>9</v>
      </c>
      <c r="D164" s="8" t="str">
        <f>"李袁晨馨"</f>
        <v>李袁晨馨</v>
      </c>
      <c r="E164" s="8" t="str">
        <f t="shared" si="8"/>
        <v>女</v>
      </c>
      <c r="F164" s="8" t="str">
        <f>"海南省定安县"</f>
        <v>海南省定安县</v>
      </c>
      <c r="G164" s="8" t="str">
        <f>"海口市海燕小学"</f>
        <v>海口市海燕小学</v>
      </c>
    </row>
    <row r="165" spans="1:7" ht="30" customHeight="1">
      <c r="A165" s="8">
        <v>163</v>
      </c>
      <c r="B165" s="8" t="str">
        <f>"28922021032900161817791"</f>
        <v>28922021032900161817791</v>
      </c>
      <c r="C165" s="8" t="s">
        <v>9</v>
      </c>
      <c r="D165" s="8" t="str">
        <f>"江琪琪"</f>
        <v>江琪琪</v>
      </c>
      <c r="E165" s="8" t="str">
        <f t="shared" si="8"/>
        <v>女</v>
      </c>
      <c r="F165" s="8" t="str">
        <f>"海南省陵水县"</f>
        <v>海南省陵水县</v>
      </c>
      <c r="G165" s="8" t="str">
        <f>"海口市海燕小学"</f>
        <v>海口市海燕小学</v>
      </c>
    </row>
    <row r="166" spans="1:7" ht="30" customHeight="1">
      <c r="A166" s="8">
        <v>164</v>
      </c>
      <c r="B166" s="8" t="str">
        <f>"28922021032910383119483"</f>
        <v>28922021032910383119483</v>
      </c>
      <c r="C166" s="8" t="s">
        <v>9</v>
      </c>
      <c r="D166" s="8" t="str">
        <f>"王丹"</f>
        <v>王丹</v>
      </c>
      <c r="E166" s="8" t="str">
        <f t="shared" si="8"/>
        <v>女</v>
      </c>
      <c r="F166" s="8" t="str">
        <f>"海南省澄迈县"</f>
        <v>海南省澄迈县</v>
      </c>
      <c r="G166" s="8" t="str">
        <f>"海口市第二十六小学"</f>
        <v>海口市第二十六小学</v>
      </c>
    </row>
    <row r="167" spans="1:7" ht="30" customHeight="1">
      <c r="A167" s="8">
        <v>165</v>
      </c>
      <c r="B167" s="8" t="str">
        <f>"28922021032911133019874"</f>
        <v>28922021032911133019874</v>
      </c>
      <c r="C167" s="8" t="s">
        <v>9</v>
      </c>
      <c r="D167" s="8" t="str">
        <f>"陈晨"</f>
        <v>陈晨</v>
      </c>
      <c r="E167" s="8" t="str">
        <f t="shared" si="8"/>
        <v>女</v>
      </c>
      <c r="F167" s="8" t="str">
        <f>"海南三亚"</f>
        <v>海南三亚</v>
      </c>
      <c r="G167" s="8" t="str">
        <f>"海口市第九小学"</f>
        <v>海口市第九小学</v>
      </c>
    </row>
    <row r="168" spans="1:7" ht="30" customHeight="1">
      <c r="A168" s="8">
        <v>166</v>
      </c>
      <c r="B168" s="8" t="str">
        <f>"28922021032912053220304"</f>
        <v>28922021032912053220304</v>
      </c>
      <c r="C168" s="8" t="s">
        <v>9</v>
      </c>
      <c r="D168" s="8" t="str">
        <f>"李昭仪"</f>
        <v>李昭仪</v>
      </c>
      <c r="E168" s="8" t="str">
        <f t="shared" si="8"/>
        <v>女</v>
      </c>
      <c r="F168" s="8" t="str">
        <f>"海南省海口市"</f>
        <v>海南省海口市</v>
      </c>
      <c r="G168" s="8" t="str">
        <f>"海口市海燕小学"</f>
        <v>海口市海燕小学</v>
      </c>
    </row>
    <row r="169" spans="1:7" ht="30" customHeight="1">
      <c r="A169" s="8">
        <v>167</v>
      </c>
      <c r="B169" s="8" t="str">
        <f>"28922021032913293920728"</f>
        <v>28922021032913293920728</v>
      </c>
      <c r="C169" s="8" t="s">
        <v>9</v>
      </c>
      <c r="D169" s="8" t="str">
        <f>"周大英"</f>
        <v>周大英</v>
      </c>
      <c r="E169" s="8" t="str">
        <f t="shared" si="8"/>
        <v>女</v>
      </c>
      <c r="F169" s="8" t="str">
        <f>"海南省儋州市"</f>
        <v>海南省儋州市</v>
      </c>
      <c r="G169" s="8" t="str">
        <f>"海口市海燕小学"</f>
        <v>海口市海燕小学</v>
      </c>
    </row>
    <row r="170" spans="1:7" ht="30" customHeight="1">
      <c r="A170" s="8">
        <v>168</v>
      </c>
      <c r="B170" s="8" t="str">
        <f>"28922021032914164720940"</f>
        <v>28922021032914164720940</v>
      </c>
      <c r="C170" s="8" t="s">
        <v>9</v>
      </c>
      <c r="D170" s="8" t="str">
        <f>"王晓晓"</f>
        <v>王晓晓</v>
      </c>
      <c r="E170" s="8" t="str">
        <f t="shared" si="8"/>
        <v>女</v>
      </c>
      <c r="F170" s="8" t="str">
        <f>"海南省万宁市"</f>
        <v>海南省万宁市</v>
      </c>
      <c r="G170" s="8" t="str">
        <f>"海口市西湖实验学校"</f>
        <v>海口市西湖实验学校</v>
      </c>
    </row>
    <row r="171" spans="1:7" ht="30" customHeight="1">
      <c r="A171" s="8">
        <v>169</v>
      </c>
      <c r="B171" s="8" t="str">
        <f>"28922021032914342621012"</f>
        <v>28922021032914342621012</v>
      </c>
      <c r="C171" s="8" t="s">
        <v>9</v>
      </c>
      <c r="D171" s="8" t="str">
        <f>"李云燕"</f>
        <v>李云燕</v>
      </c>
      <c r="E171" s="8" t="str">
        <f t="shared" si="8"/>
        <v>女</v>
      </c>
      <c r="F171" s="8" t="str">
        <f>"海南省万宁市万城镇"</f>
        <v>海南省万宁市万城镇</v>
      </c>
      <c r="G171" s="8" t="str">
        <f>"海口市秀峰实验学校"</f>
        <v>海口市秀峰实验学校</v>
      </c>
    </row>
    <row r="172" spans="1:7" ht="30" customHeight="1">
      <c r="A172" s="8">
        <v>170</v>
      </c>
      <c r="B172" s="8" t="str">
        <f>"28922021032916020721668"</f>
        <v>28922021032916020721668</v>
      </c>
      <c r="C172" s="8" t="s">
        <v>9</v>
      </c>
      <c r="D172" s="8" t="str">
        <f>"吴燕南"</f>
        <v>吴燕南</v>
      </c>
      <c r="E172" s="8" t="str">
        <f t="shared" si="8"/>
        <v>女</v>
      </c>
      <c r="F172" s="8" t="str">
        <f>"海南省儋州市"</f>
        <v>海南省儋州市</v>
      </c>
      <c r="G172" s="8" t="str">
        <f>"海口市秀峰实验学校"</f>
        <v>海口市秀峰实验学校</v>
      </c>
    </row>
    <row r="173" spans="1:7" ht="30" customHeight="1">
      <c r="A173" s="8">
        <v>171</v>
      </c>
      <c r="B173" s="8" t="str">
        <f>"28922021032918132122373"</f>
        <v>28922021032918132122373</v>
      </c>
      <c r="C173" s="8" t="s">
        <v>9</v>
      </c>
      <c r="D173" s="8" t="str">
        <f>"李婷"</f>
        <v>李婷</v>
      </c>
      <c r="E173" s="8" t="str">
        <f t="shared" si="8"/>
        <v>女</v>
      </c>
      <c r="F173" s="8" t="str">
        <f>"海南省海口市"</f>
        <v>海南省海口市</v>
      </c>
      <c r="G173" s="8" t="str">
        <f>"海口市西湖实验学校"</f>
        <v>海口市西湖实验学校</v>
      </c>
    </row>
    <row r="174" spans="1:7" ht="30" customHeight="1">
      <c r="A174" s="8">
        <v>172</v>
      </c>
      <c r="B174" s="8" t="str">
        <f>"28922021032918432622477"</f>
        <v>28922021032918432622477</v>
      </c>
      <c r="C174" s="8" t="s">
        <v>9</v>
      </c>
      <c r="D174" s="8" t="str">
        <f>"梁富容"</f>
        <v>梁富容</v>
      </c>
      <c r="E174" s="8" t="str">
        <f t="shared" si="8"/>
        <v>女</v>
      </c>
      <c r="F174" s="8" t="str">
        <f>"海南东方"</f>
        <v>海南东方</v>
      </c>
      <c r="G174" s="8" t="str">
        <f>"海口市海燕小学"</f>
        <v>海口市海燕小学</v>
      </c>
    </row>
    <row r="175" spans="1:7" ht="30" customHeight="1">
      <c r="A175" s="8">
        <v>173</v>
      </c>
      <c r="B175" s="8" t="str">
        <f>"28922021032919083322564"</f>
        <v>28922021032919083322564</v>
      </c>
      <c r="C175" s="8" t="s">
        <v>9</v>
      </c>
      <c r="D175" s="8" t="str">
        <f>"曾瑞琳"</f>
        <v>曾瑞琳</v>
      </c>
      <c r="E175" s="8" t="str">
        <f t="shared" si="8"/>
        <v>女</v>
      </c>
      <c r="F175" s="8" t="str">
        <f>"海南省儋州市"</f>
        <v>海南省儋州市</v>
      </c>
      <c r="G175" s="8" t="str">
        <f>"海口市海燕小学"</f>
        <v>海口市海燕小学</v>
      </c>
    </row>
    <row r="176" spans="1:7" ht="30" customHeight="1">
      <c r="A176" s="8">
        <v>174</v>
      </c>
      <c r="B176" s="8" t="str">
        <f>"28922021032922102423407"</f>
        <v>28922021032922102423407</v>
      </c>
      <c r="C176" s="8" t="s">
        <v>9</v>
      </c>
      <c r="D176" s="8" t="str">
        <f>"符青舒"</f>
        <v>符青舒</v>
      </c>
      <c r="E176" s="8" t="str">
        <f t="shared" si="8"/>
        <v>女</v>
      </c>
      <c r="F176" s="8" t="str">
        <f>"海南东方"</f>
        <v>海南东方</v>
      </c>
      <c r="G176" s="8" t="str">
        <f>"海口市海燕小学"</f>
        <v>海口市海燕小学</v>
      </c>
    </row>
    <row r="177" spans="1:7" ht="30" customHeight="1">
      <c r="A177" s="8">
        <v>175</v>
      </c>
      <c r="B177" s="8" t="str">
        <f>"28922021033000224123764"</f>
        <v>28922021033000224123764</v>
      </c>
      <c r="C177" s="8" t="s">
        <v>9</v>
      </c>
      <c r="D177" s="8" t="str">
        <f>"魏菁秀"</f>
        <v>魏菁秀</v>
      </c>
      <c r="E177" s="8" t="str">
        <f t="shared" si="8"/>
        <v>女</v>
      </c>
      <c r="F177" s="8" t="str">
        <f>"海南海口"</f>
        <v>海南海口</v>
      </c>
      <c r="G177" s="8" t="str">
        <f>"海口市西湖实验学校"</f>
        <v>海口市西湖实验学校</v>
      </c>
    </row>
    <row r="178" spans="1:7" ht="30" customHeight="1">
      <c r="A178" s="8">
        <v>176</v>
      </c>
      <c r="B178" s="8" t="str">
        <f>"28922021033011453724968"</f>
        <v>28922021033011453724968</v>
      </c>
      <c r="C178" s="8" t="s">
        <v>9</v>
      </c>
      <c r="D178" s="8" t="str">
        <f>"郭菲"</f>
        <v>郭菲</v>
      </c>
      <c r="E178" s="8" t="str">
        <f t="shared" si="8"/>
        <v>女</v>
      </c>
      <c r="F178" s="8" t="str">
        <f>"四川省巴中市"</f>
        <v>四川省巴中市</v>
      </c>
      <c r="G178" s="8" t="str">
        <f>"海口市第九小学"</f>
        <v>海口市第九小学</v>
      </c>
    </row>
    <row r="179" spans="1:7" ht="30" customHeight="1">
      <c r="A179" s="8">
        <v>177</v>
      </c>
      <c r="B179" s="8" t="str">
        <f>"28922021033013134425300"</f>
        <v>28922021033013134425300</v>
      </c>
      <c r="C179" s="8" t="s">
        <v>9</v>
      </c>
      <c r="D179" s="8" t="str">
        <f>"符春庭"</f>
        <v>符春庭</v>
      </c>
      <c r="E179" s="8" t="str">
        <f t="shared" si="8"/>
        <v>女</v>
      </c>
      <c r="F179" s="8" t="str">
        <f>"海南省东方市"</f>
        <v>海南省东方市</v>
      </c>
      <c r="G179" s="8" t="str">
        <f>"海口市秀峰实验学校"</f>
        <v>海口市秀峰实验学校</v>
      </c>
    </row>
    <row r="180" spans="1:7" s="3" customFormat="1" ht="30" customHeight="1">
      <c r="A180" s="10">
        <v>178</v>
      </c>
      <c r="B180" s="11" t="str">
        <f>"28922021033016211825986"</f>
        <v>28922021033016211825986</v>
      </c>
      <c r="C180" s="11" t="s">
        <v>9</v>
      </c>
      <c r="D180" s="11" t="str">
        <f>"文妙柔"</f>
        <v>文妙柔</v>
      </c>
      <c r="E180" s="11" t="str">
        <f t="shared" si="8"/>
        <v>女</v>
      </c>
      <c r="F180" s="11" t="str">
        <f>"海南省乐东县"</f>
        <v>海南省乐东县</v>
      </c>
      <c r="G180" s="11" t="str">
        <f>"海口市海燕小学"</f>
        <v>海口市海燕小学</v>
      </c>
    </row>
    <row r="181" spans="1:7" ht="30" customHeight="1">
      <c r="A181" s="8">
        <v>179</v>
      </c>
      <c r="B181" s="8" t="str">
        <f>"28922021033018051826346"</f>
        <v>28922021033018051826346</v>
      </c>
      <c r="C181" s="8" t="s">
        <v>9</v>
      </c>
      <c r="D181" s="8" t="str">
        <f>"李姝颐"</f>
        <v>李姝颐</v>
      </c>
      <c r="E181" s="8" t="str">
        <f t="shared" si="8"/>
        <v>女</v>
      </c>
      <c r="F181" s="8" t="str">
        <f>"黑龙江省大庆市"</f>
        <v>黑龙江省大庆市</v>
      </c>
      <c r="G181" s="8" t="str">
        <f>"海口市海燕小学"</f>
        <v>海口市海燕小学</v>
      </c>
    </row>
    <row r="182" spans="1:7" ht="30" customHeight="1">
      <c r="A182" s="8">
        <v>180</v>
      </c>
      <c r="B182" s="8" t="str">
        <f>"28922021033019580726637"</f>
        <v>28922021033019580726637</v>
      </c>
      <c r="C182" s="8" t="s">
        <v>9</v>
      </c>
      <c r="D182" s="8" t="str">
        <f>"刘小妹"</f>
        <v>刘小妹</v>
      </c>
      <c r="E182" s="8" t="str">
        <f t="shared" si="8"/>
        <v>女</v>
      </c>
      <c r="F182" s="8" t="str">
        <f>"海南省万宁市"</f>
        <v>海南省万宁市</v>
      </c>
      <c r="G182" s="8" t="str">
        <f>"海口市海燕小学"</f>
        <v>海口市海燕小学</v>
      </c>
    </row>
    <row r="183" spans="1:7" ht="30" customHeight="1">
      <c r="A183" s="8">
        <v>181</v>
      </c>
      <c r="B183" s="8" t="str">
        <f>"28922021033021503027019"</f>
        <v>28922021033021503027019</v>
      </c>
      <c r="C183" s="8" t="s">
        <v>9</v>
      </c>
      <c r="D183" s="8" t="str">
        <f>"梁乔惠"</f>
        <v>梁乔惠</v>
      </c>
      <c r="E183" s="8" t="str">
        <f t="shared" si="8"/>
        <v>女</v>
      </c>
      <c r="F183" s="8" t="str">
        <f>"海南省儋州市国营西联农场"</f>
        <v>海南省儋州市国营西联农场</v>
      </c>
      <c r="G183" s="8" t="str">
        <f>"海口市第九小学"</f>
        <v>海口市第九小学</v>
      </c>
    </row>
    <row r="184" spans="1:7" ht="30" customHeight="1">
      <c r="A184" s="8">
        <v>182</v>
      </c>
      <c r="B184" s="8" t="str">
        <f>"28922021033023174527295"</f>
        <v>28922021033023174527295</v>
      </c>
      <c r="C184" s="8" t="s">
        <v>9</v>
      </c>
      <c r="D184" s="8" t="str">
        <f>"吴雪芳"</f>
        <v>吴雪芳</v>
      </c>
      <c r="E184" s="8" t="str">
        <f t="shared" si="8"/>
        <v>女</v>
      </c>
      <c r="F184" s="8" t="str">
        <f>"海南海口"</f>
        <v>海南海口</v>
      </c>
      <c r="G184" s="8" t="str">
        <f>"海口市城西小学"</f>
        <v>海口市城西小学</v>
      </c>
    </row>
    <row r="185" spans="1:7" ht="30" customHeight="1">
      <c r="A185" s="8">
        <v>183</v>
      </c>
      <c r="B185" s="8" t="str">
        <f>"28922021033110123227949"</f>
        <v>28922021033110123227949</v>
      </c>
      <c r="C185" s="8" t="s">
        <v>9</v>
      </c>
      <c r="D185" s="8" t="str">
        <f>"周婧"</f>
        <v>周婧</v>
      </c>
      <c r="E185" s="8" t="str">
        <f t="shared" si="8"/>
        <v>女</v>
      </c>
      <c r="F185" s="8" t="str">
        <f>"海南省乐东县"</f>
        <v>海南省乐东县</v>
      </c>
      <c r="G185" s="8" t="str">
        <f>"海口市第九小学"</f>
        <v>海口市第九小学</v>
      </c>
    </row>
    <row r="186" spans="1:7" ht="30" customHeight="1">
      <c r="A186" s="8">
        <v>184</v>
      </c>
      <c r="B186" s="8" t="str">
        <f>"28922021033111200428285"</f>
        <v>28922021033111200428285</v>
      </c>
      <c r="C186" s="8" t="s">
        <v>9</v>
      </c>
      <c r="D186" s="8" t="str">
        <f>"赵丽君"</f>
        <v>赵丽君</v>
      </c>
      <c r="E186" s="8" t="str">
        <f t="shared" si="8"/>
        <v>女</v>
      </c>
      <c r="F186" s="8" t="str">
        <f>"河南省新蔡县"</f>
        <v>河南省新蔡县</v>
      </c>
      <c r="G186" s="8" t="str">
        <f>"海口市秀峰实验学校"</f>
        <v>海口市秀峰实验学校</v>
      </c>
    </row>
    <row r="187" spans="1:7" ht="30" customHeight="1">
      <c r="A187" s="8">
        <v>185</v>
      </c>
      <c r="B187" s="8" t="str">
        <f>"28922021033111240428306"</f>
        <v>28922021033111240428306</v>
      </c>
      <c r="C187" s="8" t="s">
        <v>9</v>
      </c>
      <c r="D187" s="8" t="str">
        <f>"许宜帆"</f>
        <v>许宜帆</v>
      </c>
      <c r="E187" s="8" t="str">
        <f t="shared" si="8"/>
        <v>女</v>
      </c>
      <c r="F187" s="8" t="str">
        <f>"黑龙江省密山市八五七农场"</f>
        <v>黑龙江省密山市八五七农场</v>
      </c>
      <c r="G187" s="8" t="str">
        <f>"海口市第九小学"</f>
        <v>海口市第九小学</v>
      </c>
    </row>
    <row r="188" spans="1:7" ht="30" customHeight="1">
      <c r="A188" s="8">
        <v>186</v>
      </c>
      <c r="B188" s="8" t="str">
        <f>"28922021033111333328350"</f>
        <v>28922021033111333328350</v>
      </c>
      <c r="C188" s="8" t="s">
        <v>9</v>
      </c>
      <c r="D188" s="8" t="str">
        <f>"马忠孔"</f>
        <v>马忠孔</v>
      </c>
      <c r="E188" s="8" t="str">
        <f>"男"</f>
        <v>男</v>
      </c>
      <c r="F188" s="8" t="str">
        <f>"海南省海口市"</f>
        <v>海南省海口市</v>
      </c>
      <c r="G188" s="8" t="str">
        <f>"海口市第二十六小学"</f>
        <v>海口市第二十六小学</v>
      </c>
    </row>
    <row r="189" spans="1:7" ht="30" customHeight="1">
      <c r="A189" s="8">
        <v>187</v>
      </c>
      <c r="B189" s="8" t="str">
        <f>"28922021033112123128457"</f>
        <v>28922021033112123128457</v>
      </c>
      <c r="C189" s="8" t="s">
        <v>9</v>
      </c>
      <c r="D189" s="8" t="str">
        <f>"邓玉娜"</f>
        <v>邓玉娜</v>
      </c>
      <c r="E189" s="8" t="str">
        <f>"女"</f>
        <v>女</v>
      </c>
      <c r="F189" s="8" t="str">
        <f>"海南省万宁市长丰镇"</f>
        <v>海南省万宁市长丰镇</v>
      </c>
      <c r="G189" s="8" t="str">
        <f>"海口市海燕小学"</f>
        <v>海口市海燕小学</v>
      </c>
    </row>
    <row r="190" spans="1:7" ht="30" customHeight="1">
      <c r="A190" s="8">
        <v>188</v>
      </c>
      <c r="B190" s="8" t="str">
        <f>"28922021033113245628666"</f>
        <v>28922021033113245628666</v>
      </c>
      <c r="C190" s="8" t="s">
        <v>9</v>
      </c>
      <c r="D190" s="8" t="str">
        <f>"黄海淼"</f>
        <v>黄海淼</v>
      </c>
      <c r="E190" s="8" t="str">
        <f>"女"</f>
        <v>女</v>
      </c>
      <c r="F190" s="8" t="str">
        <f>"广西壮族自治区容县"</f>
        <v>广西壮族自治区容县</v>
      </c>
      <c r="G190" s="8" t="str">
        <f>"海口市西湖实验学校"</f>
        <v>海口市西湖实验学校</v>
      </c>
    </row>
    <row r="191" spans="1:7" ht="30" customHeight="1">
      <c r="A191" s="8">
        <v>189</v>
      </c>
      <c r="B191" s="8" t="str">
        <f>"28922021033114024728730"</f>
        <v>28922021033114024728730</v>
      </c>
      <c r="C191" s="8" t="s">
        <v>9</v>
      </c>
      <c r="D191" s="8" t="str">
        <f>"徐雪秀"</f>
        <v>徐雪秀</v>
      </c>
      <c r="E191" s="8" t="str">
        <f>"女"</f>
        <v>女</v>
      </c>
      <c r="F191" s="8" t="str">
        <f>"海南省东方市"</f>
        <v>海南省东方市</v>
      </c>
      <c r="G191" s="8" t="str">
        <f>"海口市西湖实验学校"</f>
        <v>海口市西湖实验学校</v>
      </c>
    </row>
    <row r="192" spans="1:7" ht="30" customHeight="1">
      <c r="A192" s="8">
        <v>190</v>
      </c>
      <c r="B192" s="8" t="str">
        <f>"28922021033115052628939"</f>
        <v>28922021033115052628939</v>
      </c>
      <c r="C192" s="8" t="s">
        <v>9</v>
      </c>
      <c r="D192" s="8" t="str">
        <f>"符传贺"</f>
        <v>符传贺</v>
      </c>
      <c r="E192" s="8" t="str">
        <f>"男"</f>
        <v>男</v>
      </c>
      <c r="F192" s="8" t="str">
        <f>"海南省海口市龙华区"</f>
        <v>海南省海口市龙华区</v>
      </c>
      <c r="G192" s="8" t="str">
        <f>"海口市秀峰实验学校"</f>
        <v>海口市秀峰实验学校</v>
      </c>
    </row>
    <row r="193" spans="1:7" ht="30" customHeight="1">
      <c r="A193" s="8">
        <v>191</v>
      </c>
      <c r="B193" s="8" t="str">
        <f>"28922021033115351529055"</f>
        <v>28922021033115351529055</v>
      </c>
      <c r="C193" s="8" t="s">
        <v>9</v>
      </c>
      <c r="D193" s="8" t="str">
        <f>"吴皖琼"</f>
        <v>吴皖琼</v>
      </c>
      <c r="E193" s="8" t="str">
        <f aca="true" t="shared" si="9" ref="E193:E199">"女"</f>
        <v>女</v>
      </c>
      <c r="F193" s="8" t="str">
        <f>"海南省五指山市"</f>
        <v>海南省五指山市</v>
      </c>
      <c r="G193" s="8" t="str">
        <f>"海口市第二十六小学"</f>
        <v>海口市第二十六小学</v>
      </c>
    </row>
    <row r="194" spans="1:7" ht="30" customHeight="1">
      <c r="A194" s="8">
        <v>192</v>
      </c>
      <c r="B194" s="8" t="str">
        <f>"28922021033115505929107"</f>
        <v>28922021033115505929107</v>
      </c>
      <c r="C194" s="8" t="s">
        <v>9</v>
      </c>
      <c r="D194" s="8" t="str">
        <f>"黄露贤"</f>
        <v>黄露贤</v>
      </c>
      <c r="E194" s="8" t="str">
        <f t="shared" si="9"/>
        <v>女</v>
      </c>
      <c r="F194" s="8" t="str">
        <f>"海南省屯昌县"</f>
        <v>海南省屯昌县</v>
      </c>
      <c r="G194" s="8" t="str">
        <f>"海口市第九小学"</f>
        <v>海口市第九小学</v>
      </c>
    </row>
    <row r="195" spans="1:7" ht="30" customHeight="1">
      <c r="A195" s="8">
        <v>193</v>
      </c>
      <c r="B195" s="8" t="str">
        <f>"28922021033115554529131"</f>
        <v>28922021033115554529131</v>
      </c>
      <c r="C195" s="8" t="s">
        <v>9</v>
      </c>
      <c r="D195" s="8" t="str">
        <f>"仇家乐"</f>
        <v>仇家乐</v>
      </c>
      <c r="E195" s="8" t="str">
        <f t="shared" si="9"/>
        <v>女</v>
      </c>
      <c r="F195" s="8" t="str">
        <f>"山东省滨州市"</f>
        <v>山东省滨州市</v>
      </c>
      <c r="G195" s="8" t="str">
        <f>"海口市海燕小学"</f>
        <v>海口市海燕小学</v>
      </c>
    </row>
    <row r="196" spans="1:7" ht="30" customHeight="1">
      <c r="A196" s="8">
        <v>194</v>
      </c>
      <c r="B196" s="8" t="str">
        <f>"28922021033117161729353"</f>
        <v>28922021033117161729353</v>
      </c>
      <c r="C196" s="8" t="s">
        <v>9</v>
      </c>
      <c r="D196" s="8" t="str">
        <f>"许荩友"</f>
        <v>许荩友</v>
      </c>
      <c r="E196" s="8" t="str">
        <f t="shared" si="9"/>
        <v>女</v>
      </c>
      <c r="F196" s="8" t="str">
        <f>"海南省屯昌县"</f>
        <v>海南省屯昌县</v>
      </c>
      <c r="G196" s="8" t="str">
        <f>"海南省农垦直属第二小学"</f>
        <v>海南省农垦直属第二小学</v>
      </c>
    </row>
    <row r="197" spans="1:7" ht="30" customHeight="1">
      <c r="A197" s="8">
        <v>195</v>
      </c>
      <c r="B197" s="8" t="str">
        <f>"28922021033119104430019"</f>
        <v>28922021033119104430019</v>
      </c>
      <c r="C197" s="8" t="s">
        <v>9</v>
      </c>
      <c r="D197" s="8" t="str">
        <f>"林颖"</f>
        <v>林颖</v>
      </c>
      <c r="E197" s="8" t="str">
        <f t="shared" si="9"/>
        <v>女</v>
      </c>
      <c r="F197" s="8" t="str">
        <f>"海南省琼海市"</f>
        <v>海南省琼海市</v>
      </c>
      <c r="G197" s="8" t="str">
        <f>"海口市第二十六小学"</f>
        <v>海口市第二十六小学</v>
      </c>
    </row>
    <row r="198" spans="1:7" ht="30" customHeight="1">
      <c r="A198" s="8">
        <v>196</v>
      </c>
      <c r="B198" s="8" t="str">
        <f>"28922021033120020630122"</f>
        <v>28922021033120020630122</v>
      </c>
      <c r="C198" s="8" t="s">
        <v>9</v>
      </c>
      <c r="D198" s="8" t="str">
        <f>"黄敏"</f>
        <v>黄敏</v>
      </c>
      <c r="E198" s="8" t="str">
        <f t="shared" si="9"/>
        <v>女</v>
      </c>
      <c r="F198" s="8" t="str">
        <f>"海南省万宁市"</f>
        <v>海南省万宁市</v>
      </c>
      <c r="G198" s="8" t="str">
        <f>"海口市西湖实验学校"</f>
        <v>海口市西湖实验学校</v>
      </c>
    </row>
    <row r="199" spans="1:7" ht="30" customHeight="1">
      <c r="A199" s="8">
        <v>197</v>
      </c>
      <c r="B199" s="8" t="str">
        <f>"28922021033120532630244"</f>
        <v>28922021033120532630244</v>
      </c>
      <c r="C199" s="8" t="s">
        <v>9</v>
      </c>
      <c r="D199" s="8" t="str">
        <f>"杨小凤"</f>
        <v>杨小凤</v>
      </c>
      <c r="E199" s="8" t="str">
        <f t="shared" si="9"/>
        <v>女</v>
      </c>
      <c r="F199" s="8" t="str">
        <f>"海南省澄迈县"</f>
        <v>海南省澄迈县</v>
      </c>
      <c r="G199" s="8" t="str">
        <f>"海口市第九小学"</f>
        <v>海口市第九小学</v>
      </c>
    </row>
    <row r="200" spans="1:7" ht="30" customHeight="1">
      <c r="A200" s="8">
        <v>198</v>
      </c>
      <c r="B200" s="8" t="str">
        <f>"28922021040107282330750"</f>
        <v>28922021040107282330750</v>
      </c>
      <c r="C200" s="8" t="s">
        <v>9</v>
      </c>
      <c r="D200" s="8" t="str">
        <f>"王淇"</f>
        <v>王淇</v>
      </c>
      <c r="E200" s="8" t="str">
        <f>"男"</f>
        <v>男</v>
      </c>
      <c r="F200" s="8" t="str">
        <f>"海南省儋州市"</f>
        <v>海南省儋州市</v>
      </c>
      <c r="G200" s="8" t="str">
        <f>"海口市玉沙实验学校"</f>
        <v>海口市玉沙实验学校</v>
      </c>
    </row>
    <row r="201" spans="1:7" ht="30" customHeight="1">
      <c r="A201" s="8">
        <v>199</v>
      </c>
      <c r="B201" s="8" t="str">
        <f>"28922021040109364331008"</f>
        <v>28922021040109364331008</v>
      </c>
      <c r="C201" s="8" t="s">
        <v>9</v>
      </c>
      <c r="D201" s="8" t="str">
        <f>"何井美"</f>
        <v>何井美</v>
      </c>
      <c r="E201" s="8" t="str">
        <f>"女"</f>
        <v>女</v>
      </c>
      <c r="F201" s="8" t="str">
        <f>"海南省儋州市"</f>
        <v>海南省儋州市</v>
      </c>
      <c r="G201" s="8" t="str">
        <f>"海口市秀峰实验学校"</f>
        <v>海口市秀峰实验学校</v>
      </c>
    </row>
    <row r="202" spans="1:7" ht="30" customHeight="1">
      <c r="A202" s="8">
        <v>200</v>
      </c>
      <c r="B202" s="8" t="str">
        <f>"28922021040110060031120"</f>
        <v>28922021040110060031120</v>
      </c>
      <c r="C202" s="8" t="s">
        <v>9</v>
      </c>
      <c r="D202" s="8" t="str">
        <f>"方雪怡"</f>
        <v>方雪怡</v>
      </c>
      <c r="E202" s="8" t="str">
        <f>"女"</f>
        <v>女</v>
      </c>
      <c r="F202" s="8" t="str">
        <f>"河南省洛阳市"</f>
        <v>河南省洛阳市</v>
      </c>
      <c r="G202" s="8" t="str">
        <f>"海口市城西小学"</f>
        <v>海口市城西小学</v>
      </c>
    </row>
    <row r="203" spans="1:7" ht="30" customHeight="1">
      <c r="A203" s="8">
        <v>201</v>
      </c>
      <c r="B203" s="8" t="str">
        <f>"28922021040110285031200"</f>
        <v>28922021040110285031200</v>
      </c>
      <c r="C203" s="8" t="s">
        <v>9</v>
      </c>
      <c r="D203" s="8" t="str">
        <f>"杨靖"</f>
        <v>杨靖</v>
      </c>
      <c r="E203" s="8" t="str">
        <f>"女"</f>
        <v>女</v>
      </c>
      <c r="F203" s="8" t="str">
        <f>"海南省东方市"</f>
        <v>海南省东方市</v>
      </c>
      <c r="G203" s="8" t="str">
        <f>"海口市第二十六小学"</f>
        <v>海口市第二十六小学</v>
      </c>
    </row>
    <row r="204" spans="1:7" ht="30" customHeight="1">
      <c r="A204" s="8">
        <v>202</v>
      </c>
      <c r="B204" s="8" t="str">
        <f>"28922021040111121331335"</f>
        <v>28922021040111121331335</v>
      </c>
      <c r="C204" s="8" t="s">
        <v>9</v>
      </c>
      <c r="D204" s="8" t="str">
        <f>"唐乙菲"</f>
        <v>唐乙菲</v>
      </c>
      <c r="E204" s="8" t="str">
        <f>"女"</f>
        <v>女</v>
      </c>
      <c r="F204" s="8" t="str">
        <f>"海南省琼海市嘉积派出所"</f>
        <v>海南省琼海市嘉积派出所</v>
      </c>
      <c r="G204" s="8" t="str">
        <f>"海南省农垦直属第二小学"</f>
        <v>海南省农垦直属第二小学</v>
      </c>
    </row>
    <row r="205" spans="1:7" ht="30" customHeight="1">
      <c r="A205" s="8">
        <v>203</v>
      </c>
      <c r="B205" s="8" t="str">
        <f>"28922021040111491831453"</f>
        <v>28922021040111491831453</v>
      </c>
      <c r="C205" s="8" t="s">
        <v>9</v>
      </c>
      <c r="D205" s="8" t="str">
        <f>"饶铸海"</f>
        <v>饶铸海</v>
      </c>
      <c r="E205" s="8" t="str">
        <f>"男"</f>
        <v>男</v>
      </c>
      <c r="F205" s="8" t="str">
        <f>"海南省海口市"</f>
        <v>海南省海口市</v>
      </c>
      <c r="G205" s="8" t="str">
        <f>"海口市海瑞学校"</f>
        <v>海口市海瑞学校</v>
      </c>
    </row>
    <row r="206" spans="1:7" ht="30" customHeight="1">
      <c r="A206" s="8">
        <v>204</v>
      </c>
      <c r="B206" s="8" t="str">
        <f>"28922021040114374831824"</f>
        <v>28922021040114374831824</v>
      </c>
      <c r="C206" s="8" t="s">
        <v>9</v>
      </c>
      <c r="D206" s="8" t="str">
        <f>"吴宗汝"</f>
        <v>吴宗汝</v>
      </c>
      <c r="E206" s="8" t="str">
        <f aca="true" t="shared" si="10" ref="E206:E238">"女"</f>
        <v>女</v>
      </c>
      <c r="F206" s="8" t="str">
        <f>"海南省琼海市"</f>
        <v>海南省琼海市</v>
      </c>
      <c r="G206" s="8" t="str">
        <f>"海南省农垦直属第二小学"</f>
        <v>海南省农垦直属第二小学</v>
      </c>
    </row>
    <row r="207" spans="1:7" s="2" customFormat="1" ht="30" customHeight="1">
      <c r="A207" s="9">
        <v>205</v>
      </c>
      <c r="B207" s="9" t="str">
        <f>"28922021040115391732027"</f>
        <v>28922021040115391732027</v>
      </c>
      <c r="C207" s="9" t="s">
        <v>9</v>
      </c>
      <c r="D207" s="9" t="str">
        <f>"林寸草"</f>
        <v>林寸草</v>
      </c>
      <c r="E207" s="9" t="str">
        <f t="shared" si="10"/>
        <v>女</v>
      </c>
      <c r="F207" s="9" t="str">
        <f>"海南省临高县"</f>
        <v>海南省临高县</v>
      </c>
      <c r="G207" s="9" t="str">
        <f>"海南省农垦直属第二小学"</f>
        <v>海南省农垦直属第二小学</v>
      </c>
    </row>
    <row r="208" spans="1:7" ht="30" customHeight="1">
      <c r="A208" s="8">
        <v>206</v>
      </c>
      <c r="B208" s="8" t="str">
        <f>"28922021040115422732038"</f>
        <v>28922021040115422732038</v>
      </c>
      <c r="C208" s="8" t="s">
        <v>9</v>
      </c>
      <c r="D208" s="8" t="str">
        <f>"蔡於贝"</f>
        <v>蔡於贝</v>
      </c>
      <c r="E208" s="8" t="str">
        <f t="shared" si="10"/>
        <v>女</v>
      </c>
      <c r="F208" s="8" t="str">
        <f>"海南省澄迈县"</f>
        <v>海南省澄迈县</v>
      </c>
      <c r="G208" s="8" t="str">
        <f>"海口市海燕小学"</f>
        <v>海口市海燕小学</v>
      </c>
    </row>
    <row r="209" spans="1:7" ht="30" customHeight="1">
      <c r="A209" s="8">
        <v>207</v>
      </c>
      <c r="B209" s="8" t="str">
        <f>"28922021040115432632045"</f>
        <v>28922021040115432632045</v>
      </c>
      <c r="C209" s="8" t="s">
        <v>9</v>
      </c>
      <c r="D209" s="8" t="str">
        <f>"单雪红"</f>
        <v>单雪红</v>
      </c>
      <c r="E209" s="8" t="str">
        <f t="shared" si="10"/>
        <v>女</v>
      </c>
      <c r="F209" s="8" t="str">
        <f>"海南省海口市"</f>
        <v>海南省海口市</v>
      </c>
      <c r="G209" s="8" t="str">
        <f>"海口市第九小学"</f>
        <v>海口市第九小学</v>
      </c>
    </row>
    <row r="210" spans="1:7" ht="30" customHeight="1">
      <c r="A210" s="8">
        <v>208</v>
      </c>
      <c r="B210" s="8" t="str">
        <f>"28922021040116451032246"</f>
        <v>28922021040116451032246</v>
      </c>
      <c r="C210" s="8" t="s">
        <v>9</v>
      </c>
      <c r="D210" s="8" t="str">
        <f>"孔令琴"</f>
        <v>孔令琴</v>
      </c>
      <c r="E210" s="8" t="str">
        <f t="shared" si="10"/>
        <v>女</v>
      </c>
      <c r="F210" s="8" t="str">
        <f>"海南省万宁市"</f>
        <v>海南省万宁市</v>
      </c>
      <c r="G210" s="8" t="str">
        <f>"海口市海燕小学"</f>
        <v>海口市海燕小学</v>
      </c>
    </row>
    <row r="211" spans="1:7" ht="30" customHeight="1">
      <c r="A211" s="8">
        <v>209</v>
      </c>
      <c r="B211" s="8" t="str">
        <f>"28922021040120534532601"</f>
        <v>28922021040120534532601</v>
      </c>
      <c r="C211" s="8" t="s">
        <v>9</v>
      </c>
      <c r="D211" s="8" t="str">
        <f>"吴姗姗"</f>
        <v>吴姗姗</v>
      </c>
      <c r="E211" s="8" t="str">
        <f t="shared" si="10"/>
        <v>女</v>
      </c>
      <c r="F211" s="8" t="str">
        <f>"海南省万宁市"</f>
        <v>海南省万宁市</v>
      </c>
      <c r="G211" s="8" t="str">
        <f>"海口市海燕小学"</f>
        <v>海口市海燕小学</v>
      </c>
    </row>
    <row r="212" spans="1:7" ht="30" customHeight="1">
      <c r="A212" s="8">
        <v>210</v>
      </c>
      <c r="B212" s="8" t="str">
        <f>"28922021040121232632631"</f>
        <v>28922021040121232632631</v>
      </c>
      <c r="C212" s="8" t="s">
        <v>9</v>
      </c>
      <c r="D212" s="8" t="str">
        <f>"陈玥"</f>
        <v>陈玥</v>
      </c>
      <c r="E212" s="8" t="str">
        <f t="shared" si="10"/>
        <v>女</v>
      </c>
      <c r="F212" s="8" t="str">
        <f>"海南省儋州市"</f>
        <v>海南省儋州市</v>
      </c>
      <c r="G212" s="8" t="str">
        <f>"海南省农垦直属第二小学"</f>
        <v>海南省农垦直属第二小学</v>
      </c>
    </row>
    <row r="213" spans="1:7" ht="30" customHeight="1">
      <c r="A213" s="8">
        <v>211</v>
      </c>
      <c r="B213" s="8" t="str">
        <f>"28922021040121512732664"</f>
        <v>28922021040121512732664</v>
      </c>
      <c r="C213" s="8" t="s">
        <v>9</v>
      </c>
      <c r="D213" s="8" t="str">
        <f>"朱文雅"</f>
        <v>朱文雅</v>
      </c>
      <c r="E213" s="8" t="str">
        <f t="shared" si="10"/>
        <v>女</v>
      </c>
      <c r="F213" s="8" t="str">
        <f>"海南省文昌市"</f>
        <v>海南省文昌市</v>
      </c>
      <c r="G213" s="8" t="str">
        <f>"海口市海燕小学"</f>
        <v>海口市海燕小学</v>
      </c>
    </row>
    <row r="214" spans="1:7" ht="30" customHeight="1">
      <c r="A214" s="8">
        <v>212</v>
      </c>
      <c r="B214" s="8" t="str">
        <f>"28922021040123051432771"</f>
        <v>28922021040123051432771</v>
      </c>
      <c r="C214" s="8" t="s">
        <v>9</v>
      </c>
      <c r="D214" s="8" t="str">
        <f>"张莛"</f>
        <v>张莛</v>
      </c>
      <c r="E214" s="8" t="str">
        <f t="shared" si="10"/>
        <v>女</v>
      </c>
      <c r="F214" s="8" t="str">
        <f>"海南省定安县"</f>
        <v>海南省定安县</v>
      </c>
      <c r="G214" s="8" t="str">
        <f>"海口市城西小学"</f>
        <v>海口市城西小学</v>
      </c>
    </row>
    <row r="215" spans="1:7" ht="30" customHeight="1">
      <c r="A215" s="8">
        <v>213</v>
      </c>
      <c r="B215" s="8" t="str">
        <f>"28922021040200133032831"</f>
        <v>28922021040200133032831</v>
      </c>
      <c r="C215" s="8" t="s">
        <v>9</v>
      </c>
      <c r="D215" s="8" t="str">
        <f>"姜雪"</f>
        <v>姜雪</v>
      </c>
      <c r="E215" s="8" t="str">
        <f t="shared" si="10"/>
        <v>女</v>
      </c>
      <c r="F215" s="8" t="str">
        <f>"四川省泸州市泸县"</f>
        <v>四川省泸州市泸县</v>
      </c>
      <c r="G215" s="8" t="str">
        <f>"海口市秀峰实验学校"</f>
        <v>海口市秀峰实验学校</v>
      </c>
    </row>
    <row r="216" spans="1:7" ht="30" customHeight="1">
      <c r="A216" s="8">
        <v>214</v>
      </c>
      <c r="B216" s="8" t="str">
        <f>"28922021040208174932962"</f>
        <v>28922021040208174932962</v>
      </c>
      <c r="C216" s="8" t="s">
        <v>9</v>
      </c>
      <c r="D216" s="8" t="str">
        <f>"高如玉"</f>
        <v>高如玉</v>
      </c>
      <c r="E216" s="8" t="str">
        <f t="shared" si="10"/>
        <v>女</v>
      </c>
      <c r="F216" s="8" t="str">
        <f>"海南省三亚市"</f>
        <v>海南省三亚市</v>
      </c>
      <c r="G216" s="8" t="str">
        <f>"海口市第九小学"</f>
        <v>海口市第九小学</v>
      </c>
    </row>
    <row r="217" spans="1:7" ht="30" customHeight="1">
      <c r="A217" s="8">
        <v>215</v>
      </c>
      <c r="B217" s="8" t="str">
        <f>"28922021040209463533586"</f>
        <v>28922021040209463533586</v>
      </c>
      <c r="C217" s="8" t="s">
        <v>9</v>
      </c>
      <c r="D217" s="8" t="str">
        <f>"孙榕蔚"</f>
        <v>孙榕蔚</v>
      </c>
      <c r="E217" s="8" t="str">
        <f t="shared" si="10"/>
        <v>女</v>
      </c>
      <c r="F217" s="8" t="str">
        <f>"内蒙古自治区通辽市"</f>
        <v>内蒙古自治区通辽市</v>
      </c>
      <c r="G217" s="8" t="str">
        <f>"海口市第九小学"</f>
        <v>海口市第九小学</v>
      </c>
    </row>
    <row r="218" spans="1:7" ht="30" customHeight="1">
      <c r="A218" s="8">
        <v>216</v>
      </c>
      <c r="B218" s="8" t="str">
        <f>"28922021040211104034221"</f>
        <v>28922021040211104034221</v>
      </c>
      <c r="C218" s="8" t="s">
        <v>9</v>
      </c>
      <c r="D218" s="8" t="str">
        <f>"李敏秀"</f>
        <v>李敏秀</v>
      </c>
      <c r="E218" s="8" t="str">
        <f t="shared" si="10"/>
        <v>女</v>
      </c>
      <c r="F218" s="8" t="str">
        <f>"海南省儋州市"</f>
        <v>海南省儋州市</v>
      </c>
      <c r="G218" s="8" t="str">
        <f>"海口市第二十六小学"</f>
        <v>海口市第二十六小学</v>
      </c>
    </row>
    <row r="219" spans="1:7" ht="30" customHeight="1">
      <c r="A219" s="8">
        <v>217</v>
      </c>
      <c r="B219" s="8" t="str">
        <f>"28922021040211154134256"</f>
        <v>28922021040211154134256</v>
      </c>
      <c r="C219" s="8" t="s">
        <v>9</v>
      </c>
      <c r="D219" s="8" t="str">
        <f>"罗淞元"</f>
        <v>罗淞元</v>
      </c>
      <c r="E219" s="8" t="str">
        <f t="shared" si="10"/>
        <v>女</v>
      </c>
      <c r="F219" s="8" t="str">
        <f>"四川省凉山州西昌市"</f>
        <v>四川省凉山州西昌市</v>
      </c>
      <c r="G219" s="8" t="str">
        <f>"海口市第二十六小学"</f>
        <v>海口市第二十六小学</v>
      </c>
    </row>
    <row r="220" spans="1:7" ht="30" customHeight="1">
      <c r="A220" s="8">
        <v>218</v>
      </c>
      <c r="B220" s="8" t="str">
        <f>"28922021040211230934299"</f>
        <v>28922021040211230934299</v>
      </c>
      <c r="C220" s="8" t="s">
        <v>9</v>
      </c>
      <c r="D220" s="8" t="str">
        <f>"张悦"</f>
        <v>张悦</v>
      </c>
      <c r="E220" s="8" t="str">
        <f t="shared" si="10"/>
        <v>女</v>
      </c>
      <c r="F220" s="8" t="str">
        <f>"黑龙江省伊春市"</f>
        <v>黑龙江省伊春市</v>
      </c>
      <c r="G220" s="8" t="str">
        <f>"海口市金盘实验学校"</f>
        <v>海口市金盘实验学校</v>
      </c>
    </row>
    <row r="221" spans="1:7" ht="30" customHeight="1">
      <c r="A221" s="8">
        <v>219</v>
      </c>
      <c r="B221" s="8" t="str">
        <f>"28922021032708253313168"</f>
        <v>28922021032708253313168</v>
      </c>
      <c r="C221" s="8" t="s">
        <v>10</v>
      </c>
      <c r="D221" s="8" t="str">
        <f>"吴孟穗"</f>
        <v>吴孟穗</v>
      </c>
      <c r="E221" s="8" t="str">
        <f t="shared" si="10"/>
        <v>女</v>
      </c>
      <c r="F221" s="8" t="str">
        <f>"海南省海口市"</f>
        <v>海南省海口市</v>
      </c>
      <c r="G221" s="8" t="str">
        <f>"海口市海瑞学校"</f>
        <v>海口市海瑞学校</v>
      </c>
    </row>
    <row r="222" spans="1:7" ht="30" customHeight="1">
      <c r="A222" s="8">
        <v>220</v>
      </c>
      <c r="B222" s="8" t="str">
        <f>"28922021032708451013192"</f>
        <v>28922021032708451013192</v>
      </c>
      <c r="C222" s="8" t="s">
        <v>10</v>
      </c>
      <c r="D222" s="8" t="str">
        <f>"文椿"</f>
        <v>文椿</v>
      </c>
      <c r="E222" s="8" t="str">
        <f t="shared" si="10"/>
        <v>女</v>
      </c>
      <c r="F222" s="8" t="str">
        <f>"海南省海口市"</f>
        <v>海南省海口市</v>
      </c>
      <c r="G222" s="8" t="str">
        <f aca="true" t="shared" si="11" ref="G222:G227">"海口市金盘实验学校"</f>
        <v>海口市金盘实验学校</v>
      </c>
    </row>
    <row r="223" spans="1:7" ht="30" customHeight="1">
      <c r="A223" s="8">
        <v>221</v>
      </c>
      <c r="B223" s="8" t="str">
        <f>"28922021032708531113209"</f>
        <v>28922021032708531113209</v>
      </c>
      <c r="C223" s="8" t="s">
        <v>10</v>
      </c>
      <c r="D223" s="8" t="str">
        <f>"曲焱熔丹"</f>
        <v>曲焱熔丹</v>
      </c>
      <c r="E223" s="8" t="str">
        <f t="shared" si="10"/>
        <v>女</v>
      </c>
      <c r="F223" s="8" t="str">
        <f>"吉林省长春市"</f>
        <v>吉林省长春市</v>
      </c>
      <c r="G223" s="8" t="str">
        <f t="shared" si="11"/>
        <v>海口市金盘实验学校</v>
      </c>
    </row>
    <row r="224" spans="1:7" ht="30" customHeight="1">
      <c r="A224" s="8">
        <v>222</v>
      </c>
      <c r="B224" s="8" t="str">
        <f>"28922021032709460113356"</f>
        <v>28922021032709460113356</v>
      </c>
      <c r="C224" s="8" t="s">
        <v>10</v>
      </c>
      <c r="D224" s="8" t="str">
        <f>"吴绽菲"</f>
        <v>吴绽菲</v>
      </c>
      <c r="E224" s="8" t="str">
        <f t="shared" si="10"/>
        <v>女</v>
      </c>
      <c r="F224" s="8" t="str">
        <f>"海南海口"</f>
        <v>海南海口</v>
      </c>
      <c r="G224" s="8" t="str">
        <f t="shared" si="11"/>
        <v>海口市金盘实验学校</v>
      </c>
    </row>
    <row r="225" spans="1:7" ht="30" customHeight="1">
      <c r="A225" s="8">
        <v>223</v>
      </c>
      <c r="B225" s="8" t="str">
        <f>"28922021032710332613496"</f>
        <v>28922021032710332613496</v>
      </c>
      <c r="C225" s="8" t="s">
        <v>10</v>
      </c>
      <c r="D225" s="8" t="str">
        <f>"陈虹蓓"</f>
        <v>陈虹蓓</v>
      </c>
      <c r="E225" s="8" t="str">
        <f t="shared" si="10"/>
        <v>女</v>
      </c>
      <c r="F225" s="8" t="str">
        <f>"海南省临高县"</f>
        <v>海南省临高县</v>
      </c>
      <c r="G225" s="8" t="str">
        <f t="shared" si="11"/>
        <v>海口市金盘实验学校</v>
      </c>
    </row>
    <row r="226" spans="1:7" ht="30" customHeight="1">
      <c r="A226" s="8">
        <v>224</v>
      </c>
      <c r="B226" s="8" t="str">
        <f>"28922021032712074813730"</f>
        <v>28922021032712074813730</v>
      </c>
      <c r="C226" s="8" t="s">
        <v>10</v>
      </c>
      <c r="D226" s="8" t="str">
        <f>"王亚南"</f>
        <v>王亚南</v>
      </c>
      <c r="E226" s="8" t="str">
        <f t="shared" si="10"/>
        <v>女</v>
      </c>
      <c r="F226" s="8" t="str">
        <f>"海南省海口市"</f>
        <v>海南省海口市</v>
      </c>
      <c r="G226" s="8" t="str">
        <f t="shared" si="11"/>
        <v>海口市金盘实验学校</v>
      </c>
    </row>
    <row r="227" spans="1:7" ht="30" customHeight="1">
      <c r="A227" s="8">
        <v>225</v>
      </c>
      <c r="B227" s="8" t="str">
        <f>"28922021032712140113747"</f>
        <v>28922021032712140113747</v>
      </c>
      <c r="C227" s="8" t="s">
        <v>10</v>
      </c>
      <c r="D227" s="8" t="str">
        <f>"郑晓奔"</f>
        <v>郑晓奔</v>
      </c>
      <c r="E227" s="8" t="str">
        <f t="shared" si="10"/>
        <v>女</v>
      </c>
      <c r="F227" s="8" t="str">
        <f>"浙江省浦江县"</f>
        <v>浙江省浦江县</v>
      </c>
      <c r="G227" s="8" t="str">
        <f t="shared" si="11"/>
        <v>海口市金盘实验学校</v>
      </c>
    </row>
    <row r="228" spans="1:7" ht="30" customHeight="1">
      <c r="A228" s="8">
        <v>226</v>
      </c>
      <c r="B228" s="8" t="str">
        <f>"28922021032712504513831"</f>
        <v>28922021032712504513831</v>
      </c>
      <c r="C228" s="8" t="s">
        <v>10</v>
      </c>
      <c r="D228" s="8" t="str">
        <f>"李慧"</f>
        <v>李慧</v>
      </c>
      <c r="E228" s="8" t="str">
        <f t="shared" si="10"/>
        <v>女</v>
      </c>
      <c r="F228" s="8" t="str">
        <f>"海南省儋州市"</f>
        <v>海南省儋州市</v>
      </c>
      <c r="G228" s="8" t="str">
        <f>"海口市第九小学"</f>
        <v>海口市第九小学</v>
      </c>
    </row>
    <row r="229" spans="1:7" ht="30" customHeight="1">
      <c r="A229" s="8">
        <v>227</v>
      </c>
      <c r="B229" s="8" t="str">
        <f>"28922021032714054413960"</f>
        <v>28922021032714054413960</v>
      </c>
      <c r="C229" s="8" t="s">
        <v>10</v>
      </c>
      <c r="D229" s="8" t="str">
        <f>"林丹青"</f>
        <v>林丹青</v>
      </c>
      <c r="E229" s="8" t="str">
        <f t="shared" si="10"/>
        <v>女</v>
      </c>
      <c r="F229" s="8" t="str">
        <f>"海南省海口市"</f>
        <v>海南省海口市</v>
      </c>
      <c r="G229" s="8" t="str">
        <f>"海口市金盘实验学校"</f>
        <v>海口市金盘实验学校</v>
      </c>
    </row>
    <row r="230" spans="1:7" ht="30" customHeight="1">
      <c r="A230" s="8">
        <v>228</v>
      </c>
      <c r="B230" s="8" t="str">
        <f>"28922021032715180114058"</f>
        <v>28922021032715180114058</v>
      </c>
      <c r="C230" s="8" t="s">
        <v>10</v>
      </c>
      <c r="D230" s="8" t="str">
        <f>"陈贻艳"</f>
        <v>陈贻艳</v>
      </c>
      <c r="E230" s="8" t="str">
        <f t="shared" si="10"/>
        <v>女</v>
      </c>
      <c r="F230" s="8" t="str">
        <f>"海南省保亭黎族苗族自治县"</f>
        <v>海南省保亭黎族苗族自治县</v>
      </c>
      <c r="G230" s="8" t="str">
        <f>"海口市金盘实验学校"</f>
        <v>海口市金盘实验学校</v>
      </c>
    </row>
    <row r="231" spans="1:7" ht="30" customHeight="1">
      <c r="A231" s="8">
        <v>229</v>
      </c>
      <c r="B231" s="8" t="str">
        <f>"28922021032715201014064"</f>
        <v>28922021032715201014064</v>
      </c>
      <c r="C231" s="8" t="s">
        <v>10</v>
      </c>
      <c r="D231" s="8" t="str">
        <f>"曾怡"</f>
        <v>曾怡</v>
      </c>
      <c r="E231" s="8" t="str">
        <f t="shared" si="10"/>
        <v>女</v>
      </c>
      <c r="F231" s="8" t="str">
        <f>"海南省海口市"</f>
        <v>海南省海口市</v>
      </c>
      <c r="G231" s="8" t="str">
        <f>"海口市海瑞学校"</f>
        <v>海口市海瑞学校</v>
      </c>
    </row>
    <row r="232" spans="1:7" ht="30" customHeight="1">
      <c r="A232" s="8">
        <v>230</v>
      </c>
      <c r="B232" s="8" t="str">
        <f>"28922021032716024614131"</f>
        <v>28922021032716024614131</v>
      </c>
      <c r="C232" s="8" t="s">
        <v>10</v>
      </c>
      <c r="D232" s="8" t="str">
        <f>"王冰"</f>
        <v>王冰</v>
      </c>
      <c r="E232" s="8" t="str">
        <f t="shared" si="10"/>
        <v>女</v>
      </c>
      <c r="F232" s="8" t="str">
        <f>"海南省海口市公安局龙华分局"</f>
        <v>海南省海口市公安局龙华分局</v>
      </c>
      <c r="G232" s="8" t="str">
        <f>"海口市金盘实验学校"</f>
        <v>海口市金盘实验学校</v>
      </c>
    </row>
    <row r="233" spans="1:7" ht="30" customHeight="1">
      <c r="A233" s="8">
        <v>231</v>
      </c>
      <c r="B233" s="8" t="str">
        <f>"28922021032717233014286"</f>
        <v>28922021032717233014286</v>
      </c>
      <c r="C233" s="8" t="s">
        <v>10</v>
      </c>
      <c r="D233" s="8" t="str">
        <f>"黄潮霞"</f>
        <v>黄潮霞</v>
      </c>
      <c r="E233" s="8" t="str">
        <f t="shared" si="10"/>
        <v>女</v>
      </c>
      <c r="F233" s="8" t="str">
        <f>"海南省海口市"</f>
        <v>海南省海口市</v>
      </c>
      <c r="G233" s="8" t="str">
        <f>"海口市海瑞学校"</f>
        <v>海口市海瑞学校</v>
      </c>
    </row>
    <row r="234" spans="1:7" ht="30" customHeight="1">
      <c r="A234" s="8">
        <v>232</v>
      </c>
      <c r="B234" s="8" t="str">
        <f>"28922021032717590514362"</f>
        <v>28922021032717590514362</v>
      </c>
      <c r="C234" s="8" t="s">
        <v>10</v>
      </c>
      <c r="D234" s="8" t="str">
        <f>"贺志荣"</f>
        <v>贺志荣</v>
      </c>
      <c r="E234" s="8" t="str">
        <f t="shared" si="10"/>
        <v>女</v>
      </c>
      <c r="F234" s="8" t="str">
        <f>"甘肃省天水市"</f>
        <v>甘肃省天水市</v>
      </c>
      <c r="G234" s="8" t="str">
        <f>"海口市第九小学"</f>
        <v>海口市第九小学</v>
      </c>
    </row>
    <row r="235" spans="1:7" ht="30" customHeight="1">
      <c r="A235" s="8">
        <v>233</v>
      </c>
      <c r="B235" s="8" t="str">
        <f>"28922021032720391914697"</f>
        <v>28922021032720391914697</v>
      </c>
      <c r="C235" s="8" t="s">
        <v>10</v>
      </c>
      <c r="D235" s="8" t="str">
        <f>"陈丹"</f>
        <v>陈丹</v>
      </c>
      <c r="E235" s="8" t="str">
        <f t="shared" si="10"/>
        <v>女</v>
      </c>
      <c r="F235" s="8" t="str">
        <f>"海南省澄迈县"</f>
        <v>海南省澄迈县</v>
      </c>
      <c r="G235" s="8" t="str">
        <f>"海口市海瑞学校"</f>
        <v>海口市海瑞学校</v>
      </c>
    </row>
    <row r="236" spans="1:7" ht="30" customHeight="1">
      <c r="A236" s="8">
        <v>234</v>
      </c>
      <c r="B236" s="8" t="str">
        <f>"28922021032810050615592"</f>
        <v>28922021032810050615592</v>
      </c>
      <c r="C236" s="8" t="s">
        <v>10</v>
      </c>
      <c r="D236" s="8" t="str">
        <f>"符兰微"</f>
        <v>符兰微</v>
      </c>
      <c r="E236" s="8" t="str">
        <f t="shared" si="10"/>
        <v>女</v>
      </c>
      <c r="F236" s="8" t="str">
        <f>"海南省东方市"</f>
        <v>海南省东方市</v>
      </c>
      <c r="G236" s="8" t="str">
        <f>"海口市金盘实验学校"</f>
        <v>海口市金盘实验学校</v>
      </c>
    </row>
    <row r="237" spans="1:7" ht="30" customHeight="1">
      <c r="A237" s="8">
        <v>235</v>
      </c>
      <c r="B237" s="8" t="str">
        <f>"28922021032811431215899"</f>
        <v>28922021032811431215899</v>
      </c>
      <c r="C237" s="8" t="s">
        <v>10</v>
      </c>
      <c r="D237" s="8" t="str">
        <f>"周少惠"</f>
        <v>周少惠</v>
      </c>
      <c r="E237" s="8" t="str">
        <f t="shared" si="10"/>
        <v>女</v>
      </c>
      <c r="F237" s="8" t="str">
        <f>"海南省乐东县"</f>
        <v>海南省乐东县</v>
      </c>
      <c r="G237" s="8" t="str">
        <f>"海口市第二十六小学"</f>
        <v>海口市第二十六小学</v>
      </c>
    </row>
    <row r="238" spans="1:7" ht="30" customHeight="1">
      <c r="A238" s="8">
        <v>236</v>
      </c>
      <c r="B238" s="8" t="str">
        <f>"28922021032812375816061"</f>
        <v>28922021032812375816061</v>
      </c>
      <c r="C238" s="8" t="s">
        <v>10</v>
      </c>
      <c r="D238" s="8" t="str">
        <f>"陈才竹"</f>
        <v>陈才竹</v>
      </c>
      <c r="E238" s="8" t="str">
        <f t="shared" si="10"/>
        <v>女</v>
      </c>
      <c r="F238" s="8" t="str">
        <f>"海南省临高县"</f>
        <v>海南省临高县</v>
      </c>
      <c r="G238" s="8" t="str">
        <f>"海口市第九小学"</f>
        <v>海口市第九小学</v>
      </c>
    </row>
    <row r="239" spans="1:7" ht="30" customHeight="1">
      <c r="A239" s="8">
        <v>237</v>
      </c>
      <c r="B239" s="8" t="str">
        <f>"28922021032812440816078"</f>
        <v>28922021032812440816078</v>
      </c>
      <c r="C239" s="8" t="s">
        <v>10</v>
      </c>
      <c r="D239" s="8" t="str">
        <f>"韩生"</f>
        <v>韩生</v>
      </c>
      <c r="E239" s="8" t="str">
        <f>"男"</f>
        <v>男</v>
      </c>
      <c r="F239" s="8" t="str">
        <f>"海南省三亚市"</f>
        <v>海南省三亚市</v>
      </c>
      <c r="G239" s="8" t="str">
        <f>"海口市城西小学"</f>
        <v>海口市城西小学</v>
      </c>
    </row>
    <row r="240" spans="1:7" ht="30" customHeight="1">
      <c r="A240" s="8">
        <v>238</v>
      </c>
      <c r="B240" s="8" t="str">
        <f>"28922021032813181316154"</f>
        <v>28922021032813181316154</v>
      </c>
      <c r="C240" s="8" t="s">
        <v>10</v>
      </c>
      <c r="D240" s="8" t="str">
        <f>"覃媛媛"</f>
        <v>覃媛媛</v>
      </c>
      <c r="E240" s="8" t="str">
        <f aca="true" t="shared" si="12" ref="E240:E294">"女"</f>
        <v>女</v>
      </c>
      <c r="F240" s="8" t="str">
        <f>"海南省海口市"</f>
        <v>海南省海口市</v>
      </c>
      <c r="G240" s="8" t="str">
        <f>"海口市金盘实验学校"</f>
        <v>海口市金盘实验学校</v>
      </c>
    </row>
    <row r="241" spans="1:7" ht="30" customHeight="1">
      <c r="A241" s="8">
        <v>239</v>
      </c>
      <c r="B241" s="8" t="str">
        <f>"28922021032816495616792"</f>
        <v>28922021032816495616792</v>
      </c>
      <c r="C241" s="8" t="s">
        <v>10</v>
      </c>
      <c r="D241" s="8" t="str">
        <f>"郑舒予"</f>
        <v>郑舒予</v>
      </c>
      <c r="E241" s="8" t="str">
        <f t="shared" si="12"/>
        <v>女</v>
      </c>
      <c r="F241" s="8" t="str">
        <f>"海南海口"</f>
        <v>海南海口</v>
      </c>
      <c r="G241" s="8" t="str">
        <f>"海口市玉沙实验学校"</f>
        <v>海口市玉沙实验学校</v>
      </c>
    </row>
    <row r="242" spans="1:7" ht="30" customHeight="1">
      <c r="A242" s="8">
        <v>240</v>
      </c>
      <c r="B242" s="8" t="str">
        <f>"28922021032817384216905"</f>
        <v>28922021032817384216905</v>
      </c>
      <c r="C242" s="8" t="s">
        <v>10</v>
      </c>
      <c r="D242" s="8" t="str">
        <f>"何春美"</f>
        <v>何春美</v>
      </c>
      <c r="E242" s="8" t="str">
        <f t="shared" si="12"/>
        <v>女</v>
      </c>
      <c r="F242" s="8" t="str">
        <f>"海南省屯昌县"</f>
        <v>海南省屯昌县</v>
      </c>
      <c r="G242" s="8" t="str">
        <f>"海口市海燕小学"</f>
        <v>海口市海燕小学</v>
      </c>
    </row>
    <row r="243" spans="1:7" ht="30" customHeight="1">
      <c r="A243" s="8">
        <v>241</v>
      </c>
      <c r="B243" s="8" t="str">
        <f>"28922021032821491817476"</f>
        <v>28922021032821491817476</v>
      </c>
      <c r="C243" s="8" t="s">
        <v>10</v>
      </c>
      <c r="D243" s="8" t="str">
        <f>"吴茹"</f>
        <v>吴茹</v>
      </c>
      <c r="E243" s="8" t="str">
        <f t="shared" si="12"/>
        <v>女</v>
      </c>
      <c r="F243" s="8" t="str">
        <f>"海南省三亚市"</f>
        <v>海南省三亚市</v>
      </c>
      <c r="G243" s="8" t="str">
        <f>"海口市金盘实验学校"</f>
        <v>海口市金盘实验学校</v>
      </c>
    </row>
    <row r="244" spans="1:7" ht="30" customHeight="1">
      <c r="A244" s="8">
        <v>242</v>
      </c>
      <c r="B244" s="8" t="str">
        <f>"28922021032822152417562"</f>
        <v>28922021032822152417562</v>
      </c>
      <c r="C244" s="8" t="s">
        <v>10</v>
      </c>
      <c r="D244" s="8" t="str">
        <f>"陈颖丽"</f>
        <v>陈颖丽</v>
      </c>
      <c r="E244" s="8" t="str">
        <f t="shared" si="12"/>
        <v>女</v>
      </c>
      <c r="F244" s="8" t="str">
        <f>"海南省儋州市光村镇国营新盈农场第六作业区"</f>
        <v>海南省儋州市光村镇国营新盈农场第六作业区</v>
      </c>
      <c r="G244" s="8" t="str">
        <f>"海口市第九小学"</f>
        <v>海口市第九小学</v>
      </c>
    </row>
    <row r="245" spans="1:7" ht="30" customHeight="1">
      <c r="A245" s="8">
        <v>243</v>
      </c>
      <c r="B245" s="8" t="str">
        <f>"28922021032916591622019"</f>
        <v>28922021032916591622019</v>
      </c>
      <c r="C245" s="8" t="s">
        <v>10</v>
      </c>
      <c r="D245" s="8" t="str">
        <f>"赵雨彤"</f>
        <v>赵雨彤</v>
      </c>
      <c r="E245" s="8" t="str">
        <f t="shared" si="12"/>
        <v>女</v>
      </c>
      <c r="F245" s="8" t="str">
        <f>"黑龙江省大庆市"</f>
        <v>黑龙江省大庆市</v>
      </c>
      <c r="G245" s="8" t="str">
        <f>"海口市秀峰实验学校"</f>
        <v>海口市秀峰实验学校</v>
      </c>
    </row>
    <row r="246" spans="1:7" ht="30" customHeight="1">
      <c r="A246" s="8">
        <v>244</v>
      </c>
      <c r="B246" s="8" t="str">
        <f>"28922021032917005022024"</f>
        <v>28922021032917005022024</v>
      </c>
      <c r="C246" s="8" t="s">
        <v>10</v>
      </c>
      <c r="D246" s="8" t="str">
        <f>"徐昊妍"</f>
        <v>徐昊妍</v>
      </c>
      <c r="E246" s="8" t="str">
        <f t="shared" si="12"/>
        <v>女</v>
      </c>
      <c r="F246" s="8" t="str">
        <f>"海南省海口市"</f>
        <v>海南省海口市</v>
      </c>
      <c r="G246" s="8" t="str">
        <f>"海口市第二十六小学"</f>
        <v>海口市第二十六小学</v>
      </c>
    </row>
    <row r="247" spans="1:7" ht="30" customHeight="1">
      <c r="A247" s="8">
        <v>245</v>
      </c>
      <c r="B247" s="8" t="str">
        <f>"28922021033014380425506"</f>
        <v>28922021033014380425506</v>
      </c>
      <c r="C247" s="8" t="s">
        <v>10</v>
      </c>
      <c r="D247" s="8" t="str">
        <f>"王丽雯"</f>
        <v>王丽雯</v>
      </c>
      <c r="E247" s="8" t="str">
        <f t="shared" si="12"/>
        <v>女</v>
      </c>
      <c r="F247" s="8" t="str">
        <f>"江苏省苏州市"</f>
        <v>江苏省苏州市</v>
      </c>
      <c r="G247" s="8" t="str">
        <f>"海口市海瑞学校"</f>
        <v>海口市海瑞学校</v>
      </c>
    </row>
    <row r="248" spans="1:7" ht="30" customHeight="1">
      <c r="A248" s="8">
        <v>246</v>
      </c>
      <c r="B248" s="8" t="str">
        <f>"28922021033018092226357"</f>
        <v>28922021033018092226357</v>
      </c>
      <c r="C248" s="8" t="s">
        <v>10</v>
      </c>
      <c r="D248" s="8" t="str">
        <f>"周丽强"</f>
        <v>周丽强</v>
      </c>
      <c r="E248" s="8" t="str">
        <f t="shared" si="12"/>
        <v>女</v>
      </c>
      <c r="F248" s="8" t="str">
        <f>"海南省海口市"</f>
        <v>海南省海口市</v>
      </c>
      <c r="G248" s="8" t="str">
        <f>"海口市金盘实验学校"</f>
        <v>海口市金盘实验学校</v>
      </c>
    </row>
    <row r="249" spans="1:7" ht="30" customHeight="1">
      <c r="A249" s="8">
        <v>247</v>
      </c>
      <c r="B249" s="8" t="str">
        <f>"28922021033019544626626"</f>
        <v>28922021033019544626626</v>
      </c>
      <c r="C249" s="8" t="s">
        <v>10</v>
      </c>
      <c r="D249" s="8" t="str">
        <f>"覃春妮"</f>
        <v>覃春妮</v>
      </c>
      <c r="E249" s="8" t="str">
        <f t="shared" si="12"/>
        <v>女</v>
      </c>
      <c r="F249" s="8" t="str">
        <f>"海南省海口市琼山区"</f>
        <v>海南省海口市琼山区</v>
      </c>
      <c r="G249" s="8" t="str">
        <f>"海口市金盘实验学校"</f>
        <v>海口市金盘实验学校</v>
      </c>
    </row>
    <row r="250" spans="1:7" ht="30" customHeight="1">
      <c r="A250" s="8">
        <v>248</v>
      </c>
      <c r="B250" s="8" t="str">
        <f>"28922021033108403927538"</f>
        <v>28922021033108403927538</v>
      </c>
      <c r="C250" s="8" t="s">
        <v>10</v>
      </c>
      <c r="D250" s="8" t="str">
        <f>"郑海燕"</f>
        <v>郑海燕</v>
      </c>
      <c r="E250" s="8" t="str">
        <f t="shared" si="12"/>
        <v>女</v>
      </c>
      <c r="F250" s="8" t="str">
        <f>"海南省临高县"</f>
        <v>海南省临高县</v>
      </c>
      <c r="G250" s="8" t="str">
        <f>"海口市海瑞学校"</f>
        <v>海口市海瑞学校</v>
      </c>
    </row>
    <row r="251" spans="1:7" ht="30" customHeight="1">
      <c r="A251" s="8">
        <v>249</v>
      </c>
      <c r="B251" s="8" t="str">
        <f>"28922021033109134527670"</f>
        <v>28922021033109134527670</v>
      </c>
      <c r="C251" s="8" t="s">
        <v>10</v>
      </c>
      <c r="D251" s="8" t="str">
        <f>"郑送换"</f>
        <v>郑送换</v>
      </c>
      <c r="E251" s="8" t="str">
        <f t="shared" si="12"/>
        <v>女</v>
      </c>
      <c r="F251" s="8" t="str">
        <f>"海南省临高县"</f>
        <v>海南省临高县</v>
      </c>
      <c r="G251" s="8" t="str">
        <f>"海口市海瑞学校"</f>
        <v>海口市海瑞学校</v>
      </c>
    </row>
    <row r="252" spans="1:7" ht="30" customHeight="1">
      <c r="A252" s="8">
        <v>250</v>
      </c>
      <c r="B252" s="8" t="str">
        <f>"28922021033109365527778"</f>
        <v>28922021033109365527778</v>
      </c>
      <c r="C252" s="8" t="s">
        <v>10</v>
      </c>
      <c r="D252" s="8" t="str">
        <f>"黄靖颖"</f>
        <v>黄靖颖</v>
      </c>
      <c r="E252" s="8" t="str">
        <f t="shared" si="12"/>
        <v>女</v>
      </c>
      <c r="F252" s="8" t="str">
        <f>"四川省德阳市"</f>
        <v>四川省德阳市</v>
      </c>
      <c r="G252" s="8" t="str">
        <f>"海口市海瑞学校"</f>
        <v>海口市海瑞学校</v>
      </c>
    </row>
    <row r="253" spans="1:7" ht="30" customHeight="1">
      <c r="A253" s="8">
        <v>251</v>
      </c>
      <c r="B253" s="8" t="str">
        <f>"28922021033120114930146"</f>
        <v>28922021033120114930146</v>
      </c>
      <c r="C253" s="8" t="s">
        <v>10</v>
      </c>
      <c r="D253" s="8" t="str">
        <f>"李晶晶"</f>
        <v>李晶晶</v>
      </c>
      <c r="E253" s="8" t="str">
        <f t="shared" si="12"/>
        <v>女</v>
      </c>
      <c r="F253" s="8" t="str">
        <f>"浙江省台州市温岭市"</f>
        <v>浙江省台州市温岭市</v>
      </c>
      <c r="G253" s="8" t="str">
        <f>"海口市第九小学"</f>
        <v>海口市第九小学</v>
      </c>
    </row>
    <row r="254" spans="1:7" ht="30" customHeight="1">
      <c r="A254" s="8">
        <v>252</v>
      </c>
      <c r="B254" s="8" t="str">
        <f>"28922021040113413031693"</f>
        <v>28922021040113413031693</v>
      </c>
      <c r="C254" s="8" t="s">
        <v>10</v>
      </c>
      <c r="D254" s="8" t="str">
        <f>"席悦"</f>
        <v>席悦</v>
      </c>
      <c r="E254" s="8" t="str">
        <f t="shared" si="12"/>
        <v>女</v>
      </c>
      <c r="F254" s="8" t="str">
        <f>"宁夏回族自治区中卫市"</f>
        <v>宁夏回族自治区中卫市</v>
      </c>
      <c r="G254" s="8" t="str">
        <f>"海口市金盘实验学校"</f>
        <v>海口市金盘实验学校</v>
      </c>
    </row>
    <row r="255" spans="1:7" ht="30" customHeight="1">
      <c r="A255" s="8">
        <v>253</v>
      </c>
      <c r="B255" s="8" t="str">
        <f>"28922021040118452032427"</f>
        <v>28922021040118452032427</v>
      </c>
      <c r="C255" s="8" t="s">
        <v>10</v>
      </c>
      <c r="D255" s="8" t="str">
        <f>"侯雨昂"</f>
        <v>侯雨昂</v>
      </c>
      <c r="E255" s="8" t="str">
        <f t="shared" si="12"/>
        <v>女</v>
      </c>
      <c r="F255" s="8" t="str">
        <f>"黑龙江省哈尔滨市"</f>
        <v>黑龙江省哈尔滨市</v>
      </c>
      <c r="G255" s="8" t="str">
        <f>"海口市第二十六小学"</f>
        <v>海口市第二十六小学</v>
      </c>
    </row>
    <row r="256" spans="1:7" ht="30" customHeight="1">
      <c r="A256" s="8">
        <v>254</v>
      </c>
      <c r="B256" s="8" t="str">
        <f>"28922021040121325232638"</f>
        <v>28922021040121325232638</v>
      </c>
      <c r="C256" s="8" t="s">
        <v>10</v>
      </c>
      <c r="D256" s="8" t="str">
        <f>"叶燕婷"</f>
        <v>叶燕婷</v>
      </c>
      <c r="E256" s="8" t="str">
        <f t="shared" si="12"/>
        <v>女</v>
      </c>
      <c r="F256" s="8" t="str">
        <f>"海南省儋州市"</f>
        <v>海南省儋州市</v>
      </c>
      <c r="G256" s="8" t="str">
        <f>"海口市海瑞学校"</f>
        <v>海口市海瑞学校</v>
      </c>
    </row>
    <row r="257" spans="1:7" ht="30" customHeight="1">
      <c r="A257" s="8">
        <v>255</v>
      </c>
      <c r="B257" s="8" t="str">
        <f>"28922021040210023733710"</f>
        <v>28922021040210023733710</v>
      </c>
      <c r="C257" s="8" t="s">
        <v>10</v>
      </c>
      <c r="D257" s="8" t="str">
        <f>"张利红"</f>
        <v>张利红</v>
      </c>
      <c r="E257" s="8" t="str">
        <f t="shared" si="12"/>
        <v>女</v>
      </c>
      <c r="F257" s="8" t="str">
        <f>"河北省张家口市蔚县"</f>
        <v>河北省张家口市蔚县</v>
      </c>
      <c r="G257" s="8" t="str">
        <f>"海口市玉沙实验学校"</f>
        <v>海口市玉沙实验学校</v>
      </c>
    </row>
    <row r="258" spans="1:7" ht="30" customHeight="1">
      <c r="A258" s="8">
        <v>256</v>
      </c>
      <c r="B258" s="8" t="str">
        <f>"28922021040213513534979"</f>
        <v>28922021040213513534979</v>
      </c>
      <c r="C258" s="8" t="s">
        <v>10</v>
      </c>
      <c r="D258" s="8" t="str">
        <f>"陈佳灵"</f>
        <v>陈佳灵</v>
      </c>
      <c r="E258" s="8" t="str">
        <f t="shared" si="12"/>
        <v>女</v>
      </c>
      <c r="F258" s="8" t="str">
        <f>"海南省乐东县"</f>
        <v>海南省乐东县</v>
      </c>
      <c r="G258" s="8" t="str">
        <f>"海南省农垦直属第三小学"</f>
        <v>海南省农垦直属第三小学</v>
      </c>
    </row>
    <row r="259" spans="1:7" ht="30" customHeight="1">
      <c r="A259" s="8">
        <v>257</v>
      </c>
      <c r="B259" s="8" t="str">
        <f>"28922021032709291113306"</f>
        <v>28922021032709291113306</v>
      </c>
      <c r="C259" s="8" t="s">
        <v>11</v>
      </c>
      <c r="D259" s="8" t="str">
        <f>"许小连"</f>
        <v>许小连</v>
      </c>
      <c r="E259" s="8" t="str">
        <f t="shared" si="12"/>
        <v>女</v>
      </c>
      <c r="F259" s="8" t="str">
        <f>"海南省澄迈县"</f>
        <v>海南省澄迈县</v>
      </c>
      <c r="G259" s="8" t="str">
        <f>"海口市城西小学"</f>
        <v>海口市城西小学</v>
      </c>
    </row>
    <row r="260" spans="1:7" ht="30" customHeight="1">
      <c r="A260" s="8">
        <v>258</v>
      </c>
      <c r="B260" s="8" t="str">
        <f>"28922021032709570313387"</f>
        <v>28922021032709570313387</v>
      </c>
      <c r="C260" s="8" t="s">
        <v>11</v>
      </c>
      <c r="D260" s="8" t="str">
        <f>"邱名月"</f>
        <v>邱名月</v>
      </c>
      <c r="E260" s="8" t="str">
        <f t="shared" si="12"/>
        <v>女</v>
      </c>
      <c r="F260" s="8" t="str">
        <f>"海南儋州"</f>
        <v>海南儋州</v>
      </c>
      <c r="G260" s="8" t="str">
        <f>"海口市第九小学"</f>
        <v>海口市第九小学</v>
      </c>
    </row>
    <row r="261" spans="1:7" ht="30" customHeight="1">
      <c r="A261" s="8">
        <v>259</v>
      </c>
      <c r="B261" s="8" t="str">
        <f>"28922021032710412513518"</f>
        <v>28922021032710412513518</v>
      </c>
      <c r="C261" s="8" t="s">
        <v>11</v>
      </c>
      <c r="D261" s="8" t="str">
        <f>"叶贞洁"</f>
        <v>叶贞洁</v>
      </c>
      <c r="E261" s="8" t="str">
        <f t="shared" si="12"/>
        <v>女</v>
      </c>
      <c r="F261" s="8" t="str">
        <f>"海南万宁"</f>
        <v>海南万宁</v>
      </c>
      <c r="G261" s="8" t="str">
        <f>"海南省农垦直属第二小学"</f>
        <v>海南省农垦直属第二小学</v>
      </c>
    </row>
    <row r="262" spans="1:7" ht="30" customHeight="1">
      <c r="A262" s="8">
        <v>260</v>
      </c>
      <c r="B262" s="8" t="str">
        <f>"28922021032712114313741"</f>
        <v>28922021032712114313741</v>
      </c>
      <c r="C262" s="8" t="s">
        <v>11</v>
      </c>
      <c r="D262" s="8" t="str">
        <f>"陈慧"</f>
        <v>陈慧</v>
      </c>
      <c r="E262" s="8" t="str">
        <f t="shared" si="12"/>
        <v>女</v>
      </c>
      <c r="F262" s="8" t="str">
        <f>"海南省澄迈县"</f>
        <v>海南省澄迈县</v>
      </c>
      <c r="G262" s="8" t="str">
        <f>"海口市西湖实验学校"</f>
        <v>海口市西湖实验学校</v>
      </c>
    </row>
    <row r="263" spans="1:7" ht="30" customHeight="1">
      <c r="A263" s="8">
        <v>261</v>
      </c>
      <c r="B263" s="8" t="str">
        <f>"28922021032713355413908"</f>
        <v>28922021032713355413908</v>
      </c>
      <c r="C263" s="8" t="s">
        <v>11</v>
      </c>
      <c r="D263" s="8" t="str">
        <f>"吉亚认"</f>
        <v>吉亚认</v>
      </c>
      <c r="E263" s="8" t="str">
        <f t="shared" si="12"/>
        <v>女</v>
      </c>
      <c r="F263" s="8" t="str">
        <f>"海南省乐东县"</f>
        <v>海南省乐东县</v>
      </c>
      <c r="G263" s="8" t="str">
        <f>"海口市第九小学"</f>
        <v>海口市第九小学</v>
      </c>
    </row>
    <row r="264" spans="1:7" ht="30" customHeight="1">
      <c r="A264" s="8">
        <v>262</v>
      </c>
      <c r="B264" s="8" t="str">
        <f>"28922021032716503914217"</f>
        <v>28922021032716503914217</v>
      </c>
      <c r="C264" s="8" t="s">
        <v>11</v>
      </c>
      <c r="D264" s="8" t="str">
        <f>"薛春"</f>
        <v>薛春</v>
      </c>
      <c r="E264" s="8" t="str">
        <f t="shared" si="12"/>
        <v>女</v>
      </c>
      <c r="F264" s="8" t="str">
        <f>"海南省儋州市"</f>
        <v>海南省儋州市</v>
      </c>
      <c r="G264" s="8" t="str">
        <f>"海口市西湖实验学校"</f>
        <v>海口市西湖实验学校</v>
      </c>
    </row>
    <row r="265" spans="1:7" ht="30" customHeight="1">
      <c r="A265" s="8">
        <v>263</v>
      </c>
      <c r="B265" s="8" t="str">
        <f>"28922021032719454314575"</f>
        <v>28922021032719454314575</v>
      </c>
      <c r="C265" s="8" t="s">
        <v>11</v>
      </c>
      <c r="D265" s="8" t="str">
        <f>"黄琮嵛"</f>
        <v>黄琮嵛</v>
      </c>
      <c r="E265" s="8" t="str">
        <f t="shared" si="12"/>
        <v>女</v>
      </c>
      <c r="F265" s="8" t="str">
        <f>"海南省琼海市大路镇青天村委会典桥三村"</f>
        <v>海南省琼海市大路镇青天村委会典桥三村</v>
      </c>
      <c r="G265" s="8" t="str">
        <f>"海口市西湖实验学校"</f>
        <v>海口市西湖实验学校</v>
      </c>
    </row>
    <row r="266" spans="1:7" ht="30" customHeight="1">
      <c r="A266" s="8">
        <v>264</v>
      </c>
      <c r="B266" s="8" t="str">
        <f>"28922021032720273914666"</f>
        <v>28922021032720273914666</v>
      </c>
      <c r="C266" s="8" t="s">
        <v>11</v>
      </c>
      <c r="D266" s="8" t="str">
        <f>"贾凡"</f>
        <v>贾凡</v>
      </c>
      <c r="E266" s="8" t="str">
        <f t="shared" si="12"/>
        <v>女</v>
      </c>
      <c r="F266" s="8" t="str">
        <f>"海南省海口市"</f>
        <v>海南省海口市</v>
      </c>
      <c r="G266" s="8" t="str">
        <f>"海口市西湖实验学校"</f>
        <v>海口市西湖实验学校</v>
      </c>
    </row>
    <row r="267" spans="1:7" ht="30" customHeight="1">
      <c r="A267" s="8">
        <v>265</v>
      </c>
      <c r="B267" s="8" t="str">
        <f>"28922021032720560514743"</f>
        <v>28922021032720560514743</v>
      </c>
      <c r="C267" s="8" t="s">
        <v>11</v>
      </c>
      <c r="D267" s="8" t="str">
        <f>"杨迪淇"</f>
        <v>杨迪淇</v>
      </c>
      <c r="E267" s="8" t="str">
        <f t="shared" si="12"/>
        <v>女</v>
      </c>
      <c r="F267" s="8" t="str">
        <f>"海南省文昌市东阁镇"</f>
        <v>海南省文昌市东阁镇</v>
      </c>
      <c r="G267" s="8" t="str">
        <f>"海口市第九小学"</f>
        <v>海口市第九小学</v>
      </c>
    </row>
    <row r="268" spans="1:7" ht="30" customHeight="1">
      <c r="A268" s="8">
        <v>266</v>
      </c>
      <c r="B268" s="8" t="str">
        <f>"28922021032722480715050"</f>
        <v>28922021032722480715050</v>
      </c>
      <c r="C268" s="8" t="s">
        <v>11</v>
      </c>
      <c r="D268" s="8" t="str">
        <f>"高懿川"</f>
        <v>高懿川</v>
      </c>
      <c r="E268" s="8" t="str">
        <f t="shared" si="12"/>
        <v>女</v>
      </c>
      <c r="F268" s="8" t="str">
        <f>"海南省儋州市"</f>
        <v>海南省儋州市</v>
      </c>
      <c r="G268" s="8" t="str">
        <f>"海口市第九小学"</f>
        <v>海口市第九小学</v>
      </c>
    </row>
    <row r="269" spans="1:7" ht="30" customHeight="1">
      <c r="A269" s="8">
        <v>267</v>
      </c>
      <c r="B269" s="8" t="str">
        <f>"28922021032808514115427"</f>
        <v>28922021032808514115427</v>
      </c>
      <c r="C269" s="8" t="s">
        <v>11</v>
      </c>
      <c r="D269" s="8" t="str">
        <f>"赖维"</f>
        <v>赖维</v>
      </c>
      <c r="E269" s="8" t="str">
        <f t="shared" si="12"/>
        <v>女</v>
      </c>
      <c r="F269" s="8" t="str">
        <f>"江西省赣州市大余县"</f>
        <v>江西省赣州市大余县</v>
      </c>
      <c r="G269" s="8" t="str">
        <f>"海口市第九小学"</f>
        <v>海口市第九小学</v>
      </c>
    </row>
    <row r="270" spans="1:7" ht="30" customHeight="1">
      <c r="A270" s="8">
        <v>268</v>
      </c>
      <c r="B270" s="8" t="str">
        <f>"28922021032809421715533"</f>
        <v>28922021032809421715533</v>
      </c>
      <c r="C270" s="8" t="s">
        <v>11</v>
      </c>
      <c r="D270" s="8" t="str">
        <f>"张淼"</f>
        <v>张淼</v>
      </c>
      <c r="E270" s="8" t="str">
        <f t="shared" si="12"/>
        <v>女</v>
      </c>
      <c r="F270" s="8" t="str">
        <f>"宁夏回族自治区吴忠市"</f>
        <v>宁夏回族自治区吴忠市</v>
      </c>
      <c r="G270" s="8" t="str">
        <f>"海口市第九小学"</f>
        <v>海口市第九小学</v>
      </c>
    </row>
    <row r="271" spans="1:7" ht="30" customHeight="1">
      <c r="A271" s="8">
        <v>269</v>
      </c>
      <c r="B271" s="8" t="str">
        <f>"28922021032814480816427"</f>
        <v>28922021032814480816427</v>
      </c>
      <c r="C271" s="8" t="s">
        <v>11</v>
      </c>
      <c r="D271" s="8" t="str">
        <f>"吴倩倩"</f>
        <v>吴倩倩</v>
      </c>
      <c r="E271" s="8" t="str">
        <f t="shared" si="12"/>
        <v>女</v>
      </c>
      <c r="F271" s="8" t="str">
        <f>"安徽省铜陵市"</f>
        <v>安徽省铜陵市</v>
      </c>
      <c r="G271" s="8" t="str">
        <f>"海口市第二十六小学"</f>
        <v>海口市第二十六小学</v>
      </c>
    </row>
    <row r="272" spans="1:7" ht="30" customHeight="1">
      <c r="A272" s="8">
        <v>270</v>
      </c>
      <c r="B272" s="8" t="str">
        <f>"28922021032815075716490"</f>
        <v>28922021032815075716490</v>
      </c>
      <c r="C272" s="8" t="s">
        <v>11</v>
      </c>
      <c r="D272" s="8" t="str">
        <f>"林先柔"</f>
        <v>林先柔</v>
      </c>
      <c r="E272" s="8" t="str">
        <f t="shared" si="12"/>
        <v>女</v>
      </c>
      <c r="F272" s="8" t="str">
        <f>"海南省海口市龙华区南沙路73号太阳能政府宿舍"</f>
        <v>海南省海口市龙华区南沙路73号太阳能政府宿舍</v>
      </c>
      <c r="G272" s="8" t="str">
        <f>"海南省农垦直属第二小学"</f>
        <v>海南省农垦直属第二小学</v>
      </c>
    </row>
    <row r="273" spans="1:7" ht="30" customHeight="1">
      <c r="A273" s="8">
        <v>271</v>
      </c>
      <c r="B273" s="8" t="str">
        <f>"28922021032821101817366"</f>
        <v>28922021032821101817366</v>
      </c>
      <c r="C273" s="8" t="s">
        <v>11</v>
      </c>
      <c r="D273" s="8" t="str">
        <f>"覃君茹"</f>
        <v>覃君茹</v>
      </c>
      <c r="E273" s="8" t="str">
        <f t="shared" si="12"/>
        <v>女</v>
      </c>
      <c r="F273" s="8" t="str">
        <f>"海南省琼海市"</f>
        <v>海南省琼海市</v>
      </c>
      <c r="G273" s="8" t="str">
        <f>"海南省农垦直属第二小学"</f>
        <v>海南省农垦直属第二小学</v>
      </c>
    </row>
    <row r="274" spans="1:7" ht="30" customHeight="1">
      <c r="A274" s="8">
        <v>272</v>
      </c>
      <c r="B274" s="8" t="str">
        <f>"28922021032909170618392"</f>
        <v>28922021032909170618392</v>
      </c>
      <c r="C274" s="8" t="s">
        <v>11</v>
      </c>
      <c r="D274" s="8" t="str">
        <f>"代燚"</f>
        <v>代燚</v>
      </c>
      <c r="E274" s="8" t="str">
        <f t="shared" si="12"/>
        <v>女</v>
      </c>
      <c r="F274" s="8" t="str">
        <f>"新疆巩留县阔尔吉镇73团镇江路金琪珊小区3单元302室"</f>
        <v>新疆巩留县阔尔吉镇73团镇江路金琪珊小区3单元302室</v>
      </c>
      <c r="G274" s="8" t="str">
        <f>"海口市金盘实验学校"</f>
        <v>海口市金盘实验学校</v>
      </c>
    </row>
    <row r="275" spans="1:7" ht="30" customHeight="1">
      <c r="A275" s="8">
        <v>273</v>
      </c>
      <c r="B275" s="8" t="str">
        <f>"28922021032909531918887"</f>
        <v>28922021032909531918887</v>
      </c>
      <c r="C275" s="8" t="s">
        <v>11</v>
      </c>
      <c r="D275" s="8" t="str">
        <f>"陈雪柔"</f>
        <v>陈雪柔</v>
      </c>
      <c r="E275" s="8" t="str">
        <f t="shared" si="12"/>
        <v>女</v>
      </c>
      <c r="F275" s="8" t="str">
        <f>"海南省万宁市和乐镇"</f>
        <v>海南省万宁市和乐镇</v>
      </c>
      <c r="G275" s="8" t="str">
        <f>"海口市第九小学"</f>
        <v>海口市第九小学</v>
      </c>
    </row>
    <row r="276" spans="1:7" ht="30" customHeight="1">
      <c r="A276" s="8">
        <v>274</v>
      </c>
      <c r="B276" s="8" t="str">
        <f>"28922021032911015419762"</f>
        <v>28922021032911015419762</v>
      </c>
      <c r="C276" s="8" t="s">
        <v>11</v>
      </c>
      <c r="D276" s="8" t="str">
        <f>"庄丽"</f>
        <v>庄丽</v>
      </c>
      <c r="E276" s="8" t="str">
        <f t="shared" si="12"/>
        <v>女</v>
      </c>
      <c r="F276" s="8" t="str">
        <f>"海南省海口市"</f>
        <v>海南省海口市</v>
      </c>
      <c r="G276" s="8" t="str">
        <f>"海口市第二十六小学"</f>
        <v>海口市第二十六小学</v>
      </c>
    </row>
    <row r="277" spans="1:7" ht="30" customHeight="1">
      <c r="A277" s="8">
        <v>275</v>
      </c>
      <c r="B277" s="8" t="str">
        <f>"28922021032911192019926"</f>
        <v>28922021032911192019926</v>
      </c>
      <c r="C277" s="8" t="s">
        <v>11</v>
      </c>
      <c r="D277" s="8" t="str">
        <f>"吴诚悦"</f>
        <v>吴诚悦</v>
      </c>
      <c r="E277" s="8" t="str">
        <f t="shared" si="12"/>
        <v>女</v>
      </c>
      <c r="F277" s="8" t="str">
        <f>"海南省海口市"</f>
        <v>海南省海口市</v>
      </c>
      <c r="G277" s="8" t="str">
        <f>"海口市海燕小学"</f>
        <v>海口市海燕小学</v>
      </c>
    </row>
    <row r="278" spans="1:7" ht="30" customHeight="1">
      <c r="A278" s="8">
        <v>276</v>
      </c>
      <c r="B278" s="8" t="str">
        <f>"28922021032911241619983"</f>
        <v>28922021032911241619983</v>
      </c>
      <c r="C278" s="8" t="s">
        <v>11</v>
      </c>
      <c r="D278" s="8" t="str">
        <f>"陈雪"</f>
        <v>陈雪</v>
      </c>
      <c r="E278" s="8" t="str">
        <f t="shared" si="12"/>
        <v>女</v>
      </c>
      <c r="F278" s="8" t="str">
        <f>"海南省海口市"</f>
        <v>海南省海口市</v>
      </c>
      <c r="G278" s="8" t="str">
        <f>"海口市金盘实验学校"</f>
        <v>海口市金盘实验学校</v>
      </c>
    </row>
    <row r="279" spans="1:7" ht="30" customHeight="1">
      <c r="A279" s="8">
        <v>277</v>
      </c>
      <c r="B279" s="8" t="str">
        <f>"28922021032911284220037"</f>
        <v>28922021032911284220037</v>
      </c>
      <c r="C279" s="8" t="s">
        <v>11</v>
      </c>
      <c r="D279" s="8" t="str">
        <f>"陈俊怡"</f>
        <v>陈俊怡</v>
      </c>
      <c r="E279" s="8" t="str">
        <f t="shared" si="12"/>
        <v>女</v>
      </c>
      <c r="F279" s="8" t="str">
        <f>"江西省赣州市信丰县油山镇红米段社区"</f>
        <v>江西省赣州市信丰县油山镇红米段社区</v>
      </c>
      <c r="G279" s="8" t="str">
        <f>"海口市第二十六小学"</f>
        <v>海口市第二十六小学</v>
      </c>
    </row>
    <row r="280" spans="1:7" ht="30" customHeight="1">
      <c r="A280" s="8">
        <v>278</v>
      </c>
      <c r="B280" s="8" t="str">
        <f>"28922021032915371121465"</f>
        <v>28922021032915371121465</v>
      </c>
      <c r="C280" s="8" t="s">
        <v>11</v>
      </c>
      <c r="D280" s="8" t="str">
        <f>"曹朗"</f>
        <v>曹朗</v>
      </c>
      <c r="E280" s="8" t="str">
        <f t="shared" si="12"/>
        <v>女</v>
      </c>
      <c r="F280" s="8" t="str">
        <f>"黑龙江省哈尔滨市香坊区"</f>
        <v>黑龙江省哈尔滨市香坊区</v>
      </c>
      <c r="G280" s="8" t="str">
        <f>"海口市第九小学"</f>
        <v>海口市第九小学</v>
      </c>
    </row>
    <row r="281" spans="1:7" ht="30" customHeight="1">
      <c r="A281" s="8">
        <v>279</v>
      </c>
      <c r="B281" s="8" t="str">
        <f>"28922021032915445321520"</f>
        <v>28922021032915445321520</v>
      </c>
      <c r="C281" s="8" t="s">
        <v>11</v>
      </c>
      <c r="D281" s="8" t="str">
        <f>"周荟"</f>
        <v>周荟</v>
      </c>
      <c r="E281" s="8" t="str">
        <f t="shared" si="12"/>
        <v>女</v>
      </c>
      <c r="F281" s="8" t="str">
        <f>"海南省琼海市"</f>
        <v>海南省琼海市</v>
      </c>
      <c r="G281" s="8" t="str">
        <f>"海南省农垦直属第二小学"</f>
        <v>海南省农垦直属第二小学</v>
      </c>
    </row>
    <row r="282" spans="1:7" ht="30" customHeight="1">
      <c r="A282" s="8">
        <v>280</v>
      </c>
      <c r="B282" s="8" t="str">
        <f>"28922021032918231222404"</f>
        <v>28922021032918231222404</v>
      </c>
      <c r="C282" s="8" t="s">
        <v>11</v>
      </c>
      <c r="D282" s="8" t="str">
        <f>"杨忠燕"</f>
        <v>杨忠燕</v>
      </c>
      <c r="E282" s="8" t="str">
        <f t="shared" si="12"/>
        <v>女</v>
      </c>
      <c r="F282" s="8" t="str">
        <f>"海南省昌江县"</f>
        <v>海南省昌江县</v>
      </c>
      <c r="G282" s="8" t="str">
        <f>"海南省农垦直属第二小学"</f>
        <v>海南省农垦直属第二小学</v>
      </c>
    </row>
    <row r="283" spans="1:7" ht="30" customHeight="1">
      <c r="A283" s="8">
        <v>281</v>
      </c>
      <c r="B283" s="8" t="str">
        <f>"28922021032918494322502"</f>
        <v>28922021032918494322502</v>
      </c>
      <c r="C283" s="8" t="s">
        <v>11</v>
      </c>
      <c r="D283" s="8" t="str">
        <f>"吴李莲"</f>
        <v>吴李莲</v>
      </c>
      <c r="E283" s="8" t="str">
        <f t="shared" si="12"/>
        <v>女</v>
      </c>
      <c r="F283" s="8" t="str">
        <f>"海南海口"</f>
        <v>海南海口</v>
      </c>
      <c r="G283" s="8" t="str">
        <f>"海口市第二十六小学"</f>
        <v>海口市第二十六小学</v>
      </c>
    </row>
    <row r="284" spans="1:7" ht="30" customHeight="1">
      <c r="A284" s="8">
        <v>282</v>
      </c>
      <c r="B284" s="8" t="str">
        <f>"28922021032923393723705"</f>
        <v>28922021032923393723705</v>
      </c>
      <c r="C284" s="8" t="s">
        <v>11</v>
      </c>
      <c r="D284" s="8" t="str">
        <f>"钟文银"</f>
        <v>钟文银</v>
      </c>
      <c r="E284" s="8" t="str">
        <f t="shared" si="12"/>
        <v>女</v>
      </c>
      <c r="F284" s="8" t="str">
        <f>"海南省屯昌县"</f>
        <v>海南省屯昌县</v>
      </c>
      <c r="G284" s="8" t="str">
        <f>"海南省农垦直属第二小学"</f>
        <v>海南省农垦直属第二小学</v>
      </c>
    </row>
    <row r="285" spans="1:7" ht="30" customHeight="1">
      <c r="A285" s="8">
        <v>283</v>
      </c>
      <c r="B285" s="8" t="str">
        <f>"28922021033015202425680"</f>
        <v>28922021033015202425680</v>
      </c>
      <c r="C285" s="8" t="s">
        <v>11</v>
      </c>
      <c r="D285" s="8" t="str">
        <f>"林璐"</f>
        <v>林璐</v>
      </c>
      <c r="E285" s="8" t="str">
        <f t="shared" si="12"/>
        <v>女</v>
      </c>
      <c r="F285" s="8" t="str">
        <f>"海南省万宁市"</f>
        <v>海南省万宁市</v>
      </c>
      <c r="G285" s="8" t="str">
        <f>"海南省农垦直属第一小学"</f>
        <v>海南省农垦直属第一小学</v>
      </c>
    </row>
    <row r="286" spans="1:7" ht="30" customHeight="1">
      <c r="A286" s="8">
        <v>284</v>
      </c>
      <c r="B286" s="8" t="str">
        <f>"28922021033015460125809"</f>
        <v>28922021033015460125809</v>
      </c>
      <c r="C286" s="8" t="s">
        <v>11</v>
      </c>
      <c r="D286" s="8" t="str">
        <f>"黄嗣洋"</f>
        <v>黄嗣洋</v>
      </c>
      <c r="E286" s="8" t="str">
        <f t="shared" si="12"/>
        <v>女</v>
      </c>
      <c r="F286" s="8" t="str">
        <f>"广东省佛山市"</f>
        <v>广东省佛山市</v>
      </c>
      <c r="G286" s="8" t="str">
        <f>"海口市西湖实验学校"</f>
        <v>海口市西湖实验学校</v>
      </c>
    </row>
    <row r="287" spans="1:7" ht="30" customHeight="1">
      <c r="A287" s="8">
        <v>285</v>
      </c>
      <c r="B287" s="8" t="str">
        <f>"28922021033016260726006"</f>
        <v>28922021033016260726006</v>
      </c>
      <c r="C287" s="8" t="s">
        <v>11</v>
      </c>
      <c r="D287" s="8" t="str">
        <f>"李井宝"</f>
        <v>李井宝</v>
      </c>
      <c r="E287" s="8" t="str">
        <f t="shared" si="12"/>
        <v>女</v>
      </c>
      <c r="F287" s="8" t="str">
        <f>"海南省儋州市"</f>
        <v>海南省儋州市</v>
      </c>
      <c r="G287" s="8" t="str">
        <f>"海南省农垦直属第二小学"</f>
        <v>海南省农垦直属第二小学</v>
      </c>
    </row>
    <row r="288" spans="1:7" ht="30" customHeight="1">
      <c r="A288" s="8">
        <v>286</v>
      </c>
      <c r="B288" s="8" t="str">
        <f>"28922021033017292226236"</f>
        <v>28922021033017292226236</v>
      </c>
      <c r="C288" s="8" t="s">
        <v>11</v>
      </c>
      <c r="D288" s="8" t="str">
        <f>"陈慧妤"</f>
        <v>陈慧妤</v>
      </c>
      <c r="E288" s="8" t="str">
        <f t="shared" si="12"/>
        <v>女</v>
      </c>
      <c r="F288" s="8" t="str">
        <f>"海南省东方市"</f>
        <v>海南省东方市</v>
      </c>
      <c r="G288" s="8" t="str">
        <f>"海口市第二十六小学"</f>
        <v>海口市第二十六小学</v>
      </c>
    </row>
    <row r="289" spans="1:7" ht="30" customHeight="1">
      <c r="A289" s="8">
        <v>287</v>
      </c>
      <c r="B289" s="8" t="str">
        <f>"28922021033020171526698"</f>
        <v>28922021033020171526698</v>
      </c>
      <c r="C289" s="8" t="s">
        <v>11</v>
      </c>
      <c r="D289" s="8" t="str">
        <f>"庄小惠"</f>
        <v>庄小惠</v>
      </c>
      <c r="E289" s="8" t="str">
        <f t="shared" si="12"/>
        <v>女</v>
      </c>
      <c r="F289" s="8" t="str">
        <f>"广东省湛江市"</f>
        <v>广东省湛江市</v>
      </c>
      <c r="G289" s="8" t="str">
        <f>"海南省农垦直属第二小学"</f>
        <v>海南省农垦直属第二小学</v>
      </c>
    </row>
    <row r="290" spans="1:7" ht="30" customHeight="1">
      <c r="A290" s="8">
        <v>288</v>
      </c>
      <c r="B290" s="8" t="str">
        <f>"28922021033021325026953"</f>
        <v>28922021033021325026953</v>
      </c>
      <c r="C290" s="8" t="s">
        <v>11</v>
      </c>
      <c r="D290" s="8" t="str">
        <f>"李沙沙"</f>
        <v>李沙沙</v>
      </c>
      <c r="E290" s="8" t="str">
        <f t="shared" si="12"/>
        <v>女</v>
      </c>
      <c r="F290" s="8" t="str">
        <f>"河北省邯郸市永年区临洺关镇施庄村五区164号"</f>
        <v>河北省邯郸市永年区临洺关镇施庄村五区164号</v>
      </c>
      <c r="G290" s="8" t="str">
        <f>"海口市西湖实验学校"</f>
        <v>海口市西湖实验学校</v>
      </c>
    </row>
    <row r="291" spans="1:7" ht="30" customHeight="1">
      <c r="A291" s="8">
        <v>289</v>
      </c>
      <c r="B291" s="8" t="str">
        <f>"28922021033111330828348"</f>
        <v>28922021033111330828348</v>
      </c>
      <c r="C291" s="8" t="s">
        <v>11</v>
      </c>
      <c r="D291" s="8" t="str">
        <f>"牛乐乐"</f>
        <v>牛乐乐</v>
      </c>
      <c r="E291" s="8" t="str">
        <f t="shared" si="12"/>
        <v>女</v>
      </c>
      <c r="F291" s="8" t="str">
        <f>"海南省琼山区龙昆南路99号海南师范大学"</f>
        <v>海南省琼山区龙昆南路99号海南师范大学</v>
      </c>
      <c r="G291" s="8" t="str">
        <f>"海口市第九小学"</f>
        <v>海口市第九小学</v>
      </c>
    </row>
    <row r="292" spans="1:7" ht="30" customHeight="1">
      <c r="A292" s="8">
        <v>290</v>
      </c>
      <c r="B292" s="8" t="str">
        <f>"28922021033117175029359"</f>
        <v>28922021033117175029359</v>
      </c>
      <c r="C292" s="8" t="s">
        <v>11</v>
      </c>
      <c r="D292" s="8" t="str">
        <f>"唐小茹"</f>
        <v>唐小茹</v>
      </c>
      <c r="E292" s="8" t="str">
        <f t="shared" si="12"/>
        <v>女</v>
      </c>
      <c r="F292" s="8" t="str">
        <f>"海南省定安县"</f>
        <v>海南省定安县</v>
      </c>
      <c r="G292" s="8" t="str">
        <f>"海口市秀峰实验学校"</f>
        <v>海口市秀峰实验学校</v>
      </c>
    </row>
    <row r="293" spans="1:7" ht="30" customHeight="1">
      <c r="A293" s="8">
        <v>291</v>
      </c>
      <c r="B293" s="8" t="str">
        <f>"28922021033123232530597"</f>
        <v>28922021033123232530597</v>
      </c>
      <c r="C293" s="8" t="s">
        <v>11</v>
      </c>
      <c r="D293" s="8" t="str">
        <f>"文晴"</f>
        <v>文晴</v>
      </c>
      <c r="E293" s="8" t="str">
        <f t="shared" si="12"/>
        <v>女</v>
      </c>
      <c r="F293" s="8" t="str">
        <f>"海南东方"</f>
        <v>海南东方</v>
      </c>
      <c r="G293" s="8" t="str">
        <f>"海口市西湖实验学校"</f>
        <v>海口市西湖实验学校</v>
      </c>
    </row>
    <row r="294" spans="1:7" ht="30" customHeight="1">
      <c r="A294" s="8">
        <v>292</v>
      </c>
      <c r="B294" s="8" t="str">
        <f>"28922021040111022531306"</f>
        <v>28922021040111022531306</v>
      </c>
      <c r="C294" s="8" t="s">
        <v>11</v>
      </c>
      <c r="D294" s="8" t="str">
        <f>"吴伊洁"</f>
        <v>吴伊洁</v>
      </c>
      <c r="E294" s="8" t="str">
        <f t="shared" si="12"/>
        <v>女</v>
      </c>
      <c r="F294" s="8" t="str">
        <f>"海南省万宁市"</f>
        <v>海南省万宁市</v>
      </c>
      <c r="G294" s="8" t="str">
        <f>"海口市城西小学"</f>
        <v>海口市城西小学</v>
      </c>
    </row>
    <row r="295" spans="1:7" ht="30" customHeight="1">
      <c r="A295" s="8">
        <v>293</v>
      </c>
      <c r="B295" s="8" t="str">
        <f>"28922021040115102231914"</f>
        <v>28922021040115102231914</v>
      </c>
      <c r="C295" s="8" t="s">
        <v>11</v>
      </c>
      <c r="D295" s="8" t="str">
        <f>"崔鹏"</f>
        <v>崔鹏</v>
      </c>
      <c r="E295" s="8" t="str">
        <f>"男"</f>
        <v>男</v>
      </c>
      <c r="F295" s="8" t="str">
        <f>"河南省修武县"</f>
        <v>河南省修武县</v>
      </c>
      <c r="G295" s="8" t="str">
        <f>"海口市第九小学"</f>
        <v>海口市第九小学</v>
      </c>
    </row>
    <row r="296" spans="1:7" ht="30" customHeight="1">
      <c r="A296" s="8">
        <v>294</v>
      </c>
      <c r="B296" s="8" t="str">
        <f>"28922021040115164731938"</f>
        <v>28922021040115164731938</v>
      </c>
      <c r="C296" s="8" t="s">
        <v>11</v>
      </c>
      <c r="D296" s="8" t="str">
        <f>"吴环琴"</f>
        <v>吴环琴</v>
      </c>
      <c r="E296" s="8" t="str">
        <f aca="true" t="shared" si="13" ref="E296:E301">"女"</f>
        <v>女</v>
      </c>
      <c r="F296" s="8" t="str">
        <f>"海南省澄迈县"</f>
        <v>海南省澄迈县</v>
      </c>
      <c r="G296" s="8" t="str">
        <f>"海口市城西小学"</f>
        <v>海口市城西小学</v>
      </c>
    </row>
    <row r="297" spans="1:7" ht="30" customHeight="1">
      <c r="A297" s="8">
        <v>295</v>
      </c>
      <c r="B297" s="8" t="str">
        <f>"28922021040120080832533"</f>
        <v>28922021040120080832533</v>
      </c>
      <c r="C297" s="8" t="s">
        <v>11</v>
      </c>
      <c r="D297" s="8" t="str">
        <f>"陈青联"</f>
        <v>陈青联</v>
      </c>
      <c r="E297" s="8" t="str">
        <f t="shared" si="13"/>
        <v>女</v>
      </c>
      <c r="F297" s="8" t="str">
        <f>"海南省洋浦经济开发区三都镇"</f>
        <v>海南省洋浦经济开发区三都镇</v>
      </c>
      <c r="G297" s="8" t="str">
        <f>"海口市西湖实验学校"</f>
        <v>海口市西湖实验学校</v>
      </c>
    </row>
    <row r="298" spans="1:7" ht="30" customHeight="1">
      <c r="A298" s="8">
        <v>296</v>
      </c>
      <c r="B298" s="8" t="str">
        <f>"28922021040209451333573"</f>
        <v>28922021040209451333573</v>
      </c>
      <c r="C298" s="8" t="s">
        <v>11</v>
      </c>
      <c r="D298" s="8" t="str">
        <f>"何俊颉"</f>
        <v>何俊颉</v>
      </c>
      <c r="E298" s="8" t="str">
        <f t="shared" si="13"/>
        <v>女</v>
      </c>
      <c r="F298" s="8" t="str">
        <f>"海南省东方市"</f>
        <v>海南省东方市</v>
      </c>
      <c r="G298" s="8" t="str">
        <f>"海口市第二十六小学"</f>
        <v>海口市第二十六小学</v>
      </c>
    </row>
    <row r="299" spans="1:7" ht="30" customHeight="1">
      <c r="A299" s="8">
        <v>297</v>
      </c>
      <c r="B299" s="8" t="str">
        <f>"28922021040209510333627"</f>
        <v>28922021040209510333627</v>
      </c>
      <c r="C299" s="8" t="s">
        <v>11</v>
      </c>
      <c r="D299" s="8" t="str">
        <f>"王娴"</f>
        <v>王娴</v>
      </c>
      <c r="E299" s="8" t="str">
        <f t="shared" si="13"/>
        <v>女</v>
      </c>
      <c r="F299" s="8" t="str">
        <f>"海南省澄迈县"</f>
        <v>海南省澄迈县</v>
      </c>
      <c r="G299" s="8" t="str">
        <f>"海口市第九小学"</f>
        <v>海口市第九小学</v>
      </c>
    </row>
    <row r="300" spans="1:7" ht="30" customHeight="1">
      <c r="A300" s="8">
        <v>298</v>
      </c>
      <c r="B300" s="8" t="str">
        <f>"28922021040213223234885"</f>
        <v>28922021040213223234885</v>
      </c>
      <c r="C300" s="8" t="s">
        <v>11</v>
      </c>
      <c r="D300" s="8" t="str">
        <f>"杨悦"</f>
        <v>杨悦</v>
      </c>
      <c r="E300" s="8" t="str">
        <f t="shared" si="13"/>
        <v>女</v>
      </c>
      <c r="F300" s="8" t="str">
        <f>"广东省东莞市"</f>
        <v>广东省东莞市</v>
      </c>
      <c r="G300" s="8" t="str">
        <f>"海口市西湖实验学校"</f>
        <v>海口市西湖实验学校</v>
      </c>
    </row>
    <row r="301" spans="1:7" ht="30" customHeight="1">
      <c r="A301" s="8">
        <v>299</v>
      </c>
      <c r="B301" s="8" t="str">
        <f>"28922021040214182535042"</f>
        <v>28922021040214182535042</v>
      </c>
      <c r="C301" s="8" t="s">
        <v>11</v>
      </c>
      <c r="D301" s="8" t="str">
        <f>"胡颖捷"</f>
        <v>胡颖捷</v>
      </c>
      <c r="E301" s="8" t="str">
        <f t="shared" si="13"/>
        <v>女</v>
      </c>
      <c r="F301" s="8" t="str">
        <f>"海南省海口市"</f>
        <v>海南省海口市</v>
      </c>
      <c r="G301" s="8" t="str">
        <f>"海南省农垦直属第二小学"</f>
        <v>海南省农垦直属第二小学</v>
      </c>
    </row>
  </sheetData>
  <sheetProtection/>
  <autoFilter ref="A2:G301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谟谟</cp:lastModifiedBy>
  <dcterms:created xsi:type="dcterms:W3CDTF">2021-04-06T08:15:18Z</dcterms:created>
  <dcterms:modified xsi:type="dcterms:W3CDTF">2021-04-08T07:08:09Z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F7F855D508134CD3BC71401E2A7F878D</vt:lpwstr>
  </property>
  <property fmtid="{D5CDD505-2E9C-101B-9397-08002B2CF9AE}" pid="4" name="KSOProductBuildV">
    <vt:lpwstr>2052-11.1.0.10356</vt:lpwstr>
  </property>
</Properties>
</file>