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合格）海口市妇幼保健院2020年公开招聘编外专业技术人(2)" sheetId="1" r:id="rId1"/>
  </sheets>
  <definedNames>
    <definedName name="_xlnm.Print_Area" localSheetId="0">'（合格）海口市妇幼保健院2020年公开招聘编外专业技术人(2)'!$A$2:$J$152</definedName>
    <definedName name="_xlnm.Print_Titles" localSheetId="0">'（合格）海口市妇幼保健院2020年公开招聘编外专业技术人(2)'!$1:$3</definedName>
  </definedNames>
  <calcPr fullCalcOnLoad="1"/>
</workbook>
</file>

<file path=xl/sharedStrings.xml><?xml version="1.0" encoding="utf-8"?>
<sst xmlns="http://schemas.openxmlformats.org/spreadsheetml/2006/main" count="208" uniqueCount="67">
  <si>
    <t>序号</t>
  </si>
  <si>
    <t>姓名</t>
  </si>
  <si>
    <t>报考岗位</t>
  </si>
  <si>
    <t>性别</t>
  </si>
  <si>
    <t>出生年月</t>
  </si>
  <si>
    <t>学历</t>
  </si>
  <si>
    <t>学位</t>
  </si>
  <si>
    <t>所学专业</t>
  </si>
  <si>
    <t>职称</t>
  </si>
  <si>
    <t>备注</t>
  </si>
  <si>
    <t>0101_新生儿科医师</t>
  </si>
  <si>
    <t>医师</t>
  </si>
  <si>
    <t>副主任
医师</t>
  </si>
  <si>
    <t>0103_门诊医师</t>
  </si>
  <si>
    <t>0104_妇科医师</t>
  </si>
  <si>
    <t>0105_产科医师（医师）</t>
  </si>
  <si>
    <t>主治医师</t>
  </si>
  <si>
    <t>0108_儿童康复科康复技师</t>
  </si>
  <si>
    <t>康复技师</t>
  </si>
  <si>
    <t>0111_儿保科孤独症治疗师</t>
  </si>
  <si>
    <t>无</t>
  </si>
  <si>
    <t>0112_儿保科智力障碍、语言障碍治疗师</t>
  </si>
  <si>
    <t>心理治疗师（中级）</t>
  </si>
  <si>
    <t>0117_儿保科公共卫生医师</t>
  </si>
  <si>
    <t>0119_儿保科口腔医师</t>
  </si>
  <si>
    <t>0120_妇保科（男性）</t>
  </si>
  <si>
    <t>0121_妇保科（女性）</t>
  </si>
  <si>
    <t>0122_产后康复科康复治疗师</t>
  </si>
  <si>
    <t>0123_药剂科西药师</t>
  </si>
  <si>
    <t>0124_药剂科中药师</t>
  </si>
  <si>
    <t>0127_检验科</t>
  </si>
  <si>
    <t>医学检验技术</t>
  </si>
  <si>
    <t>检验技师</t>
  </si>
  <si>
    <t>主管检验技师</t>
  </si>
  <si>
    <t>0129_检验科（细胞学）（初级职称及以上）</t>
  </si>
  <si>
    <t>0131_超声医学科（超声医学）（医师及以上）</t>
  </si>
  <si>
    <t>0139_生殖中心临床医师</t>
  </si>
  <si>
    <t>0143_产前诊断中心分子遗传实验室（本科及以上，35周岁及以下）</t>
  </si>
  <si>
    <t>病理学技师</t>
  </si>
  <si>
    <t>病理主管技师</t>
  </si>
  <si>
    <t>0145_产前诊断中心分子遗传实验室（本科及以上，40周岁及以下）</t>
  </si>
  <si>
    <t>0148_护理人员</t>
  </si>
  <si>
    <t>护理师</t>
  </si>
  <si>
    <t>护士</t>
  </si>
  <si>
    <t>0149_助产人员</t>
  </si>
  <si>
    <t>0150_护理部科员</t>
  </si>
  <si>
    <t>0151_医务科科员</t>
  </si>
  <si>
    <t>0154_医保科科员</t>
  </si>
  <si>
    <t>0155_信息科科员</t>
  </si>
  <si>
    <t>0157_财务人员</t>
  </si>
  <si>
    <r>
      <t>010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_门诊医师</t>
    </r>
  </si>
  <si>
    <r>
      <t>010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_门诊医师</t>
    </r>
  </si>
  <si>
    <r>
      <t>01</t>
    </r>
    <r>
      <rPr>
        <sz val="11"/>
        <color indexed="8"/>
        <rFont val="宋体"/>
        <family val="0"/>
      </rPr>
      <t>40</t>
    </r>
    <r>
      <rPr>
        <sz val="11"/>
        <color theme="1"/>
        <rFont val="Calibri"/>
        <family val="0"/>
      </rPr>
      <t>_产前诊断中心临床医师</t>
    </r>
  </si>
  <si>
    <t>0159_后勤管理科基建工程
管理员</t>
  </si>
  <si>
    <t>0159_后勤管理科基建工程
管理员</t>
  </si>
  <si>
    <t>附件1</t>
  </si>
  <si>
    <t>陈偲嘉</t>
  </si>
  <si>
    <t>女</t>
  </si>
  <si>
    <t>本科</t>
  </si>
  <si>
    <t>1998-02-10</t>
  </si>
  <si>
    <t>吴江平</t>
  </si>
  <si>
    <t>医学检验</t>
  </si>
  <si>
    <t>分数：49分
（递补）</t>
  </si>
  <si>
    <t>护理学
（助产）</t>
  </si>
  <si>
    <t>0129_检验科（细胞学）
（初级职称及以上）</t>
  </si>
  <si>
    <t>0107_儿童康复科医师
（儿童神经方向）</t>
  </si>
  <si>
    <t>海口市妇幼保健院2020年公开招聘资格复审递补及面试人员名册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</si>
</sst>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8"/>
      <color rgb="FF000000"/>
      <name val="方正小标宋简体"/>
      <family val="0"/>
    </font>
    <font>
      <sz val="11"/>
      <color rgb="FF000000"/>
      <name val="方正小标宋简体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45"/>
  <sheetViews>
    <sheetView tabSelected="1" workbookViewId="0" topLeftCell="A145">
      <selection activeCell="C150" sqref="C150"/>
    </sheetView>
  </sheetViews>
  <sheetFormatPr defaultColWidth="9.140625" defaultRowHeight="30" customHeight="1"/>
  <cols>
    <col min="1" max="1" width="5.421875" style="3" customWidth="1"/>
    <col min="2" max="2" width="7.00390625" style="3" customWidth="1"/>
    <col min="3" max="3" width="25.8515625" style="3" customWidth="1"/>
    <col min="4" max="4" width="6.00390625" style="3" customWidth="1"/>
    <col min="5" max="5" width="13.28125" style="4" customWidth="1"/>
    <col min="6" max="6" width="7.140625" style="4" bestFit="1" customWidth="1"/>
    <col min="7" max="7" width="6.00390625" style="4" bestFit="1" customWidth="1"/>
    <col min="8" max="8" width="13.57421875" style="4" customWidth="1"/>
    <col min="9" max="9" width="9.57421875" style="5" bestFit="1" customWidth="1"/>
    <col min="10" max="10" width="13.8515625" style="3" customWidth="1"/>
    <col min="11" max="222" width="9.00390625" style="3" customWidth="1"/>
    <col min="223" max="16384" width="9.00390625" style="6" customWidth="1"/>
  </cols>
  <sheetData>
    <row r="1" spans="1:222" s="16" customFormat="1" ht="30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</row>
    <row r="2" spans="1:10" ht="30" customHeight="1">
      <c r="A2" s="22" t="s">
        <v>66</v>
      </c>
      <c r="B2" s="22"/>
      <c r="C2" s="23"/>
      <c r="D2" s="22"/>
      <c r="E2" s="22"/>
      <c r="F2" s="22"/>
      <c r="G2" s="22"/>
      <c r="H2" s="22"/>
      <c r="I2" s="22"/>
      <c r="J2" s="22"/>
    </row>
    <row r="3" spans="1:10" s="1" customFormat="1" ht="30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3" t="s">
        <v>8</v>
      </c>
      <c r="J3" s="7" t="s">
        <v>9</v>
      </c>
    </row>
    <row r="4" spans="1:10" ht="30" customHeight="1">
      <c r="A4" s="10">
        <v>1</v>
      </c>
      <c r="B4" s="9" t="str">
        <f>"李兰香"</f>
        <v>李兰香</v>
      </c>
      <c r="C4" s="10" t="s">
        <v>10</v>
      </c>
      <c r="D4" s="9" t="str">
        <f>"女"</f>
        <v>女</v>
      </c>
      <c r="E4" s="10" t="str">
        <f>"1993-04-13"</f>
        <v>1993-04-13</v>
      </c>
      <c r="F4" s="10" t="str">
        <f>"本科"</f>
        <v>本科</v>
      </c>
      <c r="G4" s="10" t="str">
        <f>"学士"</f>
        <v>学士</v>
      </c>
      <c r="H4" s="10" t="str">
        <f>"临床医学"</f>
        <v>临床医学</v>
      </c>
      <c r="I4" s="14" t="str">
        <f>"医师"</f>
        <v>医师</v>
      </c>
      <c r="J4" s="9"/>
    </row>
    <row r="5" spans="1:10" ht="30" customHeight="1">
      <c r="A5" s="10">
        <v>2</v>
      </c>
      <c r="B5" s="9" t="str">
        <f>"黄家伟"</f>
        <v>黄家伟</v>
      </c>
      <c r="C5" s="18" t="s">
        <v>10</v>
      </c>
      <c r="D5" s="9" t="str">
        <f>"男"</f>
        <v>男</v>
      </c>
      <c r="E5" s="10" t="str">
        <f>"1992-03-11"</f>
        <v>1992-03-11</v>
      </c>
      <c r="F5" s="10" t="str">
        <f>"本科"</f>
        <v>本科</v>
      </c>
      <c r="G5" s="10" t="str">
        <f>"学士"</f>
        <v>学士</v>
      </c>
      <c r="H5" s="10" t="str">
        <f>"临床医学"</f>
        <v>临床医学</v>
      </c>
      <c r="I5" s="14" t="str">
        <f>"医师"</f>
        <v>医师</v>
      </c>
      <c r="J5" s="9"/>
    </row>
    <row r="6" spans="1:10" ht="30" customHeight="1">
      <c r="A6" s="18">
        <v>3</v>
      </c>
      <c r="B6" s="9" t="str">
        <f>"谷春芳"</f>
        <v>谷春芳</v>
      </c>
      <c r="C6" s="18" t="s">
        <v>10</v>
      </c>
      <c r="D6" s="9" t="str">
        <f>"女"</f>
        <v>女</v>
      </c>
      <c r="E6" s="10" t="str">
        <f>"1990-03-05"</f>
        <v>1990-03-05</v>
      </c>
      <c r="F6" s="10" t="str">
        <f>"硕士研究生"</f>
        <v>硕士研究生</v>
      </c>
      <c r="G6" s="10" t="str">
        <f>"硕士"</f>
        <v>硕士</v>
      </c>
      <c r="H6" s="10" t="str">
        <f>"儿科学"</f>
        <v>儿科学</v>
      </c>
      <c r="I6" s="14" t="str">
        <f>"医师"</f>
        <v>医师</v>
      </c>
      <c r="J6" s="9"/>
    </row>
    <row r="7" spans="1:10" ht="30" customHeight="1">
      <c r="A7" s="18">
        <v>4</v>
      </c>
      <c r="B7" s="9" t="str">
        <f>"杨小图"</f>
        <v>杨小图</v>
      </c>
      <c r="C7" s="18" t="s">
        <v>10</v>
      </c>
      <c r="D7" s="9" t="str">
        <f>"女"</f>
        <v>女</v>
      </c>
      <c r="E7" s="10" t="str">
        <f>"1993-03-26"</f>
        <v>1993-03-26</v>
      </c>
      <c r="F7" s="10" t="str">
        <f aca="true" t="shared" si="0" ref="F7:F25">"本科"</f>
        <v>本科</v>
      </c>
      <c r="G7" s="10" t="str">
        <f aca="true" t="shared" si="1" ref="G7:G25">"学士"</f>
        <v>学士</v>
      </c>
      <c r="H7" s="10" t="str">
        <f aca="true" t="shared" si="2" ref="H7:H21">"临床医学"</f>
        <v>临床医学</v>
      </c>
      <c r="I7" s="14" t="str">
        <f>"医师"</f>
        <v>医师</v>
      </c>
      <c r="J7" s="9"/>
    </row>
    <row r="8" spans="1:10" ht="30" customHeight="1">
      <c r="A8" s="18">
        <v>5</v>
      </c>
      <c r="B8" s="9" t="str">
        <f>"吴清良"</f>
        <v>吴清良</v>
      </c>
      <c r="C8" s="18" t="s">
        <v>10</v>
      </c>
      <c r="D8" s="9" t="str">
        <f>"男"</f>
        <v>男</v>
      </c>
      <c r="E8" s="10" t="str">
        <f>"1990-02-23"</f>
        <v>1990-02-23</v>
      </c>
      <c r="F8" s="10" t="str">
        <f t="shared" si="0"/>
        <v>本科</v>
      </c>
      <c r="G8" s="10" t="str">
        <f t="shared" si="1"/>
        <v>学士</v>
      </c>
      <c r="H8" s="10" t="str">
        <f t="shared" si="2"/>
        <v>临床医学</v>
      </c>
      <c r="I8" s="14" t="str">
        <f>"医师"</f>
        <v>医师</v>
      </c>
      <c r="J8" s="9"/>
    </row>
    <row r="9" spans="1:10" ht="30" customHeight="1">
      <c r="A9" s="18">
        <v>6</v>
      </c>
      <c r="B9" s="9" t="str">
        <f>"李亚月"</f>
        <v>李亚月</v>
      </c>
      <c r="C9" s="18" t="s">
        <v>50</v>
      </c>
      <c r="D9" s="9" t="str">
        <f>"女"</f>
        <v>女</v>
      </c>
      <c r="E9" s="10" t="str">
        <f>"1987-09-14"</f>
        <v>1987-09-14</v>
      </c>
      <c r="F9" s="10" t="str">
        <f t="shared" si="0"/>
        <v>本科</v>
      </c>
      <c r="G9" s="10" t="str">
        <f t="shared" si="1"/>
        <v>学士</v>
      </c>
      <c r="H9" s="10" t="str">
        <f t="shared" si="2"/>
        <v>临床医学</v>
      </c>
      <c r="I9" s="14" t="str">
        <f>"主治医师"</f>
        <v>主治医师</v>
      </c>
      <c r="J9" s="9"/>
    </row>
    <row r="10" spans="1:10" ht="30" customHeight="1">
      <c r="A10" s="18">
        <v>7</v>
      </c>
      <c r="B10" s="9" t="str">
        <f>"王雪娇"</f>
        <v>王雪娇</v>
      </c>
      <c r="C10" s="10" t="s">
        <v>51</v>
      </c>
      <c r="D10" s="9" t="str">
        <f>"女"</f>
        <v>女</v>
      </c>
      <c r="E10" s="10" t="str">
        <f>"1987-09-01"</f>
        <v>1987-09-01</v>
      </c>
      <c r="F10" s="10" t="str">
        <f t="shared" si="0"/>
        <v>本科</v>
      </c>
      <c r="G10" s="10" t="str">
        <f t="shared" si="1"/>
        <v>学士</v>
      </c>
      <c r="H10" s="10" t="str">
        <f t="shared" si="2"/>
        <v>临床医学</v>
      </c>
      <c r="I10" s="14" t="str">
        <f>"主治医师"</f>
        <v>主治医师</v>
      </c>
      <c r="J10" s="9"/>
    </row>
    <row r="11" spans="1:10" ht="30" customHeight="1">
      <c r="A11" s="18">
        <v>8</v>
      </c>
      <c r="B11" s="9" t="str">
        <f>"陈东追"</f>
        <v>陈东追</v>
      </c>
      <c r="C11" s="10" t="s">
        <v>13</v>
      </c>
      <c r="D11" s="9" t="str">
        <f>"女"</f>
        <v>女</v>
      </c>
      <c r="E11" s="10" t="str">
        <f>"1993-04-07"</f>
        <v>1993-04-07</v>
      </c>
      <c r="F11" s="10" t="str">
        <f t="shared" si="0"/>
        <v>本科</v>
      </c>
      <c r="G11" s="10" t="str">
        <f t="shared" si="1"/>
        <v>学士</v>
      </c>
      <c r="H11" s="10" t="str">
        <f t="shared" si="2"/>
        <v>临床医学</v>
      </c>
      <c r="I11" s="14" t="str">
        <f aca="true" t="shared" si="3" ref="I11:I20">"医师"</f>
        <v>医师</v>
      </c>
      <c r="J11" s="9"/>
    </row>
    <row r="12" spans="1:10" ht="30" customHeight="1">
      <c r="A12" s="18">
        <v>9</v>
      </c>
      <c r="B12" s="9" t="str">
        <f>"王政"</f>
        <v>王政</v>
      </c>
      <c r="C12" s="18" t="s">
        <v>14</v>
      </c>
      <c r="D12" s="9" t="str">
        <f>"男"</f>
        <v>男</v>
      </c>
      <c r="E12" s="10" t="str">
        <f>"1993-04-15"</f>
        <v>1993-04-15</v>
      </c>
      <c r="F12" s="10" t="str">
        <f t="shared" si="0"/>
        <v>本科</v>
      </c>
      <c r="G12" s="10" t="str">
        <f t="shared" si="1"/>
        <v>学士</v>
      </c>
      <c r="H12" s="10" t="str">
        <f t="shared" si="2"/>
        <v>临床医学</v>
      </c>
      <c r="I12" s="14" t="str">
        <f t="shared" si="3"/>
        <v>医师</v>
      </c>
      <c r="J12" s="9"/>
    </row>
    <row r="13" spans="1:10" ht="30" customHeight="1">
      <c r="A13" s="18">
        <v>10</v>
      </c>
      <c r="B13" s="9" t="str">
        <f>"杨和风"</f>
        <v>杨和风</v>
      </c>
      <c r="C13" s="18" t="s">
        <v>14</v>
      </c>
      <c r="D13" s="9" t="str">
        <f aca="true" t="shared" si="4" ref="D13:D29">"女"</f>
        <v>女</v>
      </c>
      <c r="E13" s="10" t="str">
        <f>"1991-07-10"</f>
        <v>1991-07-10</v>
      </c>
      <c r="F13" s="10" t="str">
        <f t="shared" si="0"/>
        <v>本科</v>
      </c>
      <c r="G13" s="10" t="str">
        <f t="shared" si="1"/>
        <v>学士</v>
      </c>
      <c r="H13" s="10" t="str">
        <f t="shared" si="2"/>
        <v>临床医学</v>
      </c>
      <c r="I13" s="20" t="str">
        <f t="shared" si="3"/>
        <v>医师</v>
      </c>
      <c r="J13" s="9"/>
    </row>
    <row r="14" spans="1:10" ht="30" customHeight="1">
      <c r="A14" s="18">
        <v>11</v>
      </c>
      <c r="B14" s="9" t="str">
        <f>"王玉优"</f>
        <v>王玉优</v>
      </c>
      <c r="C14" s="18" t="s">
        <v>15</v>
      </c>
      <c r="D14" s="9" t="str">
        <f t="shared" si="4"/>
        <v>女</v>
      </c>
      <c r="E14" s="10" t="str">
        <f>"1992-05-19"</f>
        <v>1992-05-19</v>
      </c>
      <c r="F14" s="10" t="str">
        <f t="shared" si="0"/>
        <v>本科</v>
      </c>
      <c r="G14" s="10" t="str">
        <f t="shared" si="1"/>
        <v>学士</v>
      </c>
      <c r="H14" s="10" t="str">
        <f t="shared" si="2"/>
        <v>临床医学</v>
      </c>
      <c r="I14" s="14" t="str">
        <f t="shared" si="3"/>
        <v>医师</v>
      </c>
      <c r="J14" s="9"/>
    </row>
    <row r="15" spans="1:10" ht="30" customHeight="1">
      <c r="A15" s="18">
        <v>12</v>
      </c>
      <c r="B15" s="9" t="str">
        <f>"欧欣欣"</f>
        <v>欧欣欣</v>
      </c>
      <c r="C15" s="18" t="s">
        <v>15</v>
      </c>
      <c r="D15" s="9" t="str">
        <f t="shared" si="4"/>
        <v>女</v>
      </c>
      <c r="E15" s="10" t="str">
        <f>"1993-05-14"</f>
        <v>1993-05-14</v>
      </c>
      <c r="F15" s="10" t="str">
        <f t="shared" si="0"/>
        <v>本科</v>
      </c>
      <c r="G15" s="10" t="str">
        <f t="shared" si="1"/>
        <v>学士</v>
      </c>
      <c r="H15" s="10" t="str">
        <f t="shared" si="2"/>
        <v>临床医学</v>
      </c>
      <c r="I15" s="20" t="str">
        <f t="shared" si="3"/>
        <v>医师</v>
      </c>
      <c r="J15" s="9"/>
    </row>
    <row r="16" spans="1:10" ht="30" customHeight="1">
      <c r="A16" s="18">
        <v>13</v>
      </c>
      <c r="B16" s="9" t="str">
        <f>"王丹婵"</f>
        <v>王丹婵</v>
      </c>
      <c r="C16" s="18" t="s">
        <v>15</v>
      </c>
      <c r="D16" s="9" t="str">
        <f t="shared" si="4"/>
        <v>女</v>
      </c>
      <c r="E16" s="10" t="str">
        <f>"1987-08-12"</f>
        <v>1987-08-12</v>
      </c>
      <c r="F16" s="10" t="str">
        <f t="shared" si="0"/>
        <v>本科</v>
      </c>
      <c r="G16" s="10" t="str">
        <f t="shared" si="1"/>
        <v>学士</v>
      </c>
      <c r="H16" s="10" t="str">
        <f t="shared" si="2"/>
        <v>临床医学</v>
      </c>
      <c r="I16" s="14" t="str">
        <f t="shared" si="3"/>
        <v>医师</v>
      </c>
      <c r="J16" s="9"/>
    </row>
    <row r="17" spans="1:10" ht="30" customHeight="1">
      <c r="A17" s="18">
        <v>14</v>
      </c>
      <c r="B17" s="9" t="str">
        <f>"吴丹凡"</f>
        <v>吴丹凡</v>
      </c>
      <c r="C17" s="18" t="s">
        <v>15</v>
      </c>
      <c r="D17" s="9" t="str">
        <f t="shared" si="4"/>
        <v>女</v>
      </c>
      <c r="E17" s="10" t="str">
        <f>"1987-09-04"</f>
        <v>1987-09-04</v>
      </c>
      <c r="F17" s="10" t="str">
        <f t="shared" si="0"/>
        <v>本科</v>
      </c>
      <c r="G17" s="10" t="str">
        <f t="shared" si="1"/>
        <v>学士</v>
      </c>
      <c r="H17" s="10" t="str">
        <f t="shared" si="2"/>
        <v>临床医学</v>
      </c>
      <c r="I17" s="14" t="str">
        <f t="shared" si="3"/>
        <v>医师</v>
      </c>
      <c r="J17" s="9"/>
    </row>
    <row r="18" spans="1:10" ht="30" customHeight="1">
      <c r="A18" s="18">
        <v>15</v>
      </c>
      <c r="B18" s="9" t="str">
        <f>"陈虹伶"</f>
        <v>陈虹伶</v>
      </c>
      <c r="C18" s="18" t="s">
        <v>15</v>
      </c>
      <c r="D18" s="9" t="str">
        <f t="shared" si="4"/>
        <v>女</v>
      </c>
      <c r="E18" s="10" t="str">
        <f>"1993-06-17"</f>
        <v>1993-06-17</v>
      </c>
      <c r="F18" s="10" t="str">
        <f t="shared" si="0"/>
        <v>本科</v>
      </c>
      <c r="G18" s="10" t="str">
        <f t="shared" si="1"/>
        <v>学士</v>
      </c>
      <c r="H18" s="10" t="str">
        <f t="shared" si="2"/>
        <v>临床医学</v>
      </c>
      <c r="I18" s="14" t="str">
        <f t="shared" si="3"/>
        <v>医师</v>
      </c>
      <c r="J18" s="9"/>
    </row>
    <row r="19" spans="1:10" ht="30" customHeight="1">
      <c r="A19" s="18">
        <v>16</v>
      </c>
      <c r="B19" s="9" t="str">
        <f>"张运梅"</f>
        <v>张运梅</v>
      </c>
      <c r="C19" s="18" t="s">
        <v>15</v>
      </c>
      <c r="D19" s="9" t="str">
        <f t="shared" si="4"/>
        <v>女</v>
      </c>
      <c r="E19" s="10" t="str">
        <f>"1992-06-07"</f>
        <v>1992-06-07</v>
      </c>
      <c r="F19" s="10" t="str">
        <f t="shared" si="0"/>
        <v>本科</v>
      </c>
      <c r="G19" s="10" t="str">
        <f t="shared" si="1"/>
        <v>学士</v>
      </c>
      <c r="H19" s="10" t="str">
        <f t="shared" si="2"/>
        <v>临床医学</v>
      </c>
      <c r="I19" s="14" t="str">
        <f t="shared" si="3"/>
        <v>医师</v>
      </c>
      <c r="J19" s="9"/>
    </row>
    <row r="20" spans="1:10" ht="30" customHeight="1">
      <c r="A20" s="18">
        <v>17</v>
      </c>
      <c r="B20" s="9" t="str">
        <f>"黎贞彤"</f>
        <v>黎贞彤</v>
      </c>
      <c r="C20" s="18" t="s">
        <v>15</v>
      </c>
      <c r="D20" s="9" t="str">
        <f t="shared" si="4"/>
        <v>女</v>
      </c>
      <c r="E20" s="10" t="str">
        <f>"1994-03-15"</f>
        <v>1994-03-15</v>
      </c>
      <c r="F20" s="10" t="str">
        <f t="shared" si="0"/>
        <v>本科</v>
      </c>
      <c r="G20" s="10" t="str">
        <f t="shared" si="1"/>
        <v>学士</v>
      </c>
      <c r="H20" s="18" t="str">
        <f t="shared" si="2"/>
        <v>临床医学</v>
      </c>
      <c r="I20" s="14" t="str">
        <f t="shared" si="3"/>
        <v>医师</v>
      </c>
      <c r="J20" s="9"/>
    </row>
    <row r="21" spans="1:10" ht="30" customHeight="1">
      <c r="A21" s="18">
        <v>18</v>
      </c>
      <c r="B21" s="9" t="str">
        <f>"叶兰"</f>
        <v>叶兰</v>
      </c>
      <c r="C21" s="18" t="s">
        <v>15</v>
      </c>
      <c r="D21" s="9" t="str">
        <f t="shared" si="4"/>
        <v>女</v>
      </c>
      <c r="E21" s="10" t="str">
        <f>"1992-01-02"</f>
        <v>1992-01-02</v>
      </c>
      <c r="F21" s="10" t="str">
        <f t="shared" si="0"/>
        <v>本科</v>
      </c>
      <c r="G21" s="10" t="str">
        <f t="shared" si="1"/>
        <v>学士</v>
      </c>
      <c r="H21" s="18" t="str">
        <f t="shared" si="2"/>
        <v>临床医学</v>
      </c>
      <c r="I21" s="14" t="s">
        <v>11</v>
      </c>
      <c r="J21" s="9"/>
    </row>
    <row r="22" spans="1:10" ht="30" customHeight="1">
      <c r="A22" s="18">
        <v>19</v>
      </c>
      <c r="B22" s="9" t="str">
        <f>"杨丽怡"</f>
        <v>杨丽怡</v>
      </c>
      <c r="C22" s="18" t="s">
        <v>15</v>
      </c>
      <c r="D22" s="9" t="str">
        <f t="shared" si="4"/>
        <v>女</v>
      </c>
      <c r="E22" s="10" t="str">
        <f>"1990-03-05"</f>
        <v>1990-03-05</v>
      </c>
      <c r="F22" s="10" t="str">
        <f t="shared" si="0"/>
        <v>本科</v>
      </c>
      <c r="G22" s="10" t="str">
        <f t="shared" si="1"/>
        <v>学士</v>
      </c>
      <c r="H22" s="18" t="str">
        <f>"临床本科"</f>
        <v>临床本科</v>
      </c>
      <c r="I22" s="14" t="str">
        <f>"医师"</f>
        <v>医师</v>
      </c>
      <c r="J22" s="9"/>
    </row>
    <row r="23" spans="1:10" ht="30" customHeight="1">
      <c r="A23" s="18">
        <v>20</v>
      </c>
      <c r="B23" s="9" t="str">
        <f>"林丽萍"</f>
        <v>林丽萍</v>
      </c>
      <c r="C23" s="18" t="s">
        <v>15</v>
      </c>
      <c r="D23" s="9" t="str">
        <f t="shared" si="4"/>
        <v>女</v>
      </c>
      <c r="E23" s="10" t="str">
        <f>"1989-05-04"</f>
        <v>1989-05-04</v>
      </c>
      <c r="F23" s="10" t="str">
        <f t="shared" si="0"/>
        <v>本科</v>
      </c>
      <c r="G23" s="10" t="str">
        <f t="shared" si="1"/>
        <v>学士</v>
      </c>
      <c r="H23" s="10" t="str">
        <f>"临床医学"</f>
        <v>临床医学</v>
      </c>
      <c r="I23" s="14" t="s">
        <v>16</v>
      </c>
      <c r="J23" s="9"/>
    </row>
    <row r="24" spans="1:10" ht="30" customHeight="1">
      <c r="A24" s="18">
        <v>21</v>
      </c>
      <c r="B24" s="9" t="str">
        <f>"苏丹"</f>
        <v>苏丹</v>
      </c>
      <c r="C24" s="18" t="s">
        <v>15</v>
      </c>
      <c r="D24" s="9" t="str">
        <f t="shared" si="4"/>
        <v>女</v>
      </c>
      <c r="E24" s="10" t="str">
        <f>"1988-11-18"</f>
        <v>1988-11-18</v>
      </c>
      <c r="F24" s="10" t="str">
        <f t="shared" si="0"/>
        <v>本科</v>
      </c>
      <c r="G24" s="10" t="str">
        <f t="shared" si="1"/>
        <v>学士</v>
      </c>
      <c r="H24" s="18" t="str">
        <f>"临床医学"</f>
        <v>临床医学</v>
      </c>
      <c r="I24" s="20" t="str">
        <f aca="true" t="shared" si="5" ref="I24:I29">"医师"</f>
        <v>医师</v>
      </c>
      <c r="J24" s="9"/>
    </row>
    <row r="25" spans="1:10" ht="30" customHeight="1">
      <c r="A25" s="18">
        <v>22</v>
      </c>
      <c r="B25" s="9" t="str">
        <f>"韩意"</f>
        <v>韩意</v>
      </c>
      <c r="C25" s="18" t="s">
        <v>15</v>
      </c>
      <c r="D25" s="9" t="str">
        <f t="shared" si="4"/>
        <v>女</v>
      </c>
      <c r="E25" s="10" t="str">
        <f>"1987-04-18"</f>
        <v>1987-04-18</v>
      </c>
      <c r="F25" s="10" t="str">
        <f t="shared" si="0"/>
        <v>本科</v>
      </c>
      <c r="G25" s="10" t="str">
        <f t="shared" si="1"/>
        <v>学士</v>
      </c>
      <c r="H25" s="18" t="str">
        <f>"临床医学"</f>
        <v>临床医学</v>
      </c>
      <c r="I25" s="14" t="str">
        <f t="shared" si="5"/>
        <v>医师</v>
      </c>
      <c r="J25" s="9"/>
    </row>
    <row r="26" spans="1:10" ht="30" customHeight="1">
      <c r="A26" s="18">
        <v>23</v>
      </c>
      <c r="B26" s="9" t="str">
        <f>"郑梅"</f>
        <v>郑梅</v>
      </c>
      <c r="C26" s="11" t="s">
        <v>36</v>
      </c>
      <c r="D26" s="9" t="str">
        <f t="shared" si="4"/>
        <v>女</v>
      </c>
      <c r="E26" s="10" t="str">
        <f>"1988-10-03"</f>
        <v>1988-10-03</v>
      </c>
      <c r="F26" s="10" t="str">
        <f>"硕士研究生"</f>
        <v>硕士研究生</v>
      </c>
      <c r="G26" s="10" t="str">
        <f>"硕士"</f>
        <v>硕士</v>
      </c>
      <c r="H26" s="12" t="str">
        <f>"妇产科学（生殖与遗传方向）"</f>
        <v>妇产科学（生殖与遗传方向）</v>
      </c>
      <c r="I26" s="14" t="str">
        <f t="shared" si="5"/>
        <v>医师</v>
      </c>
      <c r="J26" s="9"/>
    </row>
    <row r="27" spans="1:10" ht="30" customHeight="1">
      <c r="A27" s="18">
        <v>24</v>
      </c>
      <c r="B27" s="9" t="str">
        <f>"韩琳馨"</f>
        <v>韩琳馨</v>
      </c>
      <c r="C27" s="19" t="s">
        <v>36</v>
      </c>
      <c r="D27" s="9" t="str">
        <f t="shared" si="4"/>
        <v>女</v>
      </c>
      <c r="E27" s="10" t="str">
        <f>"1991-03-06"</f>
        <v>1991-03-06</v>
      </c>
      <c r="F27" s="10" t="str">
        <f>"硕士研究生"</f>
        <v>硕士研究生</v>
      </c>
      <c r="G27" s="10" t="str">
        <f>"硕士"</f>
        <v>硕士</v>
      </c>
      <c r="H27" s="10" t="str">
        <f>"妇产科学"</f>
        <v>妇产科学</v>
      </c>
      <c r="I27" s="14" t="str">
        <f t="shared" si="5"/>
        <v>医师</v>
      </c>
      <c r="J27" s="9"/>
    </row>
    <row r="28" spans="1:10" ht="30" customHeight="1">
      <c r="A28" s="18">
        <v>25</v>
      </c>
      <c r="B28" s="9" t="str">
        <f>"王玲"</f>
        <v>王玲</v>
      </c>
      <c r="C28" s="11" t="s">
        <v>52</v>
      </c>
      <c r="D28" s="9" t="str">
        <f t="shared" si="4"/>
        <v>女</v>
      </c>
      <c r="E28" s="10" t="str">
        <f>"1990-08-02"</f>
        <v>1990-08-02</v>
      </c>
      <c r="F28" s="10" t="str">
        <f aca="true" t="shared" si="6" ref="F28:F46">"本科"</f>
        <v>本科</v>
      </c>
      <c r="G28" s="10" t="str">
        <f aca="true" t="shared" si="7" ref="G28:G39">"学士"</f>
        <v>学士</v>
      </c>
      <c r="H28" s="10" t="str">
        <f>"临床医学"</f>
        <v>临床医学</v>
      </c>
      <c r="I28" s="14" t="str">
        <f t="shared" si="5"/>
        <v>医师</v>
      </c>
      <c r="J28" s="9"/>
    </row>
    <row r="29" spans="1:10" ht="30" customHeight="1">
      <c r="A29" s="18">
        <v>26</v>
      </c>
      <c r="B29" s="9" t="str">
        <f>"吴成惠"</f>
        <v>吴成惠</v>
      </c>
      <c r="C29" s="19" t="s">
        <v>52</v>
      </c>
      <c r="D29" s="9" t="str">
        <f t="shared" si="4"/>
        <v>女</v>
      </c>
      <c r="E29" s="10" t="str">
        <f>"1992-01-12"</f>
        <v>1992-01-12</v>
      </c>
      <c r="F29" s="10" t="str">
        <f t="shared" si="6"/>
        <v>本科</v>
      </c>
      <c r="G29" s="10" t="str">
        <f t="shared" si="7"/>
        <v>学士</v>
      </c>
      <c r="H29" s="10" t="str">
        <f>"临床医学"</f>
        <v>临床医学</v>
      </c>
      <c r="I29" s="14" t="str">
        <f t="shared" si="5"/>
        <v>医师</v>
      </c>
      <c r="J29" s="9"/>
    </row>
    <row r="30" spans="1:10" ht="30" customHeight="1">
      <c r="A30" s="18">
        <v>27</v>
      </c>
      <c r="B30" s="9" t="str">
        <f>"邢沛"</f>
        <v>邢沛</v>
      </c>
      <c r="C30" s="11" t="s">
        <v>23</v>
      </c>
      <c r="D30" s="9" t="str">
        <f>"男"</f>
        <v>男</v>
      </c>
      <c r="E30" s="10" t="str">
        <f>"1992-07-26"</f>
        <v>1992-07-26</v>
      </c>
      <c r="F30" s="10" t="str">
        <f t="shared" si="6"/>
        <v>本科</v>
      </c>
      <c r="G30" s="10" t="str">
        <f t="shared" si="7"/>
        <v>学士</v>
      </c>
      <c r="H30" s="18" t="str">
        <f>"临床医学"</f>
        <v>临床医学</v>
      </c>
      <c r="I30" s="14" t="s">
        <v>11</v>
      </c>
      <c r="J30" s="9"/>
    </row>
    <row r="31" spans="1:10" ht="30" customHeight="1">
      <c r="A31" s="18">
        <v>28</v>
      </c>
      <c r="B31" s="9" t="str">
        <f>"邢尹馨"</f>
        <v>邢尹馨</v>
      </c>
      <c r="C31" s="11" t="s">
        <v>23</v>
      </c>
      <c r="D31" s="9" t="str">
        <f>"女"</f>
        <v>女</v>
      </c>
      <c r="E31" s="10" t="str">
        <f>"1995-03-16"</f>
        <v>1995-03-16</v>
      </c>
      <c r="F31" s="10" t="str">
        <f t="shared" si="6"/>
        <v>本科</v>
      </c>
      <c r="G31" s="10" t="str">
        <f t="shared" si="7"/>
        <v>学士</v>
      </c>
      <c r="H31" s="18" t="str">
        <f>"临床医学"</f>
        <v>临床医学</v>
      </c>
      <c r="I31" s="14" t="s">
        <v>11</v>
      </c>
      <c r="J31" s="9"/>
    </row>
    <row r="32" spans="1:10" ht="30" customHeight="1">
      <c r="A32" s="18">
        <v>29</v>
      </c>
      <c r="B32" s="9" t="str">
        <f>"苏瑜"</f>
        <v>苏瑜</v>
      </c>
      <c r="C32" s="11" t="s">
        <v>24</v>
      </c>
      <c r="D32" s="9" t="str">
        <f>"女"</f>
        <v>女</v>
      </c>
      <c r="E32" s="10" t="str">
        <f>"1991-11-24"</f>
        <v>1991-11-24</v>
      </c>
      <c r="F32" s="10" t="str">
        <f t="shared" si="6"/>
        <v>本科</v>
      </c>
      <c r="G32" s="10" t="str">
        <f t="shared" si="7"/>
        <v>学士</v>
      </c>
      <c r="H32" s="10" t="str">
        <f>"口腔医学"</f>
        <v>口腔医学</v>
      </c>
      <c r="I32" s="20" t="str">
        <f>"医师"</f>
        <v>医师</v>
      </c>
      <c r="J32" s="9"/>
    </row>
    <row r="33" spans="1:10" ht="30" customHeight="1">
      <c r="A33" s="18">
        <v>30</v>
      </c>
      <c r="B33" s="9" t="str">
        <f>"王汉志"</f>
        <v>王汉志</v>
      </c>
      <c r="C33" s="11" t="s">
        <v>24</v>
      </c>
      <c r="D33" s="9" t="str">
        <f>"男"</f>
        <v>男</v>
      </c>
      <c r="E33" s="10" t="str">
        <f>"1990-03-11"</f>
        <v>1990-03-11</v>
      </c>
      <c r="F33" s="10" t="str">
        <f t="shared" si="6"/>
        <v>本科</v>
      </c>
      <c r="G33" s="10" t="str">
        <f t="shared" si="7"/>
        <v>学士</v>
      </c>
      <c r="H33" s="10" t="str">
        <f>"口腔医学"</f>
        <v>口腔医学</v>
      </c>
      <c r="I33" s="14" t="str">
        <f>"主治医师"</f>
        <v>主治医师</v>
      </c>
      <c r="J33" s="9"/>
    </row>
    <row r="34" spans="1:10" ht="30" customHeight="1">
      <c r="A34" s="18">
        <v>31</v>
      </c>
      <c r="B34" s="9" t="str">
        <f>"陶思雨"</f>
        <v>陶思雨</v>
      </c>
      <c r="C34" s="11" t="s">
        <v>24</v>
      </c>
      <c r="D34" s="9" t="str">
        <f aca="true" t="shared" si="8" ref="D34:D39">"女"</f>
        <v>女</v>
      </c>
      <c r="E34" s="10" t="str">
        <f>"1996-09-21"</f>
        <v>1996-09-21</v>
      </c>
      <c r="F34" s="10" t="str">
        <f t="shared" si="6"/>
        <v>本科</v>
      </c>
      <c r="G34" s="10" t="str">
        <f t="shared" si="7"/>
        <v>学士</v>
      </c>
      <c r="H34" s="10" t="str">
        <f>"口腔医学"</f>
        <v>口腔医学</v>
      </c>
      <c r="I34" s="14" t="s">
        <v>11</v>
      </c>
      <c r="J34" s="9"/>
    </row>
    <row r="35" spans="1:10" ht="30" customHeight="1">
      <c r="A35" s="18">
        <v>32</v>
      </c>
      <c r="B35" s="9" t="str">
        <f>"李小婷"</f>
        <v>李小婷</v>
      </c>
      <c r="C35" s="19" t="s">
        <v>24</v>
      </c>
      <c r="D35" s="9" t="str">
        <f t="shared" si="8"/>
        <v>女</v>
      </c>
      <c r="E35" s="10" t="str">
        <f>"1994-10-24"</f>
        <v>1994-10-24</v>
      </c>
      <c r="F35" s="10" t="str">
        <f t="shared" si="6"/>
        <v>本科</v>
      </c>
      <c r="G35" s="10" t="str">
        <f t="shared" si="7"/>
        <v>学士</v>
      </c>
      <c r="H35" s="10" t="str">
        <f>"口腔专业"</f>
        <v>口腔专业</v>
      </c>
      <c r="I35" s="14" t="str">
        <f>"医师"</f>
        <v>医师</v>
      </c>
      <c r="J35" s="9"/>
    </row>
    <row r="36" spans="1:10" ht="30" customHeight="1">
      <c r="A36" s="18">
        <v>33</v>
      </c>
      <c r="B36" s="9" t="str">
        <f>"符谜"</f>
        <v>符谜</v>
      </c>
      <c r="C36" s="21" t="s">
        <v>65</v>
      </c>
      <c r="D36" s="9" t="str">
        <f t="shared" si="8"/>
        <v>女</v>
      </c>
      <c r="E36" s="10" t="str">
        <f>"1989-06-18"</f>
        <v>1989-06-18</v>
      </c>
      <c r="F36" s="10" t="str">
        <f t="shared" si="6"/>
        <v>本科</v>
      </c>
      <c r="G36" s="10" t="str">
        <f t="shared" si="7"/>
        <v>学士</v>
      </c>
      <c r="H36" s="10" t="str">
        <f>"临床医学"</f>
        <v>临床医学</v>
      </c>
      <c r="I36" s="14" t="s">
        <v>11</v>
      </c>
      <c r="J36" s="9"/>
    </row>
    <row r="37" spans="1:10" ht="30" customHeight="1">
      <c r="A37" s="18">
        <v>34</v>
      </c>
      <c r="B37" s="9" t="str">
        <f>"蔡青桐"</f>
        <v>蔡青桐</v>
      </c>
      <c r="C37" s="21" t="s">
        <v>65</v>
      </c>
      <c r="D37" s="9" t="str">
        <f t="shared" si="8"/>
        <v>女</v>
      </c>
      <c r="E37" s="10" t="str">
        <f>"1993-12-15"</f>
        <v>1993-12-15</v>
      </c>
      <c r="F37" s="10" t="str">
        <f t="shared" si="6"/>
        <v>本科</v>
      </c>
      <c r="G37" s="10" t="str">
        <f t="shared" si="7"/>
        <v>学士</v>
      </c>
      <c r="H37" s="10" t="str">
        <f>"临床医学"</f>
        <v>临床医学</v>
      </c>
      <c r="I37" s="14" t="str">
        <f>"医师"</f>
        <v>医师</v>
      </c>
      <c r="J37" s="9"/>
    </row>
    <row r="38" spans="1:10" ht="30" customHeight="1">
      <c r="A38" s="18">
        <v>35</v>
      </c>
      <c r="B38" s="9" t="str">
        <f>"林野"</f>
        <v>林野</v>
      </c>
      <c r="C38" s="21" t="s">
        <v>65</v>
      </c>
      <c r="D38" s="9" t="str">
        <f t="shared" si="8"/>
        <v>女</v>
      </c>
      <c r="E38" s="10" t="str">
        <f>"1994-07-07"</f>
        <v>1994-07-07</v>
      </c>
      <c r="F38" s="10" t="str">
        <f t="shared" si="6"/>
        <v>本科</v>
      </c>
      <c r="G38" s="10" t="str">
        <f t="shared" si="7"/>
        <v>学士</v>
      </c>
      <c r="H38" s="10" t="str">
        <f>"针灸推拿学"</f>
        <v>针灸推拿学</v>
      </c>
      <c r="I38" s="14" t="str">
        <f>"医师"</f>
        <v>医师</v>
      </c>
      <c r="J38" s="9"/>
    </row>
    <row r="39" spans="1:10" ht="30" customHeight="1">
      <c r="A39" s="18">
        <v>36</v>
      </c>
      <c r="B39" s="9" t="str">
        <f>"王雪"</f>
        <v>王雪</v>
      </c>
      <c r="C39" s="11" t="s">
        <v>17</v>
      </c>
      <c r="D39" s="9" t="str">
        <f t="shared" si="8"/>
        <v>女</v>
      </c>
      <c r="E39" s="10" t="str">
        <f>"1994-04-15"</f>
        <v>1994-04-15</v>
      </c>
      <c r="F39" s="10" t="str">
        <f t="shared" si="6"/>
        <v>本科</v>
      </c>
      <c r="G39" s="10" t="str">
        <f t="shared" si="7"/>
        <v>学士</v>
      </c>
      <c r="H39" s="10" t="str">
        <f aca="true" t="shared" si="9" ref="H39:H46">"康复治疗学"</f>
        <v>康复治疗学</v>
      </c>
      <c r="I39" s="20" t="str">
        <f>"康复技师"</f>
        <v>康复技师</v>
      </c>
      <c r="J39" s="9"/>
    </row>
    <row r="40" spans="1:10" ht="30" customHeight="1">
      <c r="A40" s="18">
        <v>37</v>
      </c>
      <c r="B40" s="9" t="str">
        <f>"庄清江"</f>
        <v>庄清江</v>
      </c>
      <c r="C40" s="11" t="s">
        <v>17</v>
      </c>
      <c r="D40" s="9" t="str">
        <f>"男"</f>
        <v>男</v>
      </c>
      <c r="E40" s="10" t="str">
        <f>"1995-10-13"</f>
        <v>1995-10-13</v>
      </c>
      <c r="F40" s="10" t="str">
        <f t="shared" si="6"/>
        <v>本科</v>
      </c>
      <c r="G40" s="10" t="str">
        <f>"无"</f>
        <v>无</v>
      </c>
      <c r="H40" s="10" t="str">
        <f t="shared" si="9"/>
        <v>康复治疗学</v>
      </c>
      <c r="I40" s="14" t="str">
        <f>"无"</f>
        <v>无</v>
      </c>
      <c r="J40" s="9"/>
    </row>
    <row r="41" spans="1:10" ht="30" customHeight="1">
      <c r="A41" s="18">
        <v>38</v>
      </c>
      <c r="B41" s="9" t="str">
        <f>"蔡燕芝"</f>
        <v>蔡燕芝</v>
      </c>
      <c r="C41" s="19" t="s">
        <v>17</v>
      </c>
      <c r="D41" s="9" t="str">
        <f>"女"</f>
        <v>女</v>
      </c>
      <c r="E41" s="10" t="str">
        <f>"1996-11-04"</f>
        <v>1996-11-04</v>
      </c>
      <c r="F41" s="10" t="str">
        <f t="shared" si="6"/>
        <v>本科</v>
      </c>
      <c r="G41" s="10" t="str">
        <f>"学士"</f>
        <v>学士</v>
      </c>
      <c r="H41" s="10" t="str">
        <f t="shared" si="9"/>
        <v>康复治疗学</v>
      </c>
      <c r="I41" s="14" t="str">
        <f>"康复技师"</f>
        <v>康复技师</v>
      </c>
      <c r="J41" s="9"/>
    </row>
    <row r="42" spans="1:10" ht="30" customHeight="1">
      <c r="A42" s="18">
        <v>39</v>
      </c>
      <c r="B42" s="9" t="str">
        <f>"王珏"</f>
        <v>王珏</v>
      </c>
      <c r="C42" s="11" t="s">
        <v>17</v>
      </c>
      <c r="D42" s="9" t="str">
        <f>"女"</f>
        <v>女</v>
      </c>
      <c r="E42" s="10" t="str">
        <f>"1993-04-10"</f>
        <v>1993-04-10</v>
      </c>
      <c r="F42" s="10" t="str">
        <f t="shared" si="6"/>
        <v>本科</v>
      </c>
      <c r="G42" s="10" t="str">
        <f>"学士"</f>
        <v>学士</v>
      </c>
      <c r="H42" s="10" t="str">
        <f t="shared" si="9"/>
        <v>康复治疗学</v>
      </c>
      <c r="I42" s="14" t="str">
        <f>"康复技师"</f>
        <v>康复技师</v>
      </c>
      <c r="J42" s="9"/>
    </row>
    <row r="43" spans="1:10" ht="30" customHeight="1">
      <c r="A43" s="18">
        <v>40</v>
      </c>
      <c r="B43" s="9" t="str">
        <f>"黄在容"</f>
        <v>黄在容</v>
      </c>
      <c r="C43" s="11" t="s">
        <v>17</v>
      </c>
      <c r="D43" s="9" t="str">
        <f>"女"</f>
        <v>女</v>
      </c>
      <c r="E43" s="10" t="str">
        <f>"1995-11-20"</f>
        <v>1995-11-20</v>
      </c>
      <c r="F43" s="10" t="str">
        <f t="shared" si="6"/>
        <v>本科</v>
      </c>
      <c r="G43" s="10" t="str">
        <f>"学士"</f>
        <v>学士</v>
      </c>
      <c r="H43" s="10" t="str">
        <f t="shared" si="9"/>
        <v>康复治疗学</v>
      </c>
      <c r="I43" s="14" t="s">
        <v>18</v>
      </c>
      <c r="J43" s="9"/>
    </row>
    <row r="44" spans="1:10" ht="30" customHeight="1">
      <c r="A44" s="18">
        <v>41</v>
      </c>
      <c r="B44" s="9" t="str">
        <f>"陈立"</f>
        <v>陈立</v>
      </c>
      <c r="C44" s="11" t="s">
        <v>17</v>
      </c>
      <c r="D44" s="9" t="str">
        <f>"男"</f>
        <v>男</v>
      </c>
      <c r="E44" s="10" t="str">
        <f>"1991-08-15"</f>
        <v>1991-08-15</v>
      </c>
      <c r="F44" s="10" t="str">
        <f t="shared" si="6"/>
        <v>本科</v>
      </c>
      <c r="G44" s="10" t="str">
        <f>"无"</f>
        <v>无</v>
      </c>
      <c r="H44" s="10" t="str">
        <f t="shared" si="9"/>
        <v>康复治疗学</v>
      </c>
      <c r="I44" s="14" t="str">
        <f>"康复技师"</f>
        <v>康复技师</v>
      </c>
      <c r="J44" s="9"/>
    </row>
    <row r="45" spans="1:10" ht="30" customHeight="1">
      <c r="A45" s="18">
        <v>42</v>
      </c>
      <c r="B45" s="9" t="str">
        <f>"符策渠"</f>
        <v>符策渠</v>
      </c>
      <c r="C45" s="11" t="s">
        <v>17</v>
      </c>
      <c r="D45" s="9" t="str">
        <f>"男"</f>
        <v>男</v>
      </c>
      <c r="E45" s="10" t="str">
        <f>"1995-03-13"</f>
        <v>1995-03-13</v>
      </c>
      <c r="F45" s="10" t="str">
        <f t="shared" si="6"/>
        <v>本科</v>
      </c>
      <c r="G45" s="10" t="str">
        <f>"学士"</f>
        <v>学士</v>
      </c>
      <c r="H45" s="10" t="str">
        <f t="shared" si="9"/>
        <v>康复治疗学</v>
      </c>
      <c r="I45" s="14" t="str">
        <f>"无"</f>
        <v>无</v>
      </c>
      <c r="J45" s="9"/>
    </row>
    <row r="46" spans="1:10" ht="30" customHeight="1">
      <c r="A46" s="18">
        <v>43</v>
      </c>
      <c r="B46" s="9" t="str">
        <f>"梁梦怡"</f>
        <v>梁梦怡</v>
      </c>
      <c r="C46" s="11" t="s">
        <v>17</v>
      </c>
      <c r="D46" s="9" t="str">
        <f>"女"</f>
        <v>女</v>
      </c>
      <c r="E46" s="10" t="str">
        <f>"1996-02-05"</f>
        <v>1996-02-05</v>
      </c>
      <c r="F46" s="10" t="str">
        <f t="shared" si="6"/>
        <v>本科</v>
      </c>
      <c r="G46" s="10" t="str">
        <f>"学士"</f>
        <v>学士</v>
      </c>
      <c r="H46" s="10" t="str">
        <f t="shared" si="9"/>
        <v>康复治疗学</v>
      </c>
      <c r="I46" s="14" t="str">
        <f>"无"</f>
        <v>无</v>
      </c>
      <c r="J46" s="9"/>
    </row>
    <row r="47" spans="1:10" ht="30" customHeight="1">
      <c r="A47" s="18">
        <v>44</v>
      </c>
      <c r="B47" s="9" t="str">
        <f>"朱彬"</f>
        <v>朱彬</v>
      </c>
      <c r="C47" s="11" t="s">
        <v>17</v>
      </c>
      <c r="D47" s="9" t="str">
        <f>"男"</f>
        <v>男</v>
      </c>
      <c r="E47" s="10" t="str">
        <f>"1992-11-16"</f>
        <v>1992-11-16</v>
      </c>
      <c r="F47" s="10" t="str">
        <f>"硕士
研究生"</f>
        <v>硕士
研究生</v>
      </c>
      <c r="G47" s="10" t="str">
        <f>"硕士"</f>
        <v>硕士</v>
      </c>
      <c r="H47" s="10" t="str">
        <f>"中医内科学"</f>
        <v>中医内科学</v>
      </c>
      <c r="I47" s="14" t="s">
        <v>18</v>
      </c>
      <c r="J47" s="9"/>
    </row>
    <row r="48" spans="1:10" ht="30" customHeight="1">
      <c r="A48" s="18">
        <v>45</v>
      </c>
      <c r="B48" s="9" t="str">
        <f>"陈丽红"</f>
        <v>陈丽红</v>
      </c>
      <c r="C48" s="19" t="s">
        <v>17</v>
      </c>
      <c r="D48" s="9" t="str">
        <f>"女"</f>
        <v>女</v>
      </c>
      <c r="E48" s="10" t="str">
        <f>"1995-07-15"</f>
        <v>1995-07-15</v>
      </c>
      <c r="F48" s="10" t="str">
        <f>"本科"</f>
        <v>本科</v>
      </c>
      <c r="G48" s="10" t="str">
        <f>"学士"</f>
        <v>学士</v>
      </c>
      <c r="H48" s="10" t="str">
        <f aca="true" t="shared" si="10" ref="H48:H53">"康复治疗学"</f>
        <v>康复治疗学</v>
      </c>
      <c r="I48" s="14" t="str">
        <f>"无"</f>
        <v>无</v>
      </c>
      <c r="J48" s="9"/>
    </row>
    <row r="49" spans="1:10" ht="30" customHeight="1">
      <c r="A49" s="18">
        <v>46</v>
      </c>
      <c r="B49" s="9" t="str">
        <f>"秦少雅"</f>
        <v>秦少雅</v>
      </c>
      <c r="C49" s="19" t="s">
        <v>19</v>
      </c>
      <c r="D49" s="9" t="str">
        <f>"女"</f>
        <v>女</v>
      </c>
      <c r="E49" s="10" t="str">
        <f>"1993-09-08"</f>
        <v>1993-09-08</v>
      </c>
      <c r="F49" s="10" t="str">
        <f>"本科"</f>
        <v>本科</v>
      </c>
      <c r="G49" s="10" t="str">
        <f>"学士"</f>
        <v>学士</v>
      </c>
      <c r="H49" s="10" t="str">
        <f t="shared" si="10"/>
        <v>康复治疗学</v>
      </c>
      <c r="I49" s="14" t="s">
        <v>18</v>
      </c>
      <c r="J49" s="9"/>
    </row>
    <row r="50" spans="1:10" ht="30" customHeight="1">
      <c r="A50" s="18">
        <v>47</v>
      </c>
      <c r="B50" s="9" t="s">
        <v>56</v>
      </c>
      <c r="C50" s="19" t="s">
        <v>19</v>
      </c>
      <c r="D50" s="9" t="s">
        <v>57</v>
      </c>
      <c r="E50" s="20" t="s">
        <v>59</v>
      </c>
      <c r="F50" s="10" t="s">
        <v>58</v>
      </c>
      <c r="G50" s="20" t="str">
        <f>"无"</f>
        <v>无</v>
      </c>
      <c r="H50" s="18" t="str">
        <f t="shared" si="10"/>
        <v>康复治疗学</v>
      </c>
      <c r="I50" s="20" t="str">
        <f>"无"</f>
        <v>无</v>
      </c>
      <c r="J50" s="9"/>
    </row>
    <row r="51" spans="1:10" ht="30" customHeight="1">
      <c r="A51" s="18">
        <v>48</v>
      </c>
      <c r="B51" s="9" t="str">
        <f>"陈增雪"</f>
        <v>陈增雪</v>
      </c>
      <c r="C51" s="11" t="s">
        <v>19</v>
      </c>
      <c r="D51" s="9" t="str">
        <f aca="true" t="shared" si="11" ref="D51:D56">"女"</f>
        <v>女</v>
      </c>
      <c r="E51" s="10" t="str">
        <f>"1998-03-01"</f>
        <v>1998-03-01</v>
      </c>
      <c r="F51" s="10" t="str">
        <f aca="true" t="shared" si="12" ref="F51:F84">"本科"</f>
        <v>本科</v>
      </c>
      <c r="G51" s="10" t="str">
        <f>"学士"</f>
        <v>学士</v>
      </c>
      <c r="H51" s="10" t="str">
        <f t="shared" si="10"/>
        <v>康复治疗学</v>
      </c>
      <c r="I51" s="14" t="str">
        <f>"无"</f>
        <v>无</v>
      </c>
      <c r="J51" s="9"/>
    </row>
    <row r="52" spans="1:10" ht="30" customHeight="1">
      <c r="A52" s="18">
        <v>49</v>
      </c>
      <c r="B52" s="9" t="str">
        <f>"李珍慧"</f>
        <v>李珍慧</v>
      </c>
      <c r="C52" s="11" t="s">
        <v>19</v>
      </c>
      <c r="D52" s="9" t="str">
        <f t="shared" si="11"/>
        <v>女</v>
      </c>
      <c r="E52" s="10" t="str">
        <f>"1996-02-10"</f>
        <v>1996-02-10</v>
      </c>
      <c r="F52" s="10" t="str">
        <f t="shared" si="12"/>
        <v>本科</v>
      </c>
      <c r="G52" s="10" t="str">
        <f>"学士"</f>
        <v>学士</v>
      </c>
      <c r="H52" s="10" t="str">
        <f t="shared" si="10"/>
        <v>康复治疗学</v>
      </c>
      <c r="I52" s="14" t="str">
        <f>"无"</f>
        <v>无</v>
      </c>
      <c r="J52" s="9"/>
    </row>
    <row r="53" spans="1:10" ht="30" customHeight="1">
      <c r="A53" s="18">
        <v>50</v>
      </c>
      <c r="B53" s="9" t="str">
        <f>"李亚琴"</f>
        <v>李亚琴</v>
      </c>
      <c r="C53" s="11" t="s">
        <v>19</v>
      </c>
      <c r="D53" s="9" t="str">
        <f t="shared" si="11"/>
        <v>女</v>
      </c>
      <c r="E53" s="10" t="str">
        <f>"1995-05-10"</f>
        <v>1995-05-10</v>
      </c>
      <c r="F53" s="10" t="str">
        <f t="shared" si="12"/>
        <v>本科</v>
      </c>
      <c r="G53" s="10" t="str">
        <f>"学士"</f>
        <v>学士</v>
      </c>
      <c r="H53" s="10" t="str">
        <f t="shared" si="10"/>
        <v>康复治疗学</v>
      </c>
      <c r="I53" s="14" t="str">
        <f>"康复技师"</f>
        <v>康复技师</v>
      </c>
      <c r="J53" s="9"/>
    </row>
    <row r="54" spans="1:10" ht="30" customHeight="1">
      <c r="A54" s="18">
        <v>51</v>
      </c>
      <c r="B54" s="9" t="str">
        <f>"赵婧娴"</f>
        <v>赵婧娴</v>
      </c>
      <c r="C54" s="11" t="s">
        <v>19</v>
      </c>
      <c r="D54" s="9" t="str">
        <f t="shared" si="11"/>
        <v>女</v>
      </c>
      <c r="E54" s="10" t="str">
        <f>"1990-08-13"</f>
        <v>1990-08-13</v>
      </c>
      <c r="F54" s="10" t="str">
        <f t="shared" si="12"/>
        <v>本科</v>
      </c>
      <c r="G54" s="10" t="str">
        <f>"无"</f>
        <v>无</v>
      </c>
      <c r="H54" s="12" t="str">
        <f>"中西医临床医学"</f>
        <v>中西医临床医学</v>
      </c>
      <c r="I54" s="14" t="s">
        <v>11</v>
      </c>
      <c r="J54" s="9"/>
    </row>
    <row r="55" spans="1:10" ht="30" customHeight="1">
      <c r="A55" s="18">
        <v>52</v>
      </c>
      <c r="B55" s="9" t="str">
        <f>"吴红三"</f>
        <v>吴红三</v>
      </c>
      <c r="C55" s="11" t="s">
        <v>19</v>
      </c>
      <c r="D55" s="9" t="str">
        <f t="shared" si="11"/>
        <v>女</v>
      </c>
      <c r="E55" s="10" t="str">
        <f>"1990-03-13"</f>
        <v>1990-03-13</v>
      </c>
      <c r="F55" s="10" t="str">
        <f t="shared" si="12"/>
        <v>本科</v>
      </c>
      <c r="G55" s="10" t="str">
        <f>"学士"</f>
        <v>学士</v>
      </c>
      <c r="H55" s="12" t="str">
        <f>"中西医临床医学"</f>
        <v>中西医临床医学</v>
      </c>
      <c r="I55" s="14" t="s">
        <v>11</v>
      </c>
      <c r="J55" s="9"/>
    </row>
    <row r="56" spans="1:10" ht="30" customHeight="1">
      <c r="A56" s="18">
        <v>53</v>
      </c>
      <c r="B56" s="9" t="str">
        <f>"吴永浪"</f>
        <v>吴永浪</v>
      </c>
      <c r="C56" s="19" t="s">
        <v>19</v>
      </c>
      <c r="D56" s="9" t="str">
        <f t="shared" si="11"/>
        <v>女</v>
      </c>
      <c r="E56" s="10" t="str">
        <f>"1993-04-06"</f>
        <v>1993-04-06</v>
      </c>
      <c r="F56" s="10" t="str">
        <f t="shared" si="12"/>
        <v>本科</v>
      </c>
      <c r="G56" s="10" t="str">
        <f>"学士"</f>
        <v>学士</v>
      </c>
      <c r="H56" s="12" t="str">
        <f>"中西医临床医学"</f>
        <v>中西医临床医学</v>
      </c>
      <c r="I56" s="14" t="str">
        <f>"医师"</f>
        <v>医师</v>
      </c>
      <c r="J56" s="9"/>
    </row>
    <row r="57" spans="1:10" ht="30" customHeight="1">
      <c r="A57" s="18">
        <v>54</v>
      </c>
      <c r="B57" s="9" t="str">
        <f>"黄奕冠"</f>
        <v>黄奕冠</v>
      </c>
      <c r="C57" s="19" t="s">
        <v>19</v>
      </c>
      <c r="D57" s="9" t="str">
        <f>"男"</f>
        <v>男</v>
      </c>
      <c r="E57" s="10" t="str">
        <f>"1995-01-12"</f>
        <v>1995-01-12</v>
      </c>
      <c r="F57" s="10" t="str">
        <f t="shared" si="12"/>
        <v>本科</v>
      </c>
      <c r="G57" s="10" t="str">
        <f>"无"</f>
        <v>无</v>
      </c>
      <c r="H57" s="18" t="str">
        <f>"康复治疗学"</f>
        <v>康复治疗学</v>
      </c>
      <c r="I57" s="14" t="str">
        <f>"无"</f>
        <v>无</v>
      </c>
      <c r="J57" s="9"/>
    </row>
    <row r="58" spans="1:10" ht="30" customHeight="1">
      <c r="A58" s="18">
        <v>55</v>
      </c>
      <c r="B58" s="9" t="str">
        <f>"李晓燕"</f>
        <v>李晓燕</v>
      </c>
      <c r="C58" s="19" t="s">
        <v>19</v>
      </c>
      <c r="D58" s="9" t="str">
        <f>"女"</f>
        <v>女</v>
      </c>
      <c r="E58" s="10" t="str">
        <f>"1991-07-29"</f>
        <v>1991-07-29</v>
      </c>
      <c r="F58" s="10" t="str">
        <f t="shared" si="12"/>
        <v>本科</v>
      </c>
      <c r="G58" s="10" t="str">
        <f>"学士"</f>
        <v>学士</v>
      </c>
      <c r="H58" s="12" t="str">
        <f>"中西医临床医学"</f>
        <v>中西医临床医学</v>
      </c>
      <c r="I58" s="14" t="str">
        <f>"医师"</f>
        <v>医师</v>
      </c>
      <c r="J58" s="9"/>
    </row>
    <row r="59" spans="1:10" ht="30" customHeight="1">
      <c r="A59" s="18">
        <v>56</v>
      </c>
      <c r="B59" s="9" t="str">
        <f>"符亚敏"</f>
        <v>符亚敏</v>
      </c>
      <c r="C59" s="19" t="s">
        <v>19</v>
      </c>
      <c r="D59" s="9" t="str">
        <f>"女"</f>
        <v>女</v>
      </c>
      <c r="E59" s="10" t="str">
        <f>"1995-09-29"</f>
        <v>1995-09-29</v>
      </c>
      <c r="F59" s="10" t="str">
        <f t="shared" si="12"/>
        <v>本科</v>
      </c>
      <c r="G59" s="10" t="str">
        <f>"学士"</f>
        <v>学士</v>
      </c>
      <c r="H59" s="12" t="str">
        <f>"康复治疗学"</f>
        <v>康复治疗学</v>
      </c>
      <c r="I59" s="14" t="str">
        <f>"康复技师"</f>
        <v>康复技师</v>
      </c>
      <c r="J59" s="9"/>
    </row>
    <row r="60" spans="1:10" ht="30" customHeight="1">
      <c r="A60" s="18">
        <v>57</v>
      </c>
      <c r="B60" s="9" t="str">
        <f>"陈思君"</f>
        <v>陈思君</v>
      </c>
      <c r="C60" s="19" t="s">
        <v>19</v>
      </c>
      <c r="D60" s="9" t="str">
        <f>"女"</f>
        <v>女</v>
      </c>
      <c r="E60" s="10" t="str">
        <f>"1994-08-29"</f>
        <v>1994-08-29</v>
      </c>
      <c r="F60" s="10" t="str">
        <f t="shared" si="12"/>
        <v>本科</v>
      </c>
      <c r="G60" s="10" t="str">
        <f>"学士"</f>
        <v>学士</v>
      </c>
      <c r="H60" s="12" t="str">
        <f>"中西医临床医学"</f>
        <v>中西医临床医学</v>
      </c>
      <c r="I60" s="14" t="str">
        <f>"医师"</f>
        <v>医师</v>
      </c>
      <c r="J60" s="9"/>
    </row>
    <row r="61" spans="1:10" ht="30" customHeight="1">
      <c r="A61" s="18">
        <v>58</v>
      </c>
      <c r="B61" s="9" t="str">
        <f>"云蕾"</f>
        <v>云蕾</v>
      </c>
      <c r="C61" s="19" t="s">
        <v>19</v>
      </c>
      <c r="D61" s="9" t="str">
        <f>"女"</f>
        <v>女</v>
      </c>
      <c r="E61" s="10" t="str">
        <f>"1993-10-24"</f>
        <v>1993-10-24</v>
      </c>
      <c r="F61" s="10" t="str">
        <f t="shared" si="12"/>
        <v>本科</v>
      </c>
      <c r="G61" s="10" t="str">
        <f>"学士"</f>
        <v>学士</v>
      </c>
      <c r="H61" s="12" t="str">
        <f>"中西医临床医学"</f>
        <v>中西医临床医学</v>
      </c>
      <c r="I61" s="14" t="s">
        <v>20</v>
      </c>
      <c r="J61" s="9"/>
    </row>
    <row r="62" spans="1:10" ht="30" customHeight="1">
      <c r="A62" s="18">
        <v>59</v>
      </c>
      <c r="B62" s="9" t="str">
        <f>"符英杰"</f>
        <v>符英杰</v>
      </c>
      <c r="C62" s="19" t="s">
        <v>19</v>
      </c>
      <c r="D62" s="9" t="str">
        <f>"男"</f>
        <v>男</v>
      </c>
      <c r="E62" s="10" t="str">
        <f>"1997-05-02"</f>
        <v>1997-05-02</v>
      </c>
      <c r="F62" s="10" t="str">
        <f t="shared" si="12"/>
        <v>本科</v>
      </c>
      <c r="G62" s="10" t="str">
        <f>"学士"</f>
        <v>学士</v>
      </c>
      <c r="H62" s="12" t="str">
        <f aca="true" t="shared" si="13" ref="H62:H68">"康复治疗学"</f>
        <v>康复治疗学</v>
      </c>
      <c r="I62" s="14" t="str">
        <f>"康复技师"</f>
        <v>康复技师</v>
      </c>
      <c r="J62" s="9"/>
    </row>
    <row r="63" spans="1:10" ht="30" customHeight="1">
      <c r="A63" s="18">
        <v>60</v>
      </c>
      <c r="B63" s="9" t="str">
        <f>"王皎旭"</f>
        <v>王皎旭</v>
      </c>
      <c r="C63" s="19" t="s">
        <v>19</v>
      </c>
      <c r="D63" s="9" t="str">
        <f>"男"</f>
        <v>男</v>
      </c>
      <c r="E63" s="10" t="str">
        <f>"1995-07-19"</f>
        <v>1995-07-19</v>
      </c>
      <c r="F63" s="10" t="str">
        <f t="shared" si="12"/>
        <v>本科</v>
      </c>
      <c r="G63" s="10" t="str">
        <f>"无"</f>
        <v>无</v>
      </c>
      <c r="H63" s="10" t="str">
        <f t="shared" si="13"/>
        <v>康复治疗学</v>
      </c>
      <c r="I63" s="14" t="s">
        <v>18</v>
      </c>
      <c r="J63" s="9"/>
    </row>
    <row r="64" spans="1:10" ht="30" customHeight="1">
      <c r="A64" s="18">
        <v>61</v>
      </c>
      <c r="B64" s="10" t="str">
        <f>"陈荣惠"</f>
        <v>陈荣惠</v>
      </c>
      <c r="C64" s="11" t="s">
        <v>19</v>
      </c>
      <c r="D64" s="10" t="str">
        <f aca="true" t="shared" si="14" ref="D64:D69">"女"</f>
        <v>女</v>
      </c>
      <c r="E64" s="10" t="str">
        <f>"1999-01-25"</f>
        <v>1999-01-25</v>
      </c>
      <c r="F64" s="10" t="str">
        <f t="shared" si="12"/>
        <v>本科</v>
      </c>
      <c r="G64" s="10" t="str">
        <f>"学士"</f>
        <v>学士</v>
      </c>
      <c r="H64" s="10" t="str">
        <f t="shared" si="13"/>
        <v>康复治疗学</v>
      </c>
      <c r="I64" s="14" t="str">
        <f>"无"</f>
        <v>无</v>
      </c>
      <c r="J64" s="9"/>
    </row>
    <row r="65" spans="1:10" ht="30" customHeight="1">
      <c r="A65" s="18">
        <v>62</v>
      </c>
      <c r="B65" s="10" t="str">
        <f>"李小旖"</f>
        <v>李小旖</v>
      </c>
      <c r="C65" s="19" t="s">
        <v>19</v>
      </c>
      <c r="D65" s="10" t="str">
        <f t="shared" si="14"/>
        <v>女</v>
      </c>
      <c r="E65" s="10" t="str">
        <f>"1997-04-03"</f>
        <v>1997-04-03</v>
      </c>
      <c r="F65" s="10" t="str">
        <f t="shared" si="12"/>
        <v>本科</v>
      </c>
      <c r="G65" s="10" t="str">
        <f>"学士"</f>
        <v>学士</v>
      </c>
      <c r="H65" s="10" t="str">
        <f t="shared" si="13"/>
        <v>康复治疗学</v>
      </c>
      <c r="I65" s="14" t="str">
        <f>"无"</f>
        <v>无</v>
      </c>
      <c r="J65" s="9"/>
    </row>
    <row r="66" spans="1:10" ht="30" customHeight="1">
      <c r="A66" s="18">
        <v>63</v>
      </c>
      <c r="B66" s="10" t="str">
        <f>"陈丽梦"</f>
        <v>陈丽梦</v>
      </c>
      <c r="C66" s="19" t="s">
        <v>19</v>
      </c>
      <c r="D66" s="10" t="str">
        <f t="shared" si="14"/>
        <v>女</v>
      </c>
      <c r="E66" s="10" t="str">
        <f>"1996-02-12"</f>
        <v>1996-02-12</v>
      </c>
      <c r="F66" s="10" t="str">
        <f t="shared" si="12"/>
        <v>本科</v>
      </c>
      <c r="G66" s="10" t="str">
        <f>"学士"</f>
        <v>学士</v>
      </c>
      <c r="H66" s="10" t="str">
        <f t="shared" si="13"/>
        <v>康复治疗学</v>
      </c>
      <c r="I66" s="14" t="s">
        <v>18</v>
      </c>
      <c r="J66" s="9"/>
    </row>
    <row r="67" spans="1:10" ht="30" customHeight="1">
      <c r="A67" s="18">
        <v>64</v>
      </c>
      <c r="B67" s="10" t="str">
        <f>"庄漫"</f>
        <v>庄漫</v>
      </c>
      <c r="C67" s="11" t="s">
        <v>19</v>
      </c>
      <c r="D67" s="10" t="str">
        <f t="shared" si="14"/>
        <v>女</v>
      </c>
      <c r="E67" s="10" t="str">
        <f>"1996-09-07"</f>
        <v>1996-09-07</v>
      </c>
      <c r="F67" s="10" t="str">
        <f t="shared" si="12"/>
        <v>本科</v>
      </c>
      <c r="G67" s="10" t="str">
        <f>"学士"</f>
        <v>学士</v>
      </c>
      <c r="H67" s="10" t="str">
        <f t="shared" si="13"/>
        <v>康复治疗学</v>
      </c>
      <c r="I67" s="14" t="str">
        <f>"康复技师"</f>
        <v>康复技师</v>
      </c>
      <c r="J67" s="9"/>
    </row>
    <row r="68" spans="1:10" ht="30" customHeight="1">
      <c r="A68" s="18">
        <v>65</v>
      </c>
      <c r="B68" s="10" t="str">
        <f>"王紫芹"</f>
        <v>王紫芹</v>
      </c>
      <c r="C68" s="11" t="s">
        <v>19</v>
      </c>
      <c r="D68" s="10" t="str">
        <f t="shared" si="14"/>
        <v>女</v>
      </c>
      <c r="E68" s="10" t="str">
        <f>"1996-08-13"</f>
        <v>1996-08-13</v>
      </c>
      <c r="F68" s="10" t="str">
        <f t="shared" si="12"/>
        <v>本科</v>
      </c>
      <c r="G68" s="10" t="str">
        <f>"无"</f>
        <v>无</v>
      </c>
      <c r="H68" s="10" t="str">
        <f t="shared" si="13"/>
        <v>康复治疗学</v>
      </c>
      <c r="I68" s="14" t="str">
        <f>"无"</f>
        <v>无</v>
      </c>
      <c r="J68" s="9"/>
    </row>
    <row r="69" spans="1:10" ht="30" customHeight="1">
      <c r="A69" s="18">
        <v>66</v>
      </c>
      <c r="B69" s="10" t="str">
        <f>"李琳芳"</f>
        <v>李琳芳</v>
      </c>
      <c r="C69" s="11" t="s">
        <v>21</v>
      </c>
      <c r="D69" s="10" t="str">
        <f t="shared" si="14"/>
        <v>女</v>
      </c>
      <c r="E69" s="10" t="str">
        <f>"1992-10-03"</f>
        <v>1992-10-03</v>
      </c>
      <c r="F69" s="10" t="str">
        <f t="shared" si="12"/>
        <v>本科</v>
      </c>
      <c r="G69" s="10" t="str">
        <f aca="true" t="shared" si="15" ref="G69:G75">"学士"</f>
        <v>学士</v>
      </c>
      <c r="H69" s="10" t="str">
        <f aca="true" t="shared" si="16" ref="H69:H74">"应用心理学"</f>
        <v>应用心理学</v>
      </c>
      <c r="I69" s="14" t="str">
        <f>"无"</f>
        <v>无</v>
      </c>
      <c r="J69" s="9"/>
    </row>
    <row r="70" spans="1:10" ht="30" customHeight="1">
      <c r="A70" s="18">
        <v>67</v>
      </c>
      <c r="B70" s="10" t="str">
        <f>"王康荣"</f>
        <v>王康荣</v>
      </c>
      <c r="C70" s="11" t="s">
        <v>21</v>
      </c>
      <c r="D70" s="10" t="str">
        <f>"男"</f>
        <v>男</v>
      </c>
      <c r="E70" s="10" t="str">
        <f>"1989-10-02"</f>
        <v>1989-10-02</v>
      </c>
      <c r="F70" s="10" t="str">
        <f t="shared" si="12"/>
        <v>本科</v>
      </c>
      <c r="G70" s="10" t="str">
        <f t="shared" si="15"/>
        <v>学士</v>
      </c>
      <c r="H70" s="10" t="str">
        <f t="shared" si="16"/>
        <v>应用心理学</v>
      </c>
      <c r="I70" s="15" t="s">
        <v>22</v>
      </c>
      <c r="J70" s="9"/>
    </row>
    <row r="71" spans="1:10" ht="30" customHeight="1">
      <c r="A71" s="18">
        <v>68</v>
      </c>
      <c r="B71" s="10" t="str">
        <f>"冼春凤"</f>
        <v>冼春凤</v>
      </c>
      <c r="C71" s="11" t="s">
        <v>21</v>
      </c>
      <c r="D71" s="10" t="str">
        <f>"女"</f>
        <v>女</v>
      </c>
      <c r="E71" s="10" t="str">
        <f>"1995-07-10"</f>
        <v>1995-07-10</v>
      </c>
      <c r="F71" s="10" t="str">
        <f t="shared" si="12"/>
        <v>本科</v>
      </c>
      <c r="G71" s="10" t="str">
        <f t="shared" si="15"/>
        <v>学士</v>
      </c>
      <c r="H71" s="10" t="str">
        <f t="shared" si="16"/>
        <v>应用心理学</v>
      </c>
      <c r="I71" s="14" t="str">
        <f>"无"</f>
        <v>无</v>
      </c>
      <c r="J71" s="9"/>
    </row>
    <row r="72" spans="1:10" ht="30" customHeight="1">
      <c r="A72" s="18">
        <v>69</v>
      </c>
      <c r="B72" s="10" t="str">
        <f>"周昕雨"</f>
        <v>周昕雨</v>
      </c>
      <c r="C72" s="11" t="s">
        <v>21</v>
      </c>
      <c r="D72" s="10" t="str">
        <f>"女"</f>
        <v>女</v>
      </c>
      <c r="E72" s="10" t="str">
        <f>"1997-03-16"</f>
        <v>1997-03-16</v>
      </c>
      <c r="F72" s="10" t="str">
        <f t="shared" si="12"/>
        <v>本科</v>
      </c>
      <c r="G72" s="10" t="str">
        <f t="shared" si="15"/>
        <v>学士</v>
      </c>
      <c r="H72" s="10" t="str">
        <f t="shared" si="16"/>
        <v>应用心理学</v>
      </c>
      <c r="I72" s="14" t="str">
        <f>"无"</f>
        <v>无</v>
      </c>
      <c r="J72" s="10"/>
    </row>
    <row r="73" spans="1:10" ht="30" customHeight="1">
      <c r="A73" s="18">
        <v>70</v>
      </c>
      <c r="B73" s="10" t="str">
        <f>"吴定德"</f>
        <v>吴定德</v>
      </c>
      <c r="C73" s="11" t="s">
        <v>21</v>
      </c>
      <c r="D73" s="10" t="str">
        <f>"男"</f>
        <v>男</v>
      </c>
      <c r="E73" s="10" t="str">
        <f>"1988-10-19"</f>
        <v>1988-10-19</v>
      </c>
      <c r="F73" s="10" t="str">
        <f t="shared" si="12"/>
        <v>本科</v>
      </c>
      <c r="G73" s="10" t="str">
        <f t="shared" si="15"/>
        <v>学士</v>
      </c>
      <c r="H73" s="10" t="str">
        <f t="shared" si="16"/>
        <v>应用心理学</v>
      </c>
      <c r="I73" s="14" t="str">
        <f>"无"</f>
        <v>无</v>
      </c>
      <c r="J73" s="9"/>
    </row>
    <row r="74" spans="1:10" ht="30" customHeight="1">
      <c r="A74" s="18">
        <v>71</v>
      </c>
      <c r="B74" s="10" t="str">
        <f>"王德丽"</f>
        <v>王德丽</v>
      </c>
      <c r="C74" s="11" t="s">
        <v>21</v>
      </c>
      <c r="D74" s="10" t="str">
        <f>"女"</f>
        <v>女</v>
      </c>
      <c r="E74" s="10" t="str">
        <f>"1992-10-07"</f>
        <v>1992-10-07</v>
      </c>
      <c r="F74" s="10" t="str">
        <f t="shared" si="12"/>
        <v>本科</v>
      </c>
      <c r="G74" s="10" t="str">
        <f t="shared" si="15"/>
        <v>学士</v>
      </c>
      <c r="H74" s="18" t="str">
        <f t="shared" si="16"/>
        <v>应用心理学</v>
      </c>
      <c r="I74" s="14" t="str">
        <f>"无"</f>
        <v>无</v>
      </c>
      <c r="J74" s="9"/>
    </row>
    <row r="75" spans="1:10" ht="30" customHeight="1">
      <c r="A75" s="18">
        <v>72</v>
      </c>
      <c r="B75" s="10" t="str">
        <f>"许振伟"</f>
        <v>许振伟</v>
      </c>
      <c r="C75" s="19" t="s">
        <v>25</v>
      </c>
      <c r="D75" s="10" t="str">
        <f>"男"</f>
        <v>男</v>
      </c>
      <c r="E75" s="10" t="str">
        <f>"1991-02-04"</f>
        <v>1991-02-04</v>
      </c>
      <c r="F75" s="10" t="str">
        <f t="shared" si="12"/>
        <v>本科</v>
      </c>
      <c r="G75" s="10" t="str">
        <f t="shared" si="15"/>
        <v>学士</v>
      </c>
      <c r="H75" s="10" t="str">
        <f>"临床医学"</f>
        <v>临床医学</v>
      </c>
      <c r="I75" s="14" t="str">
        <f>"主治医师"</f>
        <v>主治医师</v>
      </c>
      <c r="J75" s="9"/>
    </row>
    <row r="76" spans="1:10" ht="30" customHeight="1">
      <c r="A76" s="18">
        <v>73</v>
      </c>
      <c r="B76" s="10" t="str">
        <f>"刘壮"</f>
        <v>刘壮</v>
      </c>
      <c r="C76" s="19" t="s">
        <v>25</v>
      </c>
      <c r="D76" s="10" t="str">
        <f>"男"</f>
        <v>男</v>
      </c>
      <c r="E76" s="10" t="str">
        <f>"1987-11-02"</f>
        <v>1987-11-02</v>
      </c>
      <c r="F76" s="10" t="str">
        <f t="shared" si="12"/>
        <v>本科</v>
      </c>
      <c r="G76" s="10" t="str">
        <f>"硕士"</f>
        <v>硕士</v>
      </c>
      <c r="H76" s="10" t="str">
        <f>"公共卫生"</f>
        <v>公共卫生</v>
      </c>
      <c r="I76" s="14" t="str">
        <f>"医师"</f>
        <v>医师</v>
      </c>
      <c r="J76" s="9"/>
    </row>
    <row r="77" spans="1:10" ht="30" customHeight="1">
      <c r="A77" s="18">
        <v>74</v>
      </c>
      <c r="B77" s="10" t="str">
        <f>"李雪丽"</f>
        <v>李雪丽</v>
      </c>
      <c r="C77" s="19" t="s">
        <v>26</v>
      </c>
      <c r="D77" s="10" t="str">
        <f aca="true" t="shared" si="17" ref="D77:D83">"女"</f>
        <v>女</v>
      </c>
      <c r="E77" s="10" t="str">
        <f>"1987-02-26"</f>
        <v>1987-02-26</v>
      </c>
      <c r="F77" s="10" t="str">
        <f t="shared" si="12"/>
        <v>本科</v>
      </c>
      <c r="G77" s="10" t="str">
        <f aca="true" t="shared" si="18" ref="G77:G84">"学士"</f>
        <v>学士</v>
      </c>
      <c r="H77" s="10" t="str">
        <f>"临床医学"</f>
        <v>临床医学</v>
      </c>
      <c r="I77" s="14" t="str">
        <f>"主治医师"</f>
        <v>主治医师</v>
      </c>
      <c r="J77" s="9"/>
    </row>
    <row r="78" spans="1:10" ht="30" customHeight="1">
      <c r="A78" s="18">
        <v>75</v>
      </c>
      <c r="B78" s="10" t="str">
        <f>"符春柳"</f>
        <v>符春柳</v>
      </c>
      <c r="C78" s="19" t="s">
        <v>26</v>
      </c>
      <c r="D78" s="10" t="str">
        <f t="shared" si="17"/>
        <v>女</v>
      </c>
      <c r="E78" s="10" t="str">
        <f>"1990-08-15"</f>
        <v>1990-08-15</v>
      </c>
      <c r="F78" s="10" t="str">
        <f t="shared" si="12"/>
        <v>本科</v>
      </c>
      <c r="G78" s="10" t="str">
        <f t="shared" si="18"/>
        <v>学士</v>
      </c>
      <c r="H78" s="10" t="str">
        <f>"临床医学"</f>
        <v>临床医学</v>
      </c>
      <c r="I78" s="14" t="str">
        <f>"医师"</f>
        <v>医师</v>
      </c>
      <c r="J78" s="9"/>
    </row>
    <row r="79" spans="1:10" ht="30" customHeight="1">
      <c r="A79" s="18">
        <v>76</v>
      </c>
      <c r="B79" s="10" t="str">
        <f>"唐正婷"</f>
        <v>唐正婷</v>
      </c>
      <c r="C79" s="19" t="s">
        <v>26</v>
      </c>
      <c r="D79" s="10" t="str">
        <f t="shared" si="17"/>
        <v>女</v>
      </c>
      <c r="E79" s="10" t="str">
        <f>"1991-11-27"</f>
        <v>1991-11-27</v>
      </c>
      <c r="F79" s="10" t="str">
        <f t="shared" si="12"/>
        <v>本科</v>
      </c>
      <c r="G79" s="10" t="str">
        <f t="shared" si="18"/>
        <v>学士</v>
      </c>
      <c r="H79" s="10" t="str">
        <f>"临床医学"</f>
        <v>临床医学</v>
      </c>
      <c r="I79" s="20" t="str">
        <f>"医师"</f>
        <v>医师</v>
      </c>
      <c r="J79" s="9"/>
    </row>
    <row r="80" spans="1:10" ht="30" customHeight="1">
      <c r="A80" s="18">
        <v>77</v>
      </c>
      <c r="B80" s="10" t="str">
        <f>"韦秋圆"</f>
        <v>韦秋圆</v>
      </c>
      <c r="C80" s="19" t="s">
        <v>26</v>
      </c>
      <c r="D80" s="10" t="str">
        <f t="shared" si="17"/>
        <v>女</v>
      </c>
      <c r="E80" s="10" t="str">
        <f>"1988-09-24"</f>
        <v>1988-09-24</v>
      </c>
      <c r="F80" s="10" t="str">
        <f t="shared" si="12"/>
        <v>本科</v>
      </c>
      <c r="G80" s="10" t="str">
        <f t="shared" si="18"/>
        <v>学士</v>
      </c>
      <c r="H80" s="10" t="str">
        <f>"临床医学"</f>
        <v>临床医学</v>
      </c>
      <c r="I80" s="14" t="str">
        <f>"主治医师"</f>
        <v>主治医师</v>
      </c>
      <c r="J80" s="9"/>
    </row>
    <row r="81" spans="1:10" ht="30" customHeight="1">
      <c r="A81" s="18">
        <v>78</v>
      </c>
      <c r="B81" s="10" t="str">
        <f>"吴晶梅"</f>
        <v>吴晶梅</v>
      </c>
      <c r="C81" s="19" t="s">
        <v>27</v>
      </c>
      <c r="D81" s="10" t="str">
        <f t="shared" si="17"/>
        <v>女</v>
      </c>
      <c r="E81" s="10" t="str">
        <f>"1992-05-08"</f>
        <v>1992-05-08</v>
      </c>
      <c r="F81" s="10" t="str">
        <f t="shared" si="12"/>
        <v>本科</v>
      </c>
      <c r="G81" s="10" t="str">
        <f t="shared" si="18"/>
        <v>学士</v>
      </c>
      <c r="H81" s="10" t="str">
        <f>"康复治疗学"</f>
        <v>康复治疗学</v>
      </c>
      <c r="I81" s="14" t="str">
        <f>"康复技师"</f>
        <v>康复技师</v>
      </c>
      <c r="J81" s="9"/>
    </row>
    <row r="82" spans="1:10" ht="30" customHeight="1">
      <c r="A82" s="18">
        <v>79</v>
      </c>
      <c r="B82" s="10" t="str">
        <f>"肖秀玉"</f>
        <v>肖秀玉</v>
      </c>
      <c r="C82" s="19" t="s">
        <v>27</v>
      </c>
      <c r="D82" s="10" t="str">
        <f t="shared" si="17"/>
        <v>女</v>
      </c>
      <c r="E82" s="10" t="str">
        <f>"1992-05-18"</f>
        <v>1992-05-18</v>
      </c>
      <c r="F82" s="10" t="str">
        <f t="shared" si="12"/>
        <v>本科</v>
      </c>
      <c r="G82" s="10" t="str">
        <f t="shared" si="18"/>
        <v>学士</v>
      </c>
      <c r="H82" s="10" t="str">
        <f>"康复治疗学"</f>
        <v>康复治疗学</v>
      </c>
      <c r="I82" s="14" t="str">
        <f>"康复技师"</f>
        <v>康复技师</v>
      </c>
      <c r="J82" s="9"/>
    </row>
    <row r="83" spans="1:10" ht="30" customHeight="1">
      <c r="A83" s="18">
        <v>80</v>
      </c>
      <c r="B83" s="10" t="str">
        <f>"唐锡兰"</f>
        <v>唐锡兰</v>
      </c>
      <c r="C83" s="19" t="s">
        <v>27</v>
      </c>
      <c r="D83" s="10" t="str">
        <f t="shared" si="17"/>
        <v>女</v>
      </c>
      <c r="E83" s="10" t="str">
        <f>"1994-05-21"</f>
        <v>1994-05-21</v>
      </c>
      <c r="F83" s="10" t="str">
        <f t="shared" si="12"/>
        <v>本科</v>
      </c>
      <c r="G83" s="10" t="str">
        <f t="shared" si="18"/>
        <v>学士</v>
      </c>
      <c r="H83" s="10" t="str">
        <f>"康复治疗学"</f>
        <v>康复治疗学</v>
      </c>
      <c r="I83" s="14" t="str">
        <f>"康复技师"</f>
        <v>康复技师</v>
      </c>
      <c r="J83" s="9"/>
    </row>
    <row r="84" spans="1:10" ht="30" customHeight="1">
      <c r="A84" s="18">
        <v>81</v>
      </c>
      <c r="B84" s="10" t="str">
        <f>"蔡浩"</f>
        <v>蔡浩</v>
      </c>
      <c r="C84" s="19" t="s">
        <v>46</v>
      </c>
      <c r="D84" s="10" t="str">
        <f>"男"</f>
        <v>男</v>
      </c>
      <c r="E84" s="10" t="str">
        <f>"1981-11-09"</f>
        <v>1981-11-09</v>
      </c>
      <c r="F84" s="10" t="str">
        <f t="shared" si="12"/>
        <v>本科</v>
      </c>
      <c r="G84" s="10" t="str">
        <f t="shared" si="18"/>
        <v>学士</v>
      </c>
      <c r="H84" s="10" t="str">
        <f>"临床医学"</f>
        <v>临床医学</v>
      </c>
      <c r="I84" s="14" t="s">
        <v>12</v>
      </c>
      <c r="J84" s="9"/>
    </row>
    <row r="85" spans="1:10" ht="30" customHeight="1">
      <c r="A85" s="18">
        <v>82</v>
      </c>
      <c r="B85" s="10" t="str">
        <f>"朱兰兰"</f>
        <v>朱兰兰</v>
      </c>
      <c r="C85" s="11" t="s">
        <v>46</v>
      </c>
      <c r="D85" s="10" t="str">
        <f>"女"</f>
        <v>女</v>
      </c>
      <c r="E85" s="10" t="str">
        <f>"1984-10-07"</f>
        <v>1984-10-07</v>
      </c>
      <c r="F85" s="10" t="str">
        <f>"硕士
研究生"</f>
        <v>硕士
研究生</v>
      </c>
      <c r="G85" s="10" t="str">
        <f>"硕士"</f>
        <v>硕士</v>
      </c>
      <c r="H85" s="10" t="str">
        <f>"卫生毒理学"</f>
        <v>卫生毒理学</v>
      </c>
      <c r="I85" s="15" t="str">
        <f>"副主任医师"</f>
        <v>副主任医师</v>
      </c>
      <c r="J85" s="9"/>
    </row>
    <row r="86" spans="1:10" ht="30" customHeight="1">
      <c r="A86" s="18">
        <v>83</v>
      </c>
      <c r="B86" s="10" t="str">
        <f>"黄云凤"</f>
        <v>黄云凤</v>
      </c>
      <c r="C86" s="19" t="s">
        <v>46</v>
      </c>
      <c r="D86" s="10" t="str">
        <f>"女"</f>
        <v>女</v>
      </c>
      <c r="E86" s="10" t="str">
        <f>"1993-06-10"</f>
        <v>1993-06-10</v>
      </c>
      <c r="F86" s="10" t="str">
        <f aca="true" t="shared" si="19" ref="F86:F126">"本科"</f>
        <v>本科</v>
      </c>
      <c r="G86" s="10" t="str">
        <f aca="true" t="shared" si="20" ref="G86:G93">"学士"</f>
        <v>学士</v>
      </c>
      <c r="H86" s="10" t="str">
        <f>"预防医学"</f>
        <v>预防医学</v>
      </c>
      <c r="I86" s="14" t="s">
        <v>11</v>
      </c>
      <c r="J86" s="9"/>
    </row>
    <row r="87" spans="1:10" ht="30" customHeight="1">
      <c r="A87" s="18">
        <v>84</v>
      </c>
      <c r="B87" s="10" t="str">
        <f>"张雨祯"</f>
        <v>张雨祯</v>
      </c>
      <c r="C87" s="11" t="s">
        <v>28</v>
      </c>
      <c r="D87" s="10" t="str">
        <f>"女"</f>
        <v>女</v>
      </c>
      <c r="E87" s="10" t="str">
        <f>"1993-05-04"</f>
        <v>1993-05-04</v>
      </c>
      <c r="F87" s="10" t="str">
        <f t="shared" si="19"/>
        <v>本科</v>
      </c>
      <c r="G87" s="10" t="str">
        <f t="shared" si="20"/>
        <v>学士</v>
      </c>
      <c r="H87" s="10" t="str">
        <f>"药学"</f>
        <v>药学</v>
      </c>
      <c r="I87" s="14" t="str">
        <f>"药剂师"</f>
        <v>药剂师</v>
      </c>
      <c r="J87" s="9"/>
    </row>
    <row r="88" spans="1:10" ht="30" customHeight="1">
      <c r="A88" s="18">
        <v>85</v>
      </c>
      <c r="B88" s="10" t="str">
        <f>"黄意来"</f>
        <v>黄意来</v>
      </c>
      <c r="C88" s="19" t="s">
        <v>28</v>
      </c>
      <c r="D88" s="10" t="str">
        <f>"男"</f>
        <v>男</v>
      </c>
      <c r="E88" s="10" t="str">
        <f>"1990-05-12"</f>
        <v>1990-05-12</v>
      </c>
      <c r="F88" s="10" t="str">
        <f t="shared" si="19"/>
        <v>本科</v>
      </c>
      <c r="G88" s="10" t="str">
        <f t="shared" si="20"/>
        <v>学士</v>
      </c>
      <c r="H88" s="10" t="str">
        <f>"药学"</f>
        <v>药学</v>
      </c>
      <c r="I88" s="14" t="str">
        <f>"主管药师"</f>
        <v>主管药师</v>
      </c>
      <c r="J88" s="9"/>
    </row>
    <row r="89" spans="1:10" ht="30" customHeight="1">
      <c r="A89" s="18">
        <v>86</v>
      </c>
      <c r="B89" s="10" t="str">
        <f>"邢平珠"</f>
        <v>邢平珠</v>
      </c>
      <c r="C89" s="11" t="s">
        <v>28</v>
      </c>
      <c r="D89" s="10" t="str">
        <f>"女"</f>
        <v>女</v>
      </c>
      <c r="E89" s="10" t="str">
        <f>"1992-03-04"</f>
        <v>1992-03-04</v>
      </c>
      <c r="F89" s="10" t="str">
        <f t="shared" si="19"/>
        <v>本科</v>
      </c>
      <c r="G89" s="10" t="str">
        <f t="shared" si="20"/>
        <v>学士</v>
      </c>
      <c r="H89" s="10" t="str">
        <f>"药学"</f>
        <v>药学</v>
      </c>
      <c r="I89" s="14" t="str">
        <f>"药剂师"</f>
        <v>药剂师</v>
      </c>
      <c r="J89" s="9"/>
    </row>
    <row r="90" spans="1:10" ht="30" customHeight="1">
      <c r="A90" s="18">
        <v>87</v>
      </c>
      <c r="B90" s="10" t="str">
        <f>"符江莲"</f>
        <v>符江莲</v>
      </c>
      <c r="C90" s="18" t="s">
        <v>29</v>
      </c>
      <c r="D90" s="10" t="str">
        <f>"女"</f>
        <v>女</v>
      </c>
      <c r="E90" s="10" t="str">
        <f>"1993-04-05"</f>
        <v>1993-04-05</v>
      </c>
      <c r="F90" s="10" t="str">
        <f t="shared" si="19"/>
        <v>本科</v>
      </c>
      <c r="G90" s="10" t="str">
        <f t="shared" si="20"/>
        <v>学士</v>
      </c>
      <c r="H90" s="10" t="str">
        <f>"中药学"</f>
        <v>中药学</v>
      </c>
      <c r="I90" s="14" t="str">
        <f>"中药师"</f>
        <v>中药师</v>
      </c>
      <c r="J90" s="9"/>
    </row>
    <row r="91" spans="1:10" ht="30" customHeight="1">
      <c r="A91" s="18">
        <v>88</v>
      </c>
      <c r="B91" s="10" t="str">
        <f>"王晓丹"</f>
        <v>王晓丹</v>
      </c>
      <c r="C91" s="18" t="s">
        <v>29</v>
      </c>
      <c r="D91" s="10" t="str">
        <f>"女"</f>
        <v>女</v>
      </c>
      <c r="E91" s="10" t="str">
        <f>"1995-06-10"</f>
        <v>1995-06-10</v>
      </c>
      <c r="F91" s="10" t="str">
        <f t="shared" si="19"/>
        <v>本科</v>
      </c>
      <c r="G91" s="10" t="str">
        <f t="shared" si="20"/>
        <v>学士</v>
      </c>
      <c r="H91" s="10" t="str">
        <f>"中药学（中药分析方向）"</f>
        <v>中药学（中药分析方向）</v>
      </c>
      <c r="I91" s="14" t="str">
        <f>"中药师"</f>
        <v>中药师</v>
      </c>
      <c r="J91" s="9"/>
    </row>
    <row r="92" spans="1:10" ht="30" customHeight="1">
      <c r="A92" s="18">
        <v>89</v>
      </c>
      <c r="B92" s="10" t="str">
        <f>"吴春媚"</f>
        <v>吴春媚</v>
      </c>
      <c r="C92" s="18" t="s">
        <v>29</v>
      </c>
      <c r="D92" s="10" t="str">
        <f>"女"</f>
        <v>女</v>
      </c>
      <c r="E92" s="10" t="str">
        <f>"1992-10-06"</f>
        <v>1992-10-06</v>
      </c>
      <c r="F92" s="10" t="str">
        <f t="shared" si="19"/>
        <v>本科</v>
      </c>
      <c r="G92" s="10" t="str">
        <f t="shared" si="20"/>
        <v>学士</v>
      </c>
      <c r="H92" s="10" t="str">
        <f>"中药学"</f>
        <v>中药学</v>
      </c>
      <c r="I92" s="14" t="str">
        <f>"中药师"</f>
        <v>中药师</v>
      </c>
      <c r="J92" s="9"/>
    </row>
    <row r="93" spans="1:10" ht="30" customHeight="1">
      <c r="A93" s="18">
        <v>90</v>
      </c>
      <c r="B93" s="10" t="str">
        <f>"林珏"</f>
        <v>林珏</v>
      </c>
      <c r="C93" s="11" t="s">
        <v>35</v>
      </c>
      <c r="D93" s="10" t="str">
        <f>"女"</f>
        <v>女</v>
      </c>
      <c r="E93" s="10" t="str">
        <f>"1991-05-20"</f>
        <v>1991-05-20</v>
      </c>
      <c r="F93" s="10" t="str">
        <f t="shared" si="19"/>
        <v>本科</v>
      </c>
      <c r="G93" s="10" t="str">
        <f t="shared" si="20"/>
        <v>学士</v>
      </c>
      <c r="H93" s="10" t="str">
        <f>"临床医学"</f>
        <v>临床医学</v>
      </c>
      <c r="I93" s="20" t="str">
        <f>"医师"</f>
        <v>医师</v>
      </c>
      <c r="J93" s="9"/>
    </row>
    <row r="94" spans="1:10" ht="30" customHeight="1">
      <c r="A94" s="18">
        <v>91</v>
      </c>
      <c r="B94" s="10" t="str">
        <f>"黄志才"</f>
        <v>黄志才</v>
      </c>
      <c r="C94" s="11" t="s">
        <v>35</v>
      </c>
      <c r="D94" s="10" t="str">
        <f>"男"</f>
        <v>男</v>
      </c>
      <c r="E94" s="10" t="str">
        <f>"1982-07-27"</f>
        <v>1982-07-27</v>
      </c>
      <c r="F94" s="10" t="str">
        <f t="shared" si="19"/>
        <v>本科</v>
      </c>
      <c r="G94" s="10" t="str">
        <f>"无"</f>
        <v>无</v>
      </c>
      <c r="H94" s="10" t="str">
        <f>"临床医学"</f>
        <v>临床医学</v>
      </c>
      <c r="I94" s="14" t="str">
        <f>"主治医师"</f>
        <v>主治医师</v>
      </c>
      <c r="J94" s="9"/>
    </row>
    <row r="95" spans="1:10" ht="30" customHeight="1">
      <c r="A95" s="18">
        <v>92</v>
      </c>
      <c r="B95" s="10" t="str">
        <f>"文子山"</f>
        <v>文子山</v>
      </c>
      <c r="C95" s="11" t="s">
        <v>30</v>
      </c>
      <c r="D95" s="10" t="str">
        <f>"男"</f>
        <v>男</v>
      </c>
      <c r="E95" s="10" t="str">
        <f>"1992-07-07"</f>
        <v>1992-07-07</v>
      </c>
      <c r="F95" s="10" t="str">
        <f t="shared" si="19"/>
        <v>本科</v>
      </c>
      <c r="G95" s="10" t="str">
        <f aca="true" t="shared" si="21" ref="G95:G110">"学士"</f>
        <v>学士</v>
      </c>
      <c r="H95" s="18" t="str">
        <f>"医学检验"</f>
        <v>医学检验</v>
      </c>
      <c r="I95" s="20" t="s">
        <v>32</v>
      </c>
      <c r="J95" s="9"/>
    </row>
    <row r="96" spans="1:10" ht="30" customHeight="1">
      <c r="A96" s="18">
        <v>93</v>
      </c>
      <c r="B96" s="10" t="str">
        <f>"甘小芳"</f>
        <v>甘小芳</v>
      </c>
      <c r="C96" s="19" t="s">
        <v>30</v>
      </c>
      <c r="D96" s="10" t="str">
        <f>"女"</f>
        <v>女</v>
      </c>
      <c r="E96" s="10" t="str">
        <f>"1992-08-17"</f>
        <v>1992-08-17</v>
      </c>
      <c r="F96" s="10" t="str">
        <f t="shared" si="19"/>
        <v>本科</v>
      </c>
      <c r="G96" s="10" t="str">
        <f t="shared" si="21"/>
        <v>学士</v>
      </c>
      <c r="H96" s="10" t="str">
        <f>"医学检验"</f>
        <v>医学检验</v>
      </c>
      <c r="I96" s="14" t="s">
        <v>32</v>
      </c>
      <c r="J96" s="9"/>
    </row>
    <row r="97" spans="1:10" ht="30" customHeight="1">
      <c r="A97" s="18">
        <v>94</v>
      </c>
      <c r="B97" s="10" t="str">
        <f>"崔华"</f>
        <v>崔华</v>
      </c>
      <c r="C97" s="11" t="s">
        <v>30</v>
      </c>
      <c r="D97" s="10" t="str">
        <f>"女"</f>
        <v>女</v>
      </c>
      <c r="E97" s="10" t="str">
        <f>"1994-09-03"</f>
        <v>1994-09-03</v>
      </c>
      <c r="F97" s="10" t="str">
        <f t="shared" si="19"/>
        <v>本科</v>
      </c>
      <c r="G97" s="10" t="str">
        <f t="shared" si="21"/>
        <v>学士</v>
      </c>
      <c r="H97" s="10" t="s">
        <v>31</v>
      </c>
      <c r="I97" s="14" t="s">
        <v>32</v>
      </c>
      <c r="J97" s="9"/>
    </row>
    <row r="98" spans="1:10" ht="30" customHeight="1">
      <c r="A98" s="18">
        <v>95</v>
      </c>
      <c r="B98" s="10" t="str">
        <f>"吴秋霞"</f>
        <v>吴秋霞</v>
      </c>
      <c r="C98" s="19" t="s">
        <v>30</v>
      </c>
      <c r="D98" s="10" t="str">
        <f>"女"</f>
        <v>女</v>
      </c>
      <c r="E98" s="10" t="str">
        <f>"1997-08-27"</f>
        <v>1997-08-27</v>
      </c>
      <c r="F98" s="10" t="str">
        <f t="shared" si="19"/>
        <v>本科</v>
      </c>
      <c r="G98" s="10" t="str">
        <f t="shared" si="21"/>
        <v>学士</v>
      </c>
      <c r="H98" s="10" t="str">
        <f>"医学检验技术"</f>
        <v>医学检验技术</v>
      </c>
      <c r="I98" s="14" t="s">
        <v>32</v>
      </c>
      <c r="J98" s="9"/>
    </row>
    <row r="99" spans="1:10" ht="30" customHeight="1">
      <c r="A99" s="18">
        <v>96</v>
      </c>
      <c r="B99" s="10" t="str">
        <f>"黄丹丹"</f>
        <v>黄丹丹</v>
      </c>
      <c r="C99" s="19" t="s">
        <v>30</v>
      </c>
      <c r="D99" s="10" t="str">
        <f>"女"</f>
        <v>女</v>
      </c>
      <c r="E99" s="10" t="str">
        <f>"1993-07-12"</f>
        <v>1993-07-12</v>
      </c>
      <c r="F99" s="10" t="str">
        <f t="shared" si="19"/>
        <v>本科</v>
      </c>
      <c r="G99" s="10" t="str">
        <f t="shared" si="21"/>
        <v>学士</v>
      </c>
      <c r="H99" s="10" t="str">
        <f>"医学检验"</f>
        <v>医学检验</v>
      </c>
      <c r="I99" s="14" t="s">
        <v>32</v>
      </c>
      <c r="J99" s="9"/>
    </row>
    <row r="100" spans="1:10" ht="30" customHeight="1">
      <c r="A100" s="18">
        <v>97</v>
      </c>
      <c r="B100" s="10" t="str">
        <f>"谢昌鸿"</f>
        <v>谢昌鸿</v>
      </c>
      <c r="C100" s="19" t="s">
        <v>30</v>
      </c>
      <c r="D100" s="10" t="str">
        <f>"男"</f>
        <v>男</v>
      </c>
      <c r="E100" s="10" t="str">
        <f>"1990-03-02"</f>
        <v>1990-03-02</v>
      </c>
      <c r="F100" s="10" t="str">
        <f t="shared" si="19"/>
        <v>本科</v>
      </c>
      <c r="G100" s="10" t="str">
        <f t="shared" si="21"/>
        <v>学士</v>
      </c>
      <c r="H100" s="10" t="str">
        <f>"医学检验"</f>
        <v>医学检验</v>
      </c>
      <c r="I100" s="14" t="s">
        <v>33</v>
      </c>
      <c r="J100" s="9"/>
    </row>
    <row r="101" spans="1:10" ht="30" customHeight="1">
      <c r="A101" s="18">
        <v>98</v>
      </c>
      <c r="B101" s="10" t="str">
        <f>"吴俞莹"</f>
        <v>吴俞莹</v>
      </c>
      <c r="C101" s="21" t="s">
        <v>64</v>
      </c>
      <c r="D101" s="10" t="str">
        <f>"女"</f>
        <v>女</v>
      </c>
      <c r="E101" s="10" t="str">
        <f>"1997-04-17"</f>
        <v>1997-04-17</v>
      </c>
      <c r="F101" s="10" t="str">
        <f t="shared" si="19"/>
        <v>本科</v>
      </c>
      <c r="G101" s="10" t="str">
        <f t="shared" si="21"/>
        <v>学士</v>
      </c>
      <c r="H101" s="10" t="str">
        <f>"医学检验技术"</f>
        <v>医学检验技术</v>
      </c>
      <c r="I101" s="14" t="str">
        <f>"检验技师"</f>
        <v>检验技师</v>
      </c>
      <c r="J101" s="9"/>
    </row>
    <row r="102" spans="1:10" ht="30" customHeight="1">
      <c r="A102" s="18">
        <v>99</v>
      </c>
      <c r="B102" s="10" t="str">
        <f>"邢星"</f>
        <v>邢星</v>
      </c>
      <c r="C102" s="17" t="s">
        <v>37</v>
      </c>
      <c r="D102" s="10" t="str">
        <f>"女"</f>
        <v>女</v>
      </c>
      <c r="E102" s="10" t="str">
        <f>"1994-07-16"</f>
        <v>1994-07-16</v>
      </c>
      <c r="F102" s="10" t="str">
        <f t="shared" si="19"/>
        <v>本科</v>
      </c>
      <c r="G102" s="10" t="str">
        <f t="shared" si="21"/>
        <v>学士</v>
      </c>
      <c r="H102" s="10" t="str">
        <f>"医学检验技术"</f>
        <v>医学检验技术</v>
      </c>
      <c r="I102" s="14" t="s">
        <v>32</v>
      </c>
      <c r="J102" s="9"/>
    </row>
    <row r="103" spans="1:10" ht="30" customHeight="1">
      <c r="A103" s="18">
        <v>100</v>
      </c>
      <c r="B103" s="10" t="str">
        <f>"邢增文"</f>
        <v>邢增文</v>
      </c>
      <c r="C103" s="17" t="s">
        <v>37</v>
      </c>
      <c r="D103" s="10" t="str">
        <f>"男"</f>
        <v>男</v>
      </c>
      <c r="E103" s="10" t="str">
        <f>"1989-09-08"</f>
        <v>1989-09-08</v>
      </c>
      <c r="F103" s="10" t="str">
        <f t="shared" si="19"/>
        <v>本科</v>
      </c>
      <c r="G103" s="10" t="str">
        <f t="shared" si="21"/>
        <v>学士</v>
      </c>
      <c r="H103" s="18" t="str">
        <f>"医学检验"</f>
        <v>医学检验</v>
      </c>
      <c r="I103" s="14" t="s">
        <v>33</v>
      </c>
      <c r="J103" s="9"/>
    </row>
    <row r="104" spans="1:10" ht="30" customHeight="1">
      <c r="A104" s="18">
        <v>101</v>
      </c>
      <c r="B104" s="10" t="str">
        <f>"林军"</f>
        <v>林军</v>
      </c>
      <c r="C104" s="17" t="s">
        <v>37</v>
      </c>
      <c r="D104" s="10" t="str">
        <f>"男"</f>
        <v>男</v>
      </c>
      <c r="E104" s="10" t="str">
        <f>"1989-09-05"</f>
        <v>1989-09-05</v>
      </c>
      <c r="F104" s="10" t="str">
        <f t="shared" si="19"/>
        <v>本科</v>
      </c>
      <c r="G104" s="10" t="str">
        <f t="shared" si="21"/>
        <v>学士</v>
      </c>
      <c r="H104" s="10" t="str">
        <f>"生物技术"</f>
        <v>生物技术</v>
      </c>
      <c r="I104" s="14" t="s">
        <v>39</v>
      </c>
      <c r="J104" s="9"/>
    </row>
    <row r="105" spans="1:10" ht="30" customHeight="1">
      <c r="A105" s="18">
        <v>102</v>
      </c>
      <c r="B105" s="10" t="str">
        <f>"陈靖"</f>
        <v>陈靖</v>
      </c>
      <c r="C105" s="17" t="s">
        <v>37</v>
      </c>
      <c r="D105" s="10" t="str">
        <f>"女"</f>
        <v>女</v>
      </c>
      <c r="E105" s="10" t="str">
        <f>"1996-11-12"</f>
        <v>1996-11-12</v>
      </c>
      <c r="F105" s="10" t="str">
        <f t="shared" si="19"/>
        <v>本科</v>
      </c>
      <c r="G105" s="10" t="str">
        <f t="shared" si="21"/>
        <v>学士</v>
      </c>
      <c r="H105" s="10" t="s">
        <v>31</v>
      </c>
      <c r="I105" s="14" t="s">
        <v>32</v>
      </c>
      <c r="J105" s="9"/>
    </row>
    <row r="106" spans="1:10" ht="30" customHeight="1">
      <c r="A106" s="18">
        <v>103</v>
      </c>
      <c r="B106" s="10" t="str">
        <f>"符修诚"</f>
        <v>符修诚</v>
      </c>
      <c r="C106" s="17" t="s">
        <v>37</v>
      </c>
      <c r="D106" s="10" t="str">
        <f>"男"</f>
        <v>男</v>
      </c>
      <c r="E106" s="10" t="str">
        <f>"1996-11-16"</f>
        <v>1996-11-16</v>
      </c>
      <c r="F106" s="10" t="str">
        <f t="shared" si="19"/>
        <v>本科</v>
      </c>
      <c r="G106" s="10" t="str">
        <f t="shared" si="21"/>
        <v>学士</v>
      </c>
      <c r="H106" s="10" t="str">
        <f>"医学检验技术"</f>
        <v>医学检验技术</v>
      </c>
      <c r="I106" s="14" t="str">
        <f>"无"</f>
        <v>无</v>
      </c>
      <c r="J106" s="9"/>
    </row>
    <row r="107" spans="1:10" ht="30" customHeight="1">
      <c r="A107" s="18">
        <v>104</v>
      </c>
      <c r="B107" s="10" t="str">
        <f>"陈开科"</f>
        <v>陈开科</v>
      </c>
      <c r="C107" s="17" t="s">
        <v>37</v>
      </c>
      <c r="D107" s="10" t="str">
        <f>"女"</f>
        <v>女</v>
      </c>
      <c r="E107" s="10" t="str">
        <f>"1990-05-28"</f>
        <v>1990-05-28</v>
      </c>
      <c r="F107" s="10" t="str">
        <f t="shared" si="19"/>
        <v>本科</v>
      </c>
      <c r="G107" s="10" t="str">
        <f t="shared" si="21"/>
        <v>学士</v>
      </c>
      <c r="H107" s="10" t="str">
        <f>"生物技术
（医药方向）"</f>
        <v>生物技术
（医药方向）</v>
      </c>
      <c r="I107" s="15" t="s">
        <v>38</v>
      </c>
      <c r="J107" s="9"/>
    </row>
    <row r="108" spans="1:10" ht="30" customHeight="1">
      <c r="A108" s="18">
        <v>105</v>
      </c>
      <c r="B108" s="10" t="str">
        <f>"阮梁艳"</f>
        <v>阮梁艳</v>
      </c>
      <c r="C108" s="17" t="s">
        <v>40</v>
      </c>
      <c r="D108" s="10" t="str">
        <f>"女"</f>
        <v>女</v>
      </c>
      <c r="E108" s="10" t="str">
        <f>"1988-07-14"</f>
        <v>1988-07-14</v>
      </c>
      <c r="F108" s="10" t="str">
        <f t="shared" si="19"/>
        <v>本科</v>
      </c>
      <c r="G108" s="10" t="str">
        <f t="shared" si="21"/>
        <v>学士</v>
      </c>
      <c r="H108" s="10" t="str">
        <f>"生物技术"</f>
        <v>生物技术</v>
      </c>
      <c r="I108" s="14" t="s">
        <v>32</v>
      </c>
      <c r="J108" s="9"/>
    </row>
    <row r="109" spans="1:10" ht="30" customHeight="1">
      <c r="A109" s="18">
        <v>106</v>
      </c>
      <c r="B109" s="10" t="str">
        <f>"郑娇钻"</f>
        <v>郑娇钻</v>
      </c>
      <c r="C109" s="17" t="s">
        <v>40</v>
      </c>
      <c r="D109" s="10" t="str">
        <f>"女"</f>
        <v>女</v>
      </c>
      <c r="E109" s="10" t="str">
        <f>"1988-12-16"</f>
        <v>1988-12-16</v>
      </c>
      <c r="F109" s="10" t="str">
        <f t="shared" si="19"/>
        <v>本科</v>
      </c>
      <c r="G109" s="10" t="str">
        <f t="shared" si="21"/>
        <v>学士</v>
      </c>
      <c r="H109" s="10" t="str">
        <f>"生物技术"</f>
        <v>生物技术</v>
      </c>
      <c r="I109" s="14" t="s">
        <v>32</v>
      </c>
      <c r="J109" s="9"/>
    </row>
    <row r="110" spans="1:10" ht="30" customHeight="1">
      <c r="A110" s="18">
        <v>107</v>
      </c>
      <c r="B110" s="10" t="str">
        <f>"马亚磊"</f>
        <v>马亚磊</v>
      </c>
      <c r="C110" s="11" t="s">
        <v>41</v>
      </c>
      <c r="D110" s="10" t="str">
        <f>"男"</f>
        <v>男</v>
      </c>
      <c r="E110" s="10" t="str">
        <f>"1994-11-02"</f>
        <v>1994-11-02</v>
      </c>
      <c r="F110" s="10" t="str">
        <f t="shared" si="19"/>
        <v>本科</v>
      </c>
      <c r="G110" s="10" t="str">
        <f t="shared" si="21"/>
        <v>学士</v>
      </c>
      <c r="H110" s="18" t="str">
        <f aca="true" t="shared" si="22" ref="H110:H126">"护理学"</f>
        <v>护理学</v>
      </c>
      <c r="I110" s="14" t="s">
        <v>42</v>
      </c>
      <c r="J110" s="9"/>
    </row>
    <row r="111" spans="1:10" ht="30" customHeight="1">
      <c r="A111" s="18">
        <v>108</v>
      </c>
      <c r="B111" s="10" t="str">
        <f>"吴月娥"</f>
        <v>吴月娥</v>
      </c>
      <c r="C111" s="11" t="s">
        <v>41</v>
      </c>
      <c r="D111" s="10" t="str">
        <f aca="true" t="shared" si="23" ref="D111:D142">"女"</f>
        <v>女</v>
      </c>
      <c r="E111" s="10" t="str">
        <f>"1995-06-25"</f>
        <v>1995-06-25</v>
      </c>
      <c r="F111" s="10" t="str">
        <f t="shared" si="19"/>
        <v>本科</v>
      </c>
      <c r="G111" s="10" t="str">
        <f>"无"</f>
        <v>无</v>
      </c>
      <c r="H111" s="10" t="str">
        <f t="shared" si="22"/>
        <v>护理学</v>
      </c>
      <c r="I111" s="14" t="s">
        <v>43</v>
      </c>
      <c r="J111" s="9"/>
    </row>
    <row r="112" spans="1:10" ht="30" customHeight="1">
      <c r="A112" s="18">
        <v>109</v>
      </c>
      <c r="B112" s="10" t="str">
        <f>"吉东容"</f>
        <v>吉东容</v>
      </c>
      <c r="C112" s="19" t="s">
        <v>41</v>
      </c>
      <c r="D112" s="10" t="str">
        <f t="shared" si="23"/>
        <v>女</v>
      </c>
      <c r="E112" s="18" t="str">
        <f>"1997-01-08"</f>
        <v>1997-01-08</v>
      </c>
      <c r="F112" s="10" t="str">
        <f t="shared" si="19"/>
        <v>本科</v>
      </c>
      <c r="G112" s="10" t="str">
        <f>"无"</f>
        <v>无</v>
      </c>
      <c r="H112" s="10" t="str">
        <f t="shared" si="22"/>
        <v>护理学</v>
      </c>
      <c r="I112" s="14" t="str">
        <f>"护士"</f>
        <v>护士</v>
      </c>
      <c r="J112" s="9"/>
    </row>
    <row r="113" spans="1:10" ht="30" customHeight="1">
      <c r="A113" s="18">
        <v>110</v>
      </c>
      <c r="B113" s="10" t="str">
        <f>"万丽虹"</f>
        <v>万丽虹</v>
      </c>
      <c r="C113" s="11" t="s">
        <v>41</v>
      </c>
      <c r="D113" s="10" t="str">
        <f t="shared" si="23"/>
        <v>女</v>
      </c>
      <c r="E113" s="10" t="str">
        <f>"1996-01-20"</f>
        <v>1996-01-20</v>
      </c>
      <c r="F113" s="10" t="str">
        <f t="shared" si="19"/>
        <v>本科</v>
      </c>
      <c r="G113" s="10" t="str">
        <f aca="true" t="shared" si="24" ref="G113:G124">"学士"</f>
        <v>学士</v>
      </c>
      <c r="H113" s="10" t="str">
        <f t="shared" si="22"/>
        <v>护理学</v>
      </c>
      <c r="I113" s="14" t="str">
        <f>"护士"</f>
        <v>护士</v>
      </c>
      <c r="J113" s="9"/>
    </row>
    <row r="114" spans="1:10" ht="30" customHeight="1">
      <c r="A114" s="18">
        <v>111</v>
      </c>
      <c r="B114" s="10" t="str">
        <f>"林霞"</f>
        <v>林霞</v>
      </c>
      <c r="C114" s="11" t="s">
        <v>41</v>
      </c>
      <c r="D114" s="10" t="str">
        <f t="shared" si="23"/>
        <v>女</v>
      </c>
      <c r="E114" s="10" t="str">
        <f>"1995-03-13"</f>
        <v>1995-03-13</v>
      </c>
      <c r="F114" s="10" t="str">
        <f t="shared" si="19"/>
        <v>本科</v>
      </c>
      <c r="G114" s="10" t="str">
        <f t="shared" si="24"/>
        <v>学士</v>
      </c>
      <c r="H114" s="18" t="str">
        <f t="shared" si="22"/>
        <v>护理学</v>
      </c>
      <c r="I114" s="14" t="s">
        <v>42</v>
      </c>
      <c r="J114" s="9"/>
    </row>
    <row r="115" spans="1:10" ht="30" customHeight="1">
      <c r="A115" s="18">
        <v>112</v>
      </c>
      <c r="B115" s="10" t="str">
        <f>"孙少红"</f>
        <v>孙少红</v>
      </c>
      <c r="C115" s="11" t="s">
        <v>41</v>
      </c>
      <c r="D115" s="10" t="str">
        <f t="shared" si="23"/>
        <v>女</v>
      </c>
      <c r="E115" s="10" t="str">
        <f>"1996-01-14"</f>
        <v>1996-01-14</v>
      </c>
      <c r="F115" s="10" t="str">
        <f t="shared" si="19"/>
        <v>本科</v>
      </c>
      <c r="G115" s="10" t="str">
        <f t="shared" si="24"/>
        <v>学士</v>
      </c>
      <c r="H115" s="10" t="str">
        <f t="shared" si="22"/>
        <v>护理学</v>
      </c>
      <c r="I115" s="14" t="str">
        <f>"护士"</f>
        <v>护士</v>
      </c>
      <c r="J115" s="9"/>
    </row>
    <row r="116" spans="1:10" ht="30" customHeight="1">
      <c r="A116" s="18">
        <v>113</v>
      </c>
      <c r="B116" s="10" t="str">
        <f>"符子娜"</f>
        <v>符子娜</v>
      </c>
      <c r="C116" s="11" t="s">
        <v>41</v>
      </c>
      <c r="D116" s="10" t="str">
        <f t="shared" si="23"/>
        <v>女</v>
      </c>
      <c r="E116" s="10" t="str">
        <f>"1995-07-29"</f>
        <v>1995-07-29</v>
      </c>
      <c r="F116" s="10" t="str">
        <f t="shared" si="19"/>
        <v>本科</v>
      </c>
      <c r="G116" s="10" t="str">
        <f t="shared" si="24"/>
        <v>学士</v>
      </c>
      <c r="H116" s="10" t="str">
        <f t="shared" si="22"/>
        <v>护理学</v>
      </c>
      <c r="I116" s="14" t="str">
        <f>"护士"</f>
        <v>护士</v>
      </c>
      <c r="J116" s="9"/>
    </row>
    <row r="117" spans="1:10" ht="30" customHeight="1">
      <c r="A117" s="18">
        <v>114</v>
      </c>
      <c r="B117" s="10" t="str">
        <f>"林意春"</f>
        <v>林意春</v>
      </c>
      <c r="C117" s="11" t="s">
        <v>41</v>
      </c>
      <c r="D117" s="10" t="str">
        <f t="shared" si="23"/>
        <v>女</v>
      </c>
      <c r="E117" s="10" t="str">
        <f>"1998-02-12"</f>
        <v>1998-02-12</v>
      </c>
      <c r="F117" s="10" t="str">
        <f t="shared" si="19"/>
        <v>本科</v>
      </c>
      <c r="G117" s="10" t="str">
        <f t="shared" si="24"/>
        <v>学士</v>
      </c>
      <c r="H117" s="10" t="str">
        <f t="shared" si="22"/>
        <v>护理学</v>
      </c>
      <c r="I117" s="14" t="str">
        <f>"护士"</f>
        <v>护士</v>
      </c>
      <c r="J117" s="9"/>
    </row>
    <row r="118" spans="1:10" ht="30" customHeight="1">
      <c r="A118" s="18">
        <v>115</v>
      </c>
      <c r="B118" s="10" t="str">
        <f>"袁碧卿"</f>
        <v>袁碧卿</v>
      </c>
      <c r="C118" s="11" t="s">
        <v>41</v>
      </c>
      <c r="D118" s="10" t="str">
        <f t="shared" si="23"/>
        <v>女</v>
      </c>
      <c r="E118" s="10" t="str">
        <f>"1991-12-10"</f>
        <v>1991-12-10</v>
      </c>
      <c r="F118" s="10" t="str">
        <f t="shared" si="19"/>
        <v>本科</v>
      </c>
      <c r="G118" s="10" t="str">
        <f t="shared" si="24"/>
        <v>学士</v>
      </c>
      <c r="H118" s="10" t="str">
        <f t="shared" si="22"/>
        <v>护理学</v>
      </c>
      <c r="I118" s="14" t="s">
        <v>42</v>
      </c>
      <c r="J118" s="9"/>
    </row>
    <row r="119" spans="1:10" ht="30" customHeight="1">
      <c r="A119" s="18">
        <v>116</v>
      </c>
      <c r="B119" s="10" t="str">
        <f>"陈川唤"</f>
        <v>陈川唤</v>
      </c>
      <c r="C119" s="11" t="s">
        <v>41</v>
      </c>
      <c r="D119" s="10" t="str">
        <f t="shared" si="23"/>
        <v>女</v>
      </c>
      <c r="E119" s="10" t="str">
        <f>"1997-07-26"</f>
        <v>1997-07-26</v>
      </c>
      <c r="F119" s="10" t="str">
        <f t="shared" si="19"/>
        <v>本科</v>
      </c>
      <c r="G119" s="10" t="str">
        <f t="shared" si="24"/>
        <v>学士</v>
      </c>
      <c r="H119" s="10" t="str">
        <f t="shared" si="22"/>
        <v>护理学</v>
      </c>
      <c r="I119" s="14" t="s">
        <v>43</v>
      </c>
      <c r="J119" s="9"/>
    </row>
    <row r="120" spans="1:10" ht="30" customHeight="1">
      <c r="A120" s="18">
        <v>117</v>
      </c>
      <c r="B120" s="10" t="str">
        <f>"吴桂丹"</f>
        <v>吴桂丹</v>
      </c>
      <c r="C120" s="11" t="s">
        <v>41</v>
      </c>
      <c r="D120" s="10" t="str">
        <f t="shared" si="23"/>
        <v>女</v>
      </c>
      <c r="E120" s="10" t="str">
        <f>"1998-09-24"</f>
        <v>1998-09-24</v>
      </c>
      <c r="F120" s="10" t="str">
        <f t="shared" si="19"/>
        <v>本科</v>
      </c>
      <c r="G120" s="10" t="str">
        <f t="shared" si="24"/>
        <v>学士</v>
      </c>
      <c r="H120" s="10" t="str">
        <f t="shared" si="22"/>
        <v>护理学</v>
      </c>
      <c r="I120" s="14" t="str">
        <f aca="true" t="shared" si="25" ref="I120:I125">"护士"</f>
        <v>护士</v>
      </c>
      <c r="J120" s="9"/>
    </row>
    <row r="121" spans="1:10" ht="30" customHeight="1">
      <c r="A121" s="18">
        <v>118</v>
      </c>
      <c r="B121" s="10" t="str">
        <f>"曾秀华"</f>
        <v>曾秀华</v>
      </c>
      <c r="C121" s="11" t="s">
        <v>41</v>
      </c>
      <c r="D121" s="10" t="str">
        <f t="shared" si="23"/>
        <v>女</v>
      </c>
      <c r="E121" s="10" t="str">
        <f>"1996-03-21"</f>
        <v>1996-03-21</v>
      </c>
      <c r="F121" s="10" t="str">
        <f t="shared" si="19"/>
        <v>本科</v>
      </c>
      <c r="G121" s="10" t="str">
        <f t="shared" si="24"/>
        <v>学士</v>
      </c>
      <c r="H121" s="10" t="str">
        <f t="shared" si="22"/>
        <v>护理学</v>
      </c>
      <c r="I121" s="14" t="str">
        <f t="shared" si="25"/>
        <v>护士</v>
      </c>
      <c r="J121" s="9"/>
    </row>
    <row r="122" spans="1:10" ht="30" customHeight="1">
      <c r="A122" s="18">
        <v>119</v>
      </c>
      <c r="B122" s="10" t="str">
        <f>"陈爱姣"</f>
        <v>陈爱姣</v>
      </c>
      <c r="C122" s="11" t="s">
        <v>41</v>
      </c>
      <c r="D122" s="10" t="str">
        <f t="shared" si="23"/>
        <v>女</v>
      </c>
      <c r="E122" s="10" t="str">
        <f>"1994-02-01"</f>
        <v>1994-02-01</v>
      </c>
      <c r="F122" s="10" t="str">
        <f t="shared" si="19"/>
        <v>本科</v>
      </c>
      <c r="G122" s="10" t="str">
        <f t="shared" si="24"/>
        <v>学士</v>
      </c>
      <c r="H122" s="10" t="str">
        <f t="shared" si="22"/>
        <v>护理学</v>
      </c>
      <c r="I122" s="14" t="str">
        <f t="shared" si="25"/>
        <v>护士</v>
      </c>
      <c r="J122" s="9"/>
    </row>
    <row r="123" spans="1:10" ht="30" customHeight="1">
      <c r="A123" s="18">
        <v>120</v>
      </c>
      <c r="B123" s="10" t="str">
        <f>"李明莹"</f>
        <v>李明莹</v>
      </c>
      <c r="C123" s="19" t="s">
        <v>41</v>
      </c>
      <c r="D123" s="10" t="str">
        <f t="shared" si="23"/>
        <v>女</v>
      </c>
      <c r="E123" s="10" t="str">
        <f>"1997-02-15"</f>
        <v>1997-02-15</v>
      </c>
      <c r="F123" s="10" t="str">
        <f t="shared" si="19"/>
        <v>本科</v>
      </c>
      <c r="G123" s="10" t="str">
        <f t="shared" si="24"/>
        <v>学士</v>
      </c>
      <c r="H123" s="10" t="str">
        <f t="shared" si="22"/>
        <v>护理学</v>
      </c>
      <c r="I123" s="14" t="str">
        <f t="shared" si="25"/>
        <v>护士</v>
      </c>
      <c r="J123" s="9"/>
    </row>
    <row r="124" spans="1:10" ht="30" customHeight="1">
      <c r="A124" s="18">
        <v>121</v>
      </c>
      <c r="B124" s="10" t="str">
        <f>"李丽花"</f>
        <v>李丽花</v>
      </c>
      <c r="C124" s="11" t="s">
        <v>41</v>
      </c>
      <c r="D124" s="10" t="str">
        <f t="shared" si="23"/>
        <v>女</v>
      </c>
      <c r="E124" s="10" t="str">
        <f>"1997-11-12"</f>
        <v>1997-11-12</v>
      </c>
      <c r="F124" s="10" t="str">
        <f t="shared" si="19"/>
        <v>本科</v>
      </c>
      <c r="G124" s="10" t="str">
        <f t="shared" si="24"/>
        <v>学士</v>
      </c>
      <c r="H124" s="10" t="str">
        <f t="shared" si="22"/>
        <v>护理学</v>
      </c>
      <c r="I124" s="14" t="str">
        <f t="shared" si="25"/>
        <v>护士</v>
      </c>
      <c r="J124" s="9"/>
    </row>
    <row r="125" spans="1:10" ht="30" customHeight="1">
      <c r="A125" s="18">
        <v>122</v>
      </c>
      <c r="B125" s="10" t="str">
        <f>"孙文秀"</f>
        <v>孙文秀</v>
      </c>
      <c r="C125" s="19" t="s">
        <v>41</v>
      </c>
      <c r="D125" s="10" t="str">
        <f t="shared" si="23"/>
        <v>女</v>
      </c>
      <c r="E125" s="10" t="str">
        <f>"1995-12-11"</f>
        <v>1995-12-11</v>
      </c>
      <c r="F125" s="10" t="str">
        <f t="shared" si="19"/>
        <v>本科</v>
      </c>
      <c r="G125" s="10" t="str">
        <f>"无"</f>
        <v>无</v>
      </c>
      <c r="H125" s="10" t="str">
        <f t="shared" si="22"/>
        <v>护理学</v>
      </c>
      <c r="I125" s="14" t="str">
        <f t="shared" si="25"/>
        <v>护士</v>
      </c>
      <c r="J125" s="9"/>
    </row>
    <row r="126" spans="1:10" ht="30" customHeight="1">
      <c r="A126" s="18">
        <v>123</v>
      </c>
      <c r="B126" s="10" t="str">
        <f>"张家维"</f>
        <v>张家维</v>
      </c>
      <c r="C126" s="11" t="s">
        <v>41</v>
      </c>
      <c r="D126" s="10" t="str">
        <f t="shared" si="23"/>
        <v>女</v>
      </c>
      <c r="E126" s="10" t="str">
        <f>"1994-05-08"</f>
        <v>1994-05-08</v>
      </c>
      <c r="F126" s="10" t="str">
        <f t="shared" si="19"/>
        <v>本科</v>
      </c>
      <c r="G126" s="10" t="str">
        <f>"学士"</f>
        <v>学士</v>
      </c>
      <c r="H126" s="10" t="str">
        <f t="shared" si="22"/>
        <v>护理学</v>
      </c>
      <c r="I126" s="14" t="s">
        <v>42</v>
      </c>
      <c r="J126" s="9"/>
    </row>
    <row r="127" spans="1:10" ht="30" customHeight="1">
      <c r="A127" s="18">
        <v>124</v>
      </c>
      <c r="B127" s="10" t="str">
        <f>"刘欢"</f>
        <v>刘欢</v>
      </c>
      <c r="C127" s="11" t="s">
        <v>44</v>
      </c>
      <c r="D127" s="10" t="str">
        <f t="shared" si="23"/>
        <v>女</v>
      </c>
      <c r="E127" s="10" t="str">
        <f>"1993-12-26"</f>
        <v>1993-12-26</v>
      </c>
      <c r="F127" s="10" t="str">
        <f aca="true" t="shared" si="26" ref="F127:F133">"大专"</f>
        <v>大专</v>
      </c>
      <c r="G127" s="10" t="str">
        <f aca="true" t="shared" si="27" ref="G127:G133">"无"</f>
        <v>无</v>
      </c>
      <c r="H127" s="10" t="str">
        <f aca="true" t="shared" si="28" ref="H127:H133">"助产"</f>
        <v>助产</v>
      </c>
      <c r="I127" s="14" t="str">
        <f>"护理师"</f>
        <v>护理师</v>
      </c>
      <c r="J127" s="9"/>
    </row>
    <row r="128" spans="1:10" ht="30" customHeight="1">
      <c r="A128" s="18">
        <v>125</v>
      </c>
      <c r="B128" s="10" t="str">
        <f>"张倩柔"</f>
        <v>张倩柔</v>
      </c>
      <c r="C128" s="11" t="s">
        <v>44</v>
      </c>
      <c r="D128" s="10" t="str">
        <f t="shared" si="23"/>
        <v>女</v>
      </c>
      <c r="E128" s="10" t="str">
        <f>"1996-11-24"</f>
        <v>1996-11-24</v>
      </c>
      <c r="F128" s="10" t="str">
        <f t="shared" si="26"/>
        <v>大专</v>
      </c>
      <c r="G128" s="10" t="str">
        <f t="shared" si="27"/>
        <v>无</v>
      </c>
      <c r="H128" s="10" t="str">
        <f t="shared" si="28"/>
        <v>助产</v>
      </c>
      <c r="I128" s="14" t="str">
        <f aca="true" t="shared" si="29" ref="I128:I140">"护士"</f>
        <v>护士</v>
      </c>
      <c r="J128" s="9"/>
    </row>
    <row r="129" spans="1:10" ht="30" customHeight="1">
      <c r="A129" s="18">
        <v>126</v>
      </c>
      <c r="B129" s="10" t="str">
        <f>"杨婷"</f>
        <v>杨婷</v>
      </c>
      <c r="C129" s="19" t="s">
        <v>44</v>
      </c>
      <c r="D129" s="10" t="str">
        <f t="shared" si="23"/>
        <v>女</v>
      </c>
      <c r="E129" s="10" t="str">
        <f>"1997-11-07"</f>
        <v>1997-11-07</v>
      </c>
      <c r="F129" s="10" t="str">
        <f t="shared" si="26"/>
        <v>大专</v>
      </c>
      <c r="G129" s="10" t="str">
        <f t="shared" si="27"/>
        <v>无</v>
      </c>
      <c r="H129" s="10" t="str">
        <f t="shared" si="28"/>
        <v>助产</v>
      </c>
      <c r="I129" s="14" t="str">
        <f t="shared" si="29"/>
        <v>护士</v>
      </c>
      <c r="J129" s="9"/>
    </row>
    <row r="130" spans="1:10" ht="30" customHeight="1">
      <c r="A130" s="18">
        <v>127</v>
      </c>
      <c r="B130" s="10" t="str">
        <f>"陈欢女"</f>
        <v>陈欢女</v>
      </c>
      <c r="C130" s="19" t="s">
        <v>44</v>
      </c>
      <c r="D130" s="10" t="str">
        <f t="shared" si="23"/>
        <v>女</v>
      </c>
      <c r="E130" s="10" t="str">
        <f>"1996-11-06"</f>
        <v>1996-11-06</v>
      </c>
      <c r="F130" s="10" t="str">
        <f t="shared" si="26"/>
        <v>大专</v>
      </c>
      <c r="G130" s="10" t="str">
        <f t="shared" si="27"/>
        <v>无</v>
      </c>
      <c r="H130" s="10" t="str">
        <f t="shared" si="28"/>
        <v>助产</v>
      </c>
      <c r="I130" s="14" t="str">
        <f t="shared" si="29"/>
        <v>护士</v>
      </c>
      <c r="J130" s="9"/>
    </row>
    <row r="131" spans="1:10" ht="30" customHeight="1">
      <c r="A131" s="18">
        <v>128</v>
      </c>
      <c r="B131" s="10" t="str">
        <f>"梅丽峰"</f>
        <v>梅丽峰</v>
      </c>
      <c r="C131" s="11" t="s">
        <v>44</v>
      </c>
      <c r="D131" s="10" t="str">
        <f t="shared" si="23"/>
        <v>女</v>
      </c>
      <c r="E131" s="10" t="str">
        <f>"1997-02-06"</f>
        <v>1997-02-06</v>
      </c>
      <c r="F131" s="10" t="str">
        <f t="shared" si="26"/>
        <v>大专</v>
      </c>
      <c r="G131" s="10" t="str">
        <f t="shared" si="27"/>
        <v>无</v>
      </c>
      <c r="H131" s="10" t="str">
        <f t="shared" si="28"/>
        <v>助产</v>
      </c>
      <c r="I131" s="14" t="str">
        <f t="shared" si="29"/>
        <v>护士</v>
      </c>
      <c r="J131" s="9"/>
    </row>
    <row r="132" spans="1:10" ht="30" customHeight="1">
      <c r="A132" s="18">
        <v>129</v>
      </c>
      <c r="B132" s="10" t="str">
        <f>"钟少珍"</f>
        <v>钟少珍</v>
      </c>
      <c r="C132" s="11" t="s">
        <v>44</v>
      </c>
      <c r="D132" s="10" t="str">
        <f t="shared" si="23"/>
        <v>女</v>
      </c>
      <c r="E132" s="10" t="str">
        <f>"1996-11-17"</f>
        <v>1996-11-17</v>
      </c>
      <c r="F132" s="10" t="str">
        <f t="shared" si="26"/>
        <v>大专</v>
      </c>
      <c r="G132" s="10" t="str">
        <f t="shared" si="27"/>
        <v>无</v>
      </c>
      <c r="H132" s="10" t="str">
        <f t="shared" si="28"/>
        <v>助产</v>
      </c>
      <c r="I132" s="14" t="str">
        <f t="shared" si="29"/>
        <v>护士</v>
      </c>
      <c r="J132" s="9"/>
    </row>
    <row r="133" spans="1:10" ht="30" customHeight="1">
      <c r="A133" s="18">
        <v>130</v>
      </c>
      <c r="B133" s="10" t="str">
        <f>"杨雪"</f>
        <v>杨雪</v>
      </c>
      <c r="C133" s="19" t="s">
        <v>44</v>
      </c>
      <c r="D133" s="10" t="str">
        <f t="shared" si="23"/>
        <v>女</v>
      </c>
      <c r="E133" s="10" t="str">
        <f>"1993-12-10"</f>
        <v>1993-12-10</v>
      </c>
      <c r="F133" s="10" t="str">
        <f t="shared" si="26"/>
        <v>大专</v>
      </c>
      <c r="G133" s="10" t="str">
        <f t="shared" si="27"/>
        <v>无</v>
      </c>
      <c r="H133" s="10" t="str">
        <f t="shared" si="28"/>
        <v>助产</v>
      </c>
      <c r="I133" s="14" t="str">
        <f t="shared" si="29"/>
        <v>护士</v>
      </c>
      <c r="J133" s="9"/>
    </row>
    <row r="134" spans="1:10" ht="30" customHeight="1">
      <c r="A134" s="18">
        <v>131</v>
      </c>
      <c r="B134" s="10" t="str">
        <f>"李美文"</f>
        <v>李美文</v>
      </c>
      <c r="C134" s="11" t="s">
        <v>44</v>
      </c>
      <c r="D134" s="10" t="str">
        <f t="shared" si="23"/>
        <v>女</v>
      </c>
      <c r="E134" s="10" t="str">
        <f>"1995-05-01"</f>
        <v>1995-05-01</v>
      </c>
      <c r="F134" s="10" t="str">
        <f>"本科"</f>
        <v>本科</v>
      </c>
      <c r="G134" s="10" t="str">
        <f>"学士"</f>
        <v>学士</v>
      </c>
      <c r="H134" s="10" t="s">
        <v>63</v>
      </c>
      <c r="I134" s="14" t="str">
        <f t="shared" si="29"/>
        <v>护士</v>
      </c>
      <c r="J134" s="9"/>
    </row>
    <row r="135" spans="1:10" ht="30" customHeight="1">
      <c r="A135" s="18">
        <v>132</v>
      </c>
      <c r="B135" s="10" t="str">
        <f>"羊秀娥"</f>
        <v>羊秀娥</v>
      </c>
      <c r="C135" s="19" t="s">
        <v>44</v>
      </c>
      <c r="D135" s="10" t="str">
        <f t="shared" si="23"/>
        <v>女</v>
      </c>
      <c r="E135" s="10" t="str">
        <f>"1994-06-04"</f>
        <v>1994-06-04</v>
      </c>
      <c r="F135" s="10" t="str">
        <f aca="true" t="shared" si="30" ref="F135:F140">"大专"</f>
        <v>大专</v>
      </c>
      <c r="G135" s="10" t="str">
        <f aca="true" t="shared" si="31" ref="G135:G140">"无"</f>
        <v>无</v>
      </c>
      <c r="H135" s="10" t="str">
        <f aca="true" t="shared" si="32" ref="H135:H140">"助产"</f>
        <v>助产</v>
      </c>
      <c r="I135" s="14" t="str">
        <f t="shared" si="29"/>
        <v>护士</v>
      </c>
      <c r="J135" s="9"/>
    </row>
    <row r="136" spans="1:10" ht="30" customHeight="1">
      <c r="A136" s="18">
        <v>133</v>
      </c>
      <c r="B136" s="10" t="str">
        <f>"孙贻叶"</f>
        <v>孙贻叶</v>
      </c>
      <c r="C136" s="11" t="s">
        <v>44</v>
      </c>
      <c r="D136" s="10" t="str">
        <f t="shared" si="23"/>
        <v>女</v>
      </c>
      <c r="E136" s="10" t="str">
        <f>"1999-09-10"</f>
        <v>1999-09-10</v>
      </c>
      <c r="F136" s="10" t="str">
        <f t="shared" si="30"/>
        <v>大专</v>
      </c>
      <c r="G136" s="10" t="str">
        <f t="shared" si="31"/>
        <v>无</v>
      </c>
      <c r="H136" s="10" t="str">
        <f t="shared" si="32"/>
        <v>助产</v>
      </c>
      <c r="I136" s="14" t="str">
        <f t="shared" si="29"/>
        <v>护士</v>
      </c>
      <c r="J136" s="9"/>
    </row>
    <row r="137" spans="1:10" ht="30" customHeight="1">
      <c r="A137" s="18">
        <v>134</v>
      </c>
      <c r="B137" s="10" t="str">
        <f>"吴钟聘"</f>
        <v>吴钟聘</v>
      </c>
      <c r="C137" s="11" t="s">
        <v>44</v>
      </c>
      <c r="D137" s="10" t="str">
        <f t="shared" si="23"/>
        <v>女</v>
      </c>
      <c r="E137" s="10" t="str">
        <f>"1997-02-06"</f>
        <v>1997-02-06</v>
      </c>
      <c r="F137" s="10" t="str">
        <f t="shared" si="30"/>
        <v>大专</v>
      </c>
      <c r="G137" s="10" t="str">
        <f t="shared" si="31"/>
        <v>无</v>
      </c>
      <c r="H137" s="18" t="str">
        <f t="shared" si="32"/>
        <v>助产</v>
      </c>
      <c r="I137" s="14" t="str">
        <f t="shared" si="29"/>
        <v>护士</v>
      </c>
      <c r="J137" s="9"/>
    </row>
    <row r="138" spans="1:10" ht="30" customHeight="1">
      <c r="A138" s="18">
        <v>135</v>
      </c>
      <c r="B138" s="10" t="str">
        <f>"严春苗"</f>
        <v>严春苗</v>
      </c>
      <c r="C138" s="11" t="s">
        <v>44</v>
      </c>
      <c r="D138" s="10" t="str">
        <f t="shared" si="23"/>
        <v>女</v>
      </c>
      <c r="E138" s="10" t="str">
        <f>"1999-04-01"</f>
        <v>1999-04-01</v>
      </c>
      <c r="F138" s="10" t="str">
        <f t="shared" si="30"/>
        <v>大专</v>
      </c>
      <c r="G138" s="10" t="str">
        <f t="shared" si="31"/>
        <v>无</v>
      </c>
      <c r="H138" s="10" t="str">
        <f t="shared" si="32"/>
        <v>助产</v>
      </c>
      <c r="I138" s="14" t="str">
        <f t="shared" si="29"/>
        <v>护士</v>
      </c>
      <c r="J138" s="9"/>
    </row>
    <row r="139" spans="1:10" ht="30" customHeight="1">
      <c r="A139" s="18">
        <v>136</v>
      </c>
      <c r="B139" s="10" t="str">
        <f>"杨凌美"</f>
        <v>杨凌美</v>
      </c>
      <c r="C139" s="19" t="s">
        <v>44</v>
      </c>
      <c r="D139" s="10" t="str">
        <f t="shared" si="23"/>
        <v>女</v>
      </c>
      <c r="E139" s="18" t="str">
        <f>"1995-04-12"</f>
        <v>1995-04-12</v>
      </c>
      <c r="F139" s="10" t="str">
        <f t="shared" si="30"/>
        <v>大专</v>
      </c>
      <c r="G139" s="10" t="str">
        <f t="shared" si="31"/>
        <v>无</v>
      </c>
      <c r="H139" s="10" t="str">
        <f t="shared" si="32"/>
        <v>助产</v>
      </c>
      <c r="I139" s="14" t="str">
        <f t="shared" si="29"/>
        <v>护士</v>
      </c>
      <c r="J139" s="9"/>
    </row>
    <row r="140" spans="1:10" ht="30" customHeight="1">
      <c r="A140" s="18">
        <v>137</v>
      </c>
      <c r="B140" s="10" t="str">
        <f>"张其爱"</f>
        <v>张其爱</v>
      </c>
      <c r="C140" s="11" t="s">
        <v>44</v>
      </c>
      <c r="D140" s="10" t="str">
        <f t="shared" si="23"/>
        <v>女</v>
      </c>
      <c r="E140" s="10" t="str">
        <f>"1996-07-21"</f>
        <v>1996-07-21</v>
      </c>
      <c r="F140" s="10" t="str">
        <f t="shared" si="30"/>
        <v>大专</v>
      </c>
      <c r="G140" s="10" t="str">
        <f t="shared" si="31"/>
        <v>无</v>
      </c>
      <c r="H140" s="10" t="str">
        <f t="shared" si="32"/>
        <v>助产</v>
      </c>
      <c r="I140" s="20" t="str">
        <f t="shared" si="29"/>
        <v>护士</v>
      </c>
      <c r="J140" s="9"/>
    </row>
    <row r="141" spans="1:10" ht="30" customHeight="1">
      <c r="A141" s="18">
        <v>138</v>
      </c>
      <c r="B141" s="10" t="str">
        <f>"李苗"</f>
        <v>李苗</v>
      </c>
      <c r="C141" s="11" t="s">
        <v>45</v>
      </c>
      <c r="D141" s="10" t="str">
        <f t="shared" si="23"/>
        <v>女</v>
      </c>
      <c r="E141" s="10" t="str">
        <f>"1994-06-27"</f>
        <v>1994-06-27</v>
      </c>
      <c r="F141" s="10" t="str">
        <f>"硕士研究生"</f>
        <v>硕士研究生</v>
      </c>
      <c r="G141" s="10" t="str">
        <f>"硕士"</f>
        <v>硕士</v>
      </c>
      <c r="H141" s="18" t="str">
        <f>"护理"</f>
        <v>护理</v>
      </c>
      <c r="I141" s="14" t="str">
        <f>"主管护师"</f>
        <v>主管护师</v>
      </c>
      <c r="J141" s="9"/>
    </row>
    <row r="142" spans="1:10" ht="30" customHeight="1">
      <c r="A142" s="18">
        <v>139</v>
      </c>
      <c r="B142" s="10" t="str">
        <f>"文晓"</f>
        <v>文晓</v>
      </c>
      <c r="C142" s="19" t="s">
        <v>47</v>
      </c>
      <c r="D142" s="10" t="str">
        <f t="shared" si="23"/>
        <v>女</v>
      </c>
      <c r="E142" s="10" t="str">
        <f>"1995-04-06"</f>
        <v>1995-04-06</v>
      </c>
      <c r="F142" s="10" t="str">
        <f aca="true" t="shared" si="33" ref="F142:F152">"本科"</f>
        <v>本科</v>
      </c>
      <c r="G142" s="10" t="str">
        <f>"学士"</f>
        <v>学士</v>
      </c>
      <c r="H142" s="12" t="str">
        <f>"劳动与社会保障"</f>
        <v>劳动与社会保障</v>
      </c>
      <c r="I142" s="14" t="str">
        <f>"无"</f>
        <v>无</v>
      </c>
      <c r="J142" s="9"/>
    </row>
    <row r="143" spans="1:10" ht="30" customHeight="1">
      <c r="A143" s="18">
        <v>140</v>
      </c>
      <c r="B143" s="10" t="str">
        <f>"王齐"</f>
        <v>王齐</v>
      </c>
      <c r="C143" s="11" t="s">
        <v>47</v>
      </c>
      <c r="D143" s="10" t="str">
        <f>"男"</f>
        <v>男</v>
      </c>
      <c r="E143" s="10" t="str">
        <f>"1994-11-01"</f>
        <v>1994-11-01</v>
      </c>
      <c r="F143" s="10" t="str">
        <f t="shared" si="33"/>
        <v>本科</v>
      </c>
      <c r="G143" s="10" t="str">
        <f>"无"</f>
        <v>无</v>
      </c>
      <c r="H143" s="12" t="str">
        <f>"劳动与社会保障 医疗保险方向"</f>
        <v>劳动与社会保障 医疗保险方向</v>
      </c>
      <c r="I143" s="15" t="str">
        <f>"病案信息技术（师）"</f>
        <v>病案信息技术（师）</v>
      </c>
      <c r="J143" s="9"/>
    </row>
    <row r="144" spans="1:10" ht="30" customHeight="1">
      <c r="A144" s="18">
        <v>141</v>
      </c>
      <c r="B144" s="10" t="str">
        <f>"何萍"</f>
        <v>何萍</v>
      </c>
      <c r="C144" s="19" t="s">
        <v>48</v>
      </c>
      <c r="D144" s="10" t="str">
        <f aca="true" t="shared" si="34" ref="D144:D149">"女"</f>
        <v>女</v>
      </c>
      <c r="E144" s="10" t="str">
        <f>"1996-01-20"</f>
        <v>1996-01-20</v>
      </c>
      <c r="F144" s="10" t="str">
        <f t="shared" si="33"/>
        <v>本科</v>
      </c>
      <c r="G144" s="10" t="str">
        <f aca="true" t="shared" si="35" ref="G144:G152">"学士"</f>
        <v>学士</v>
      </c>
      <c r="H144" s="18" t="str">
        <f>"软件工程"</f>
        <v>软件工程</v>
      </c>
      <c r="I144" s="14" t="str">
        <f>"无"</f>
        <v>无</v>
      </c>
      <c r="J144" s="9"/>
    </row>
    <row r="145" spans="1:10" ht="30" customHeight="1">
      <c r="A145" s="18">
        <v>142</v>
      </c>
      <c r="B145" s="10" t="str">
        <f>"李雨娴"</f>
        <v>李雨娴</v>
      </c>
      <c r="C145" s="11" t="s">
        <v>48</v>
      </c>
      <c r="D145" s="10" t="str">
        <f t="shared" si="34"/>
        <v>女</v>
      </c>
      <c r="E145" s="10" t="str">
        <f>"1996-07-20"</f>
        <v>1996-07-20</v>
      </c>
      <c r="F145" s="10" t="str">
        <f t="shared" si="33"/>
        <v>本科</v>
      </c>
      <c r="G145" s="10" t="str">
        <f t="shared" si="35"/>
        <v>学士</v>
      </c>
      <c r="H145" s="18" t="str">
        <f>"软件工程"</f>
        <v>软件工程</v>
      </c>
      <c r="I145" s="14" t="str">
        <f>"无"</f>
        <v>无</v>
      </c>
      <c r="J145" s="9"/>
    </row>
    <row r="146" spans="1:10" ht="30" customHeight="1">
      <c r="A146" s="18">
        <v>143</v>
      </c>
      <c r="B146" s="10" t="str">
        <f>"罗宁尹"</f>
        <v>罗宁尹</v>
      </c>
      <c r="C146" s="11" t="s">
        <v>48</v>
      </c>
      <c r="D146" s="10" t="str">
        <f t="shared" si="34"/>
        <v>女</v>
      </c>
      <c r="E146" s="10" t="str">
        <f>"1998-04-11"</f>
        <v>1998-04-11</v>
      </c>
      <c r="F146" s="10" t="str">
        <f t="shared" si="33"/>
        <v>本科</v>
      </c>
      <c r="G146" s="10" t="str">
        <f t="shared" si="35"/>
        <v>学士</v>
      </c>
      <c r="H146" s="10" t="str">
        <f>"软件工程"</f>
        <v>软件工程</v>
      </c>
      <c r="I146" s="14" t="str">
        <f>"无"</f>
        <v>无</v>
      </c>
      <c r="J146" s="9"/>
    </row>
    <row r="147" spans="1:10" ht="30" customHeight="1">
      <c r="A147" s="18">
        <v>144</v>
      </c>
      <c r="B147" s="10" t="str">
        <f>"苏琳洁"</f>
        <v>苏琳洁</v>
      </c>
      <c r="C147" s="11" t="s">
        <v>49</v>
      </c>
      <c r="D147" s="10" t="str">
        <f t="shared" si="34"/>
        <v>女</v>
      </c>
      <c r="E147" s="10" t="str">
        <f>"1991-10-10"</f>
        <v>1991-10-10</v>
      </c>
      <c r="F147" s="10" t="str">
        <f t="shared" si="33"/>
        <v>本科</v>
      </c>
      <c r="G147" s="10" t="str">
        <f t="shared" si="35"/>
        <v>学士</v>
      </c>
      <c r="H147" s="10" t="str">
        <f>"财务管理"</f>
        <v>财务管理</v>
      </c>
      <c r="I147" s="15" t="str">
        <f>"中级会计师"</f>
        <v>中级会计师</v>
      </c>
      <c r="J147" s="9"/>
    </row>
    <row r="148" spans="1:10" ht="30" customHeight="1">
      <c r="A148" s="18">
        <v>145</v>
      </c>
      <c r="B148" s="10" t="str">
        <f>"符玉秋"</f>
        <v>符玉秋</v>
      </c>
      <c r="C148" s="11" t="s">
        <v>49</v>
      </c>
      <c r="D148" s="10" t="str">
        <f t="shared" si="34"/>
        <v>女</v>
      </c>
      <c r="E148" s="10" t="str">
        <f>"1990-05-08"</f>
        <v>1990-05-08</v>
      </c>
      <c r="F148" s="10" t="str">
        <f t="shared" si="33"/>
        <v>本科</v>
      </c>
      <c r="G148" s="10" t="str">
        <f t="shared" si="35"/>
        <v>学士</v>
      </c>
      <c r="H148" s="10" t="str">
        <f>"财务管理"</f>
        <v>财务管理</v>
      </c>
      <c r="I148" s="15" t="str">
        <f>"中级会计师"</f>
        <v>中级会计师</v>
      </c>
      <c r="J148" s="9"/>
    </row>
    <row r="149" spans="1:10" ht="30" customHeight="1">
      <c r="A149" s="18">
        <v>146</v>
      </c>
      <c r="B149" s="10" t="str">
        <f>"陈吉梅"</f>
        <v>陈吉梅</v>
      </c>
      <c r="C149" s="11" t="s">
        <v>49</v>
      </c>
      <c r="D149" s="10" t="str">
        <f t="shared" si="34"/>
        <v>女</v>
      </c>
      <c r="E149" s="10" t="str">
        <f>"1992-08-20"</f>
        <v>1992-08-20</v>
      </c>
      <c r="F149" s="10" t="str">
        <f t="shared" si="33"/>
        <v>本科</v>
      </c>
      <c r="G149" s="10" t="str">
        <f t="shared" si="35"/>
        <v>学士</v>
      </c>
      <c r="H149" s="10" t="str">
        <f>"会计学"</f>
        <v>会计学</v>
      </c>
      <c r="I149" s="15" t="str">
        <f>"中级会计师"</f>
        <v>中级会计师</v>
      </c>
      <c r="J149" s="9"/>
    </row>
    <row r="150" spans="1:10" ht="30" customHeight="1">
      <c r="A150" s="18">
        <v>147</v>
      </c>
      <c r="B150" s="18" t="str">
        <f>"符策力"</f>
        <v>符策力</v>
      </c>
      <c r="C150" s="21" t="s">
        <v>53</v>
      </c>
      <c r="D150" s="18" t="str">
        <f>"男"</f>
        <v>男</v>
      </c>
      <c r="E150" s="18" t="str">
        <f>"1993-04-19"</f>
        <v>1993-04-19</v>
      </c>
      <c r="F150" s="18" t="str">
        <f t="shared" si="33"/>
        <v>本科</v>
      </c>
      <c r="G150" s="18" t="str">
        <f t="shared" si="35"/>
        <v>学士</v>
      </c>
      <c r="H150" s="18" t="str">
        <f>"土木工程"</f>
        <v>土木工程</v>
      </c>
      <c r="I150" s="15" t="str">
        <f>"助理工程师"</f>
        <v>助理工程师</v>
      </c>
      <c r="J150" s="18"/>
    </row>
    <row r="151" spans="1:222" s="16" customFormat="1" ht="30" customHeight="1">
      <c r="A151" s="18">
        <v>148</v>
      </c>
      <c r="B151" s="18" t="str">
        <f>"黄炽川"</f>
        <v>黄炽川</v>
      </c>
      <c r="C151" s="21" t="s">
        <v>54</v>
      </c>
      <c r="D151" s="18" t="str">
        <f>"女"</f>
        <v>女</v>
      </c>
      <c r="E151" s="18" t="str">
        <f>"1995-08-12"</f>
        <v>1995-08-12</v>
      </c>
      <c r="F151" s="18" t="str">
        <f t="shared" si="33"/>
        <v>本科</v>
      </c>
      <c r="G151" s="18" t="str">
        <f t="shared" si="35"/>
        <v>学士</v>
      </c>
      <c r="H151" s="18" t="str">
        <f>"土木工程"</f>
        <v>土木工程</v>
      </c>
      <c r="I151" s="15" t="str">
        <f>"助理工程师"</f>
        <v>助理工程师</v>
      </c>
      <c r="J151" s="18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</row>
    <row r="152" spans="1:222" s="16" customFormat="1" ht="30" customHeight="1">
      <c r="A152" s="18">
        <v>149</v>
      </c>
      <c r="B152" s="18" t="s">
        <v>60</v>
      </c>
      <c r="C152" s="21" t="s">
        <v>34</v>
      </c>
      <c r="D152" s="18" t="s">
        <v>57</v>
      </c>
      <c r="E152" s="18" t="str">
        <f>"1989-03-19"</f>
        <v>1989-03-19</v>
      </c>
      <c r="F152" s="18" t="str">
        <f t="shared" si="33"/>
        <v>本科</v>
      </c>
      <c r="G152" s="18" t="str">
        <f t="shared" si="35"/>
        <v>学士</v>
      </c>
      <c r="H152" s="18" t="s">
        <v>61</v>
      </c>
      <c r="I152" s="20" t="str">
        <f>"检验技师"</f>
        <v>检验技师</v>
      </c>
      <c r="J152" s="18" t="s">
        <v>62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</row>
    <row r="153" spans="1:10" ht="3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3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243" spans="1:250" s="2" customFormat="1" ht="30" customHeight="1">
      <c r="A243" s="3"/>
      <c r="B243" s="3"/>
      <c r="C243" s="3"/>
      <c r="D243" s="3"/>
      <c r="E243" s="4"/>
      <c r="F243" s="4"/>
      <c r="G243" s="4"/>
      <c r="H243" s="4"/>
      <c r="I243" s="5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</row>
    <row r="244" spans="1:250" s="2" customFormat="1" ht="30" customHeight="1">
      <c r="A244" s="3"/>
      <c r="B244" s="3"/>
      <c r="C244" s="3"/>
      <c r="D244" s="3"/>
      <c r="E244" s="4"/>
      <c r="F244" s="4"/>
      <c r="G244" s="4"/>
      <c r="H244" s="4"/>
      <c r="I244" s="5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</row>
    <row r="245" spans="1:250" s="2" customFormat="1" ht="30" customHeight="1">
      <c r="A245" s="3"/>
      <c r="B245" s="3"/>
      <c r="C245" s="3"/>
      <c r="D245" s="3"/>
      <c r="E245" s="4"/>
      <c r="F245" s="4"/>
      <c r="G245" s="4"/>
      <c r="H245" s="4"/>
      <c r="I245" s="5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</row>
    <row r="246" ht="48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422" ht="46.5" customHeight="1"/>
    <row r="423" ht="45.75" customHeight="1"/>
  </sheetData>
  <sheetProtection/>
  <mergeCells count="2">
    <mergeCell ref="A2:J2"/>
    <mergeCell ref="A1:J1"/>
  </mergeCells>
  <printOptions horizontalCentered="1"/>
  <pageMargins left="0.3937007874015748" right="0.3937007874015748" top="0.3937007874015748" bottom="0.3937007874015748" header="0.5118110236220472" footer="0.275590551181102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N2006016</cp:lastModifiedBy>
  <cp:lastPrinted>2021-02-10T00:17:43Z</cp:lastPrinted>
  <dcterms:created xsi:type="dcterms:W3CDTF">2021-01-18T01:03:05Z</dcterms:created>
  <dcterms:modified xsi:type="dcterms:W3CDTF">2021-02-10T00:17:47Z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