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-75" yWindow="-61" windowWidth="23221" windowHeight="12529" activeTab="0" tabRatio="600"/>
  </bookViews>
  <sheets>
    <sheet name="公示成绩单" sheetId="5" r:id="rId2"/>
  </sheets>
</workbook>
</file>

<file path=xl/sharedStrings.xml><?xml version="1.0" encoding="utf-8"?>
<sst xmlns="http://schemas.openxmlformats.org/spreadsheetml/2006/main" count="8427" uniqueCount="4286">
  <si>
    <t>伊金霍洛旗公开招聘嘎查村、社区服务人员笔试成绩单</t>
  </si>
  <si>
    <t>序号</t>
  </si>
  <si>
    <t>报考岗位</t>
  </si>
  <si>
    <t>姓名</t>
  </si>
  <si>
    <t>准考证号</t>
  </si>
  <si>
    <t>笔试成绩</t>
  </si>
  <si>
    <t>加分项</t>
  </si>
  <si>
    <t>总成绩</t>
  </si>
  <si>
    <t>101_面向社会招聘岗位（社会考生）</t>
  </si>
  <si>
    <t>乔牧</t>
  </si>
  <si>
    <t>15010110101</t>
  </si>
  <si>
    <t>高波</t>
  </si>
  <si>
    <t>15010110102</t>
  </si>
  <si>
    <t>武悦函</t>
  </si>
  <si>
    <t>15010110103</t>
  </si>
  <si>
    <t>缺考</t>
  </si>
  <si>
    <t>王磊</t>
  </si>
  <si>
    <t>15010110104</t>
  </si>
  <si>
    <t>李雪</t>
  </si>
  <si>
    <t>15010110105</t>
  </si>
  <si>
    <t>高睿</t>
  </si>
  <si>
    <t>15010110106</t>
  </si>
  <si>
    <t>贺龙</t>
  </si>
  <si>
    <t>15010110107</t>
  </si>
  <si>
    <t>杨媛</t>
  </si>
  <si>
    <t>15010110108</t>
  </si>
  <si>
    <t>郭慧</t>
  </si>
  <si>
    <t>15010110109</t>
  </si>
  <si>
    <t>乔鹭</t>
  </si>
  <si>
    <t>15010110110</t>
  </si>
  <si>
    <t>刘海龙</t>
  </si>
  <si>
    <t>15010110111</t>
  </si>
  <si>
    <t>张娜</t>
  </si>
  <si>
    <t>15010110112</t>
  </si>
  <si>
    <t>刘悦</t>
  </si>
  <si>
    <t>15010110113</t>
  </si>
  <si>
    <t>党娅婷</t>
  </si>
  <si>
    <t>15010110114</t>
  </si>
  <si>
    <t>张璐</t>
  </si>
  <si>
    <t>15010110115</t>
  </si>
  <si>
    <t>赵洋</t>
  </si>
  <si>
    <t>15010110116</t>
  </si>
  <si>
    <t>李惠芳</t>
  </si>
  <si>
    <t>15010110117</t>
  </si>
  <si>
    <t>宋蓉</t>
  </si>
  <si>
    <t>15010110118</t>
  </si>
  <si>
    <t>高娜</t>
  </si>
  <si>
    <t>15010110119</t>
  </si>
  <si>
    <t>杨紫涵</t>
  </si>
  <si>
    <t>15010110120</t>
  </si>
  <si>
    <t>马巧玲</t>
  </si>
  <si>
    <t>15010110121</t>
  </si>
  <si>
    <t>王铁牛</t>
  </si>
  <si>
    <t>15010110122</t>
  </si>
  <si>
    <t>郭艳</t>
  </si>
  <si>
    <t>15010110123</t>
  </si>
  <si>
    <t>雷婷</t>
  </si>
  <si>
    <t>15010110124</t>
  </si>
  <si>
    <t>刘丽</t>
  </si>
  <si>
    <t>15010110125</t>
  </si>
  <si>
    <t>白雪</t>
  </si>
  <si>
    <t>15010110126</t>
  </si>
  <si>
    <t>李治</t>
  </si>
  <si>
    <t>15010110127</t>
  </si>
  <si>
    <t>朱子夜</t>
  </si>
  <si>
    <t>15010110128</t>
  </si>
  <si>
    <t>金旭芬</t>
  </si>
  <si>
    <t>15010110129</t>
  </si>
  <si>
    <t>乔倩</t>
  </si>
  <si>
    <t>15010110130</t>
  </si>
  <si>
    <t>孙婷</t>
  </si>
  <si>
    <t>15010110201</t>
  </si>
  <si>
    <t>袁伟</t>
  </si>
  <si>
    <t>15010110202</t>
  </si>
  <si>
    <t>折志学</t>
  </si>
  <si>
    <t>15010110203</t>
  </si>
  <si>
    <t>陈强</t>
  </si>
  <si>
    <t>15010110204</t>
  </si>
  <si>
    <t>郭思瑶</t>
  </si>
  <si>
    <t>15010110205</t>
  </si>
  <si>
    <t>郭艳女</t>
  </si>
  <si>
    <t>15010110206</t>
  </si>
  <si>
    <t>奇雪薇</t>
  </si>
  <si>
    <t>15010110207</t>
  </si>
  <si>
    <t>高慧</t>
  </si>
  <si>
    <t>15010110208</t>
  </si>
  <si>
    <t>郝荣</t>
  </si>
  <si>
    <t>15010110209</t>
  </si>
  <si>
    <t>王柏粤</t>
  </si>
  <si>
    <t>15010110210</t>
  </si>
  <si>
    <t>张帅</t>
  </si>
  <si>
    <t>15010110211</t>
  </si>
  <si>
    <t>张乐</t>
  </si>
  <si>
    <t>15010110212</t>
  </si>
  <si>
    <t>杜贵荣</t>
  </si>
  <si>
    <t>15010110213</t>
  </si>
  <si>
    <t>焦美娜</t>
  </si>
  <si>
    <t>15010110214</t>
  </si>
  <si>
    <t>王慧芳</t>
  </si>
  <si>
    <t>15010110215</t>
  </si>
  <si>
    <t>冯霞</t>
  </si>
  <si>
    <t>15010110216</t>
  </si>
  <si>
    <t>高倩</t>
  </si>
  <si>
    <t>15010110217</t>
  </si>
  <si>
    <t>赵慧婕</t>
  </si>
  <si>
    <t>15010110218</t>
  </si>
  <si>
    <t>王娜</t>
  </si>
  <si>
    <t>15010110219</t>
  </si>
  <si>
    <t>李艳霞</t>
  </si>
  <si>
    <t>15010110220</t>
  </si>
  <si>
    <t>王艳蓉</t>
  </si>
  <si>
    <t>15010110221</t>
  </si>
  <si>
    <t>钱欣玥</t>
  </si>
  <si>
    <t>15010110222</t>
  </si>
  <si>
    <t>李东杰</t>
  </si>
  <si>
    <t>15010110223</t>
  </si>
  <si>
    <t>高乐</t>
  </si>
  <si>
    <t>15010110224</t>
  </si>
  <si>
    <t>薛海霞</t>
  </si>
  <si>
    <t>15010110225</t>
  </si>
  <si>
    <t>张敏</t>
  </si>
  <si>
    <t>15010110226</t>
  </si>
  <si>
    <t>李子雄</t>
  </si>
  <si>
    <t>15010110227</t>
  </si>
  <si>
    <t>訾晓梅</t>
  </si>
  <si>
    <t>15010110228</t>
  </si>
  <si>
    <t>尚婧</t>
  </si>
  <si>
    <t>15010110229</t>
  </si>
  <si>
    <t>童晶</t>
  </si>
  <si>
    <t>15010110230</t>
  </si>
  <si>
    <t>杜鑫浦</t>
  </si>
  <si>
    <t>15010110301</t>
  </si>
  <si>
    <t>武鑫</t>
  </si>
  <si>
    <t>15010110302</t>
  </si>
  <si>
    <t>王超</t>
  </si>
  <si>
    <t>15010110303</t>
  </si>
  <si>
    <t>郝娜</t>
  </si>
  <si>
    <t>15010110304</t>
  </si>
  <si>
    <t>郭呈如</t>
  </si>
  <si>
    <t>15010110305</t>
  </si>
  <si>
    <t>黄淑</t>
  </si>
  <si>
    <t>15010110306</t>
  </si>
  <si>
    <t>张东伟</t>
  </si>
  <si>
    <t>15010110307</t>
  </si>
  <si>
    <t>王冠</t>
  </si>
  <si>
    <t>15010110308</t>
  </si>
  <si>
    <t>王子录</t>
  </si>
  <si>
    <t>15010110309</t>
  </si>
  <si>
    <t>乔璞</t>
  </si>
  <si>
    <t>15010110310</t>
  </si>
  <si>
    <t>李璐</t>
  </si>
  <si>
    <t>15010110311</t>
  </si>
  <si>
    <t>郝元莘</t>
  </si>
  <si>
    <t>15010110312</t>
  </si>
  <si>
    <t>闫丽</t>
  </si>
  <si>
    <t>15010110313</t>
  </si>
  <si>
    <t>王珂荣</t>
  </si>
  <si>
    <t>15010110314</t>
  </si>
  <si>
    <t>呼伟</t>
  </si>
  <si>
    <t>15010110315</t>
  </si>
  <si>
    <t>杨蓉</t>
  </si>
  <si>
    <t>15010110316</t>
  </si>
  <si>
    <t>郭小峰</t>
  </si>
  <si>
    <t>15010110317</t>
  </si>
  <si>
    <t>童丹蓉</t>
  </si>
  <si>
    <t>15010110318</t>
  </si>
  <si>
    <t>王燕</t>
  </si>
  <si>
    <t>15010110319</t>
  </si>
  <si>
    <t>李瑞博</t>
  </si>
  <si>
    <t>15010110320</t>
  </si>
  <si>
    <t>高思宇</t>
  </si>
  <si>
    <t>15010110321</t>
  </si>
  <si>
    <t>郭春艳</t>
  </si>
  <si>
    <t>15010110322</t>
  </si>
  <si>
    <t>折益轩</t>
  </si>
  <si>
    <t>15010110323</t>
  </si>
  <si>
    <t>苏亚洁</t>
  </si>
  <si>
    <t>15010110324</t>
  </si>
  <si>
    <t>何金莉</t>
  </si>
  <si>
    <t>15010110325</t>
  </si>
  <si>
    <t>王慧</t>
  </si>
  <si>
    <t>15010110326</t>
  </si>
  <si>
    <t>黎晓东</t>
  </si>
  <si>
    <t>15010110327</t>
  </si>
  <si>
    <t>杨璐</t>
  </si>
  <si>
    <t>15010110328</t>
  </si>
  <si>
    <t>杨晶</t>
  </si>
  <si>
    <t>15010110329</t>
  </si>
  <si>
    <t>武小丽</t>
  </si>
  <si>
    <t>15010110330</t>
  </si>
  <si>
    <t>15010110401</t>
  </si>
  <si>
    <t>刘洁</t>
  </si>
  <si>
    <t>15010110402</t>
  </si>
  <si>
    <t>巴格纳</t>
  </si>
  <si>
    <t>15010110403</t>
  </si>
  <si>
    <t>王艳</t>
  </si>
  <si>
    <t>15010110404</t>
  </si>
  <si>
    <t>白白</t>
  </si>
  <si>
    <t>15010110405</t>
  </si>
  <si>
    <t>张艳</t>
  </si>
  <si>
    <t>15010110406</t>
  </si>
  <si>
    <t>方慧</t>
  </si>
  <si>
    <t>15010110407</t>
  </si>
  <si>
    <t>刘慧强</t>
  </si>
  <si>
    <t>15010110408</t>
  </si>
  <si>
    <t>郝亮</t>
  </si>
  <si>
    <t>15010110409</t>
  </si>
  <si>
    <t>王媛</t>
  </si>
  <si>
    <t>15010110410</t>
  </si>
  <si>
    <t>刘凯</t>
  </si>
  <si>
    <t>15010110411</t>
  </si>
  <si>
    <t>15010110412</t>
  </si>
  <si>
    <t>高瑞</t>
  </si>
  <si>
    <t>15010110413</t>
  </si>
  <si>
    <t>曾敏</t>
  </si>
  <si>
    <t>15010110414</t>
  </si>
  <si>
    <t>边鹏</t>
  </si>
  <si>
    <t>15010110415</t>
  </si>
  <si>
    <t>张一博</t>
  </si>
  <si>
    <t>15010110416</t>
  </si>
  <si>
    <t>徐小平</t>
  </si>
  <si>
    <t>15010110417</t>
  </si>
  <si>
    <t>李鑫</t>
  </si>
  <si>
    <t>15010110418</t>
  </si>
  <si>
    <t>刘媛媛</t>
  </si>
  <si>
    <t>15010110419</t>
  </si>
  <si>
    <t>赵丽</t>
  </si>
  <si>
    <t>15010110420</t>
  </si>
  <si>
    <t>刘智</t>
  </si>
  <si>
    <t>15010110421</t>
  </si>
  <si>
    <t>贾乐</t>
  </si>
  <si>
    <t>15010110422</t>
  </si>
  <si>
    <t>丁亮</t>
  </si>
  <si>
    <t>15010110423</t>
  </si>
  <si>
    <t>张可昉</t>
  </si>
  <si>
    <t>15010110424</t>
  </si>
  <si>
    <t>陈毅</t>
  </si>
  <si>
    <t>15010110425</t>
  </si>
  <si>
    <t>姜浩</t>
  </si>
  <si>
    <t>15010110426</t>
  </si>
  <si>
    <t>康慧</t>
  </si>
  <si>
    <t>15010110427</t>
  </si>
  <si>
    <t>倪玥</t>
  </si>
  <si>
    <t>15010110428</t>
  </si>
  <si>
    <t>白静</t>
  </si>
  <si>
    <t>15010110429</t>
  </si>
  <si>
    <t>曹馨午</t>
  </si>
  <si>
    <t>15010110430</t>
  </si>
  <si>
    <t>刘娅妮</t>
  </si>
  <si>
    <t>15010110501</t>
  </si>
  <si>
    <t>张鑫</t>
  </si>
  <si>
    <t>15010110502</t>
  </si>
  <si>
    <t>尚慧龙</t>
  </si>
  <si>
    <t>15010110503</t>
  </si>
  <si>
    <t>王佳乐</t>
  </si>
  <si>
    <t>15010110504</t>
  </si>
  <si>
    <t>高聚繁</t>
  </si>
  <si>
    <t>15010110505</t>
  </si>
  <si>
    <t>兰拴霞</t>
  </si>
  <si>
    <t>15010110506</t>
  </si>
  <si>
    <t>张恒</t>
  </si>
  <si>
    <t>15010110507</t>
  </si>
  <si>
    <t>刘海艳</t>
  </si>
  <si>
    <t>15010110508</t>
  </si>
  <si>
    <t>温鑫</t>
  </si>
  <si>
    <t>15010110509</t>
  </si>
  <si>
    <t>张雨薇</t>
  </si>
  <si>
    <t>15010110510</t>
  </si>
  <si>
    <t>温晴</t>
  </si>
  <si>
    <t>15010110511</t>
  </si>
  <si>
    <t>高杨</t>
  </si>
  <si>
    <t>15010110512</t>
  </si>
  <si>
    <t>赵丽倩</t>
  </si>
  <si>
    <t>15010110513</t>
  </si>
  <si>
    <t>袁乐</t>
  </si>
  <si>
    <t>15010110514</t>
  </si>
  <si>
    <t>白燕妮</t>
  </si>
  <si>
    <t>15010110515</t>
  </si>
  <si>
    <t>刘霞</t>
  </si>
  <si>
    <t>15010110516</t>
  </si>
  <si>
    <t>何瑞</t>
  </si>
  <si>
    <t>15010110517</t>
  </si>
  <si>
    <t>边科</t>
  </si>
  <si>
    <t>15010110518</t>
  </si>
  <si>
    <t>苏晓红</t>
  </si>
  <si>
    <t>15010110519</t>
  </si>
  <si>
    <t>戴仙</t>
  </si>
  <si>
    <t>15010110520</t>
  </si>
  <si>
    <t>呼可舒</t>
  </si>
  <si>
    <t>15010110521</t>
  </si>
  <si>
    <t>杨柳</t>
  </si>
  <si>
    <t>15010110522</t>
  </si>
  <si>
    <t>刘晓慧</t>
  </si>
  <si>
    <t>15010110523</t>
  </si>
  <si>
    <t>何丽</t>
  </si>
  <si>
    <t>15010110524</t>
  </si>
  <si>
    <t>王宇</t>
  </si>
  <si>
    <t>15010110525</t>
  </si>
  <si>
    <t>李静</t>
  </si>
  <si>
    <t>15010110526</t>
  </si>
  <si>
    <t>郭荣荣</t>
  </si>
  <si>
    <t>15010110527</t>
  </si>
  <si>
    <t>曹伟</t>
  </si>
  <si>
    <t>15010110528</t>
  </si>
  <si>
    <t>苏波</t>
  </si>
  <si>
    <t>15010110529</t>
  </si>
  <si>
    <t>温露</t>
  </si>
  <si>
    <t>15010110530</t>
  </si>
  <si>
    <t>温晨</t>
  </si>
  <si>
    <t>15010110601</t>
  </si>
  <si>
    <t>武艳春</t>
  </si>
  <si>
    <t>15010110602</t>
  </si>
  <si>
    <t>苗雅楠</t>
  </si>
  <si>
    <t>15010110603</t>
  </si>
  <si>
    <t>李凌青</t>
  </si>
  <si>
    <t>15010110604</t>
  </si>
  <si>
    <t>黄瑶</t>
  </si>
  <si>
    <t>15010110605</t>
  </si>
  <si>
    <t>张轩</t>
  </si>
  <si>
    <t>15010110606</t>
  </si>
  <si>
    <t>康欣</t>
  </si>
  <si>
    <t>15010110607</t>
  </si>
  <si>
    <t>兰斌</t>
  </si>
  <si>
    <t>15010110608</t>
  </si>
  <si>
    <t>张哲</t>
  </si>
  <si>
    <t>15010110609</t>
  </si>
  <si>
    <t>朱琳</t>
  </si>
  <si>
    <t>15010110610</t>
  </si>
  <si>
    <t>张月娇</t>
  </si>
  <si>
    <t>15010110611</t>
  </si>
  <si>
    <t>王镇</t>
  </si>
  <si>
    <t>15010110612</t>
  </si>
  <si>
    <t>赵宁</t>
  </si>
  <si>
    <t>15010110613</t>
  </si>
  <si>
    <t>刘浩</t>
  </si>
  <si>
    <t>15010110614</t>
  </si>
  <si>
    <t>赵啟邦</t>
  </si>
  <si>
    <t>15010110615</t>
  </si>
  <si>
    <t>郭皓</t>
  </si>
  <si>
    <t>15010110616</t>
  </si>
  <si>
    <t>边娜</t>
  </si>
  <si>
    <t>15010110617</t>
  </si>
  <si>
    <t>张鑫宇</t>
  </si>
  <si>
    <t>15010110618</t>
  </si>
  <si>
    <t>张赟霞</t>
  </si>
  <si>
    <t>15010110619</t>
  </si>
  <si>
    <t>张呈如</t>
  </si>
  <si>
    <t>15010110620</t>
  </si>
  <si>
    <t>解春宇</t>
  </si>
  <si>
    <t>15010110621</t>
  </si>
  <si>
    <t>朱亭</t>
  </si>
  <si>
    <t>15010110622</t>
  </si>
  <si>
    <t>解倩</t>
  </si>
  <si>
    <t>15010110623</t>
  </si>
  <si>
    <t>高欣月</t>
  </si>
  <si>
    <t>15010110624</t>
  </si>
  <si>
    <t>王浩</t>
  </si>
  <si>
    <t>15010110625</t>
  </si>
  <si>
    <t>王璐</t>
  </si>
  <si>
    <t>15010110626</t>
  </si>
  <si>
    <t>郝艳霞</t>
  </si>
  <si>
    <t>15010110627</t>
  </si>
  <si>
    <t>樊毅</t>
  </si>
  <si>
    <t>15010110628</t>
  </si>
  <si>
    <t>白璐</t>
  </si>
  <si>
    <t>15010110629</t>
  </si>
  <si>
    <t>刘雪娜</t>
  </si>
  <si>
    <t>15010110630</t>
  </si>
  <si>
    <t>邱宝</t>
  </si>
  <si>
    <t>15010110701</t>
  </si>
  <si>
    <t>15010110702</t>
  </si>
  <si>
    <t>李玲</t>
  </si>
  <si>
    <t>15010110703</t>
  </si>
  <si>
    <t>刘晓叶</t>
  </si>
  <si>
    <t>15010110704</t>
  </si>
  <si>
    <t>戴璐</t>
  </si>
  <si>
    <t>15010110705</t>
  </si>
  <si>
    <t>呼必斯嘎拉</t>
  </si>
  <si>
    <t>15010110706</t>
  </si>
  <si>
    <t>李婧瑶</t>
  </si>
  <si>
    <t>15010110707</t>
  </si>
  <si>
    <t>耿玲</t>
  </si>
  <si>
    <t>15010110708</t>
  </si>
  <si>
    <t>訾丹</t>
  </si>
  <si>
    <t>15010110709</t>
  </si>
  <si>
    <t>翟英杰</t>
  </si>
  <si>
    <t>15010110710</t>
  </si>
  <si>
    <t>杨宇</t>
  </si>
  <si>
    <t>15010110711</t>
  </si>
  <si>
    <t>杨贺</t>
  </si>
  <si>
    <t>15010110712</t>
  </si>
  <si>
    <t>薛小燕</t>
  </si>
  <si>
    <t>15010110713</t>
  </si>
  <si>
    <t>越亮</t>
  </si>
  <si>
    <t>15010110714</t>
  </si>
  <si>
    <t>刘宇</t>
  </si>
  <si>
    <t>15010110715</t>
  </si>
  <si>
    <t>15010110716</t>
  </si>
  <si>
    <t>赵婷</t>
  </si>
  <si>
    <t>15010110717</t>
  </si>
  <si>
    <t>杨晓婷</t>
  </si>
  <si>
    <t>15010110718</t>
  </si>
  <si>
    <t>何伟</t>
  </si>
  <si>
    <t>15010110719</t>
  </si>
  <si>
    <t>王帅</t>
  </si>
  <si>
    <t>15010110720</t>
  </si>
  <si>
    <t>张仙瑞</t>
  </si>
  <si>
    <t>15010110721</t>
  </si>
  <si>
    <t>郭霞</t>
  </si>
  <si>
    <t>15010110722</t>
  </si>
  <si>
    <t>温磊</t>
  </si>
  <si>
    <t>15010110723</t>
  </si>
  <si>
    <t>崔海龙</t>
  </si>
  <si>
    <t>15010110724</t>
  </si>
  <si>
    <t>李健</t>
  </si>
  <si>
    <t>15010110725</t>
  </si>
  <si>
    <t>许云</t>
  </si>
  <si>
    <t>15010110726</t>
  </si>
  <si>
    <t>高丽霞</t>
  </si>
  <si>
    <t>15010110727</t>
  </si>
  <si>
    <t>郭引引</t>
  </si>
  <si>
    <t>15010110728</t>
  </si>
  <si>
    <t>刘岗强</t>
  </si>
  <si>
    <t>15010110729</t>
  </si>
  <si>
    <t>呼雪珂</t>
  </si>
  <si>
    <t>15010110730</t>
  </si>
  <si>
    <t>刘洋</t>
  </si>
  <si>
    <t>15010110801</t>
  </si>
  <si>
    <t>张雅娟</t>
  </si>
  <si>
    <t>15010110802</t>
  </si>
  <si>
    <t>刘慧</t>
  </si>
  <si>
    <t>15010110803</t>
  </si>
  <si>
    <t>呼日木斯塔</t>
  </si>
  <si>
    <t>15010110804</t>
  </si>
  <si>
    <t>张轩榕</t>
  </si>
  <si>
    <t>15010110805</t>
  </si>
  <si>
    <t>15010110806</t>
  </si>
  <si>
    <t>郭晓宏</t>
  </si>
  <si>
    <t>15010110807</t>
  </si>
  <si>
    <t>杨花</t>
  </si>
  <si>
    <t>15010110808</t>
  </si>
  <si>
    <t>15010110809</t>
  </si>
  <si>
    <t>张骞</t>
  </si>
  <si>
    <t>15010110810</t>
  </si>
  <si>
    <t>李敏</t>
  </si>
  <si>
    <t>15010110811</t>
  </si>
  <si>
    <t>高俊霞</t>
  </si>
  <si>
    <t>15010110812</t>
  </si>
  <si>
    <t>乔慧耀</t>
  </si>
  <si>
    <t>15010110813</t>
  </si>
  <si>
    <t>郭涛源</t>
  </si>
  <si>
    <t>15010110814</t>
  </si>
  <si>
    <t>王钰雯</t>
  </si>
  <si>
    <t>15010110815</t>
  </si>
  <si>
    <t>李晓慧</t>
  </si>
  <si>
    <t>15010110816</t>
  </si>
  <si>
    <t>訾可琛</t>
  </si>
  <si>
    <t>15010110817</t>
  </si>
  <si>
    <t>闫娜</t>
  </si>
  <si>
    <t>15010110818</t>
  </si>
  <si>
    <t>罗丹</t>
  </si>
  <si>
    <t>15010110819</t>
  </si>
  <si>
    <t>15010110820</t>
  </si>
  <si>
    <t>朱泽慧</t>
  </si>
  <si>
    <t>15010110821</t>
  </si>
  <si>
    <t>张月</t>
  </si>
  <si>
    <t>15010110822</t>
  </si>
  <si>
    <t>王瑞</t>
  </si>
  <si>
    <t>15010110823</t>
  </si>
  <si>
    <t>郭政达</t>
  </si>
  <si>
    <t>15010110824</t>
  </si>
  <si>
    <t>乔璐</t>
  </si>
  <si>
    <t>15010110825</t>
  </si>
  <si>
    <t>马瑞</t>
  </si>
  <si>
    <t>15010110826</t>
  </si>
  <si>
    <t>孙雅娜</t>
  </si>
  <si>
    <t>15010110827</t>
  </si>
  <si>
    <t>乔廷</t>
  </si>
  <si>
    <t>15010110828</t>
  </si>
  <si>
    <t>贾燕</t>
  </si>
  <si>
    <t>15010110829</t>
  </si>
  <si>
    <t>杨瑞芳</t>
  </si>
  <si>
    <t>15010110830</t>
  </si>
  <si>
    <t>苏艳霞</t>
  </si>
  <si>
    <t>15010110901</t>
  </si>
  <si>
    <t>秦艳</t>
  </si>
  <si>
    <t>15010110902</t>
  </si>
  <si>
    <t>郝乐</t>
  </si>
  <si>
    <t>15010110903</t>
  </si>
  <si>
    <t>王曈宇</t>
  </si>
  <si>
    <t>15010110904</t>
  </si>
  <si>
    <t>杨慧</t>
  </si>
  <si>
    <t>15010110905</t>
  </si>
  <si>
    <t>郭世刚</t>
  </si>
  <si>
    <t>15010110906</t>
  </si>
  <si>
    <t>周蕾</t>
  </si>
  <si>
    <t>15010110907</t>
  </si>
  <si>
    <t>15010110908</t>
  </si>
  <si>
    <t>杨宇锡</t>
  </si>
  <si>
    <t>15010110909</t>
  </si>
  <si>
    <t>武可昕</t>
  </si>
  <si>
    <t>15010110910</t>
  </si>
  <si>
    <t>徐倩</t>
  </si>
  <si>
    <t>15010110911</t>
  </si>
  <si>
    <t>李慧瑶</t>
  </si>
  <si>
    <t>15010110912</t>
  </si>
  <si>
    <t>15010110913</t>
  </si>
  <si>
    <t>15010110914</t>
  </si>
  <si>
    <t>刘向宇</t>
  </si>
  <si>
    <t>15010110915</t>
  </si>
  <si>
    <t>李渊丽</t>
  </si>
  <si>
    <t>15010110916</t>
  </si>
  <si>
    <t>苏娜</t>
  </si>
  <si>
    <t>15010110917</t>
  </si>
  <si>
    <t>刘雨</t>
  </si>
  <si>
    <t>15010110918</t>
  </si>
  <si>
    <t>15010110919</t>
  </si>
  <si>
    <t>张枫</t>
  </si>
  <si>
    <t>15010110920</t>
  </si>
  <si>
    <t>孙丽茹</t>
  </si>
  <si>
    <t>15010110921</t>
  </si>
  <si>
    <t>闫雄</t>
  </si>
  <si>
    <t>15010110922</t>
  </si>
  <si>
    <t>乔荣</t>
  </si>
  <si>
    <t>15010110923</t>
  </si>
  <si>
    <t>刘宇星</t>
  </si>
  <si>
    <t>15010110924</t>
  </si>
  <si>
    <t>刘川</t>
  </si>
  <si>
    <t>15010110925</t>
  </si>
  <si>
    <t>高婧娟</t>
  </si>
  <si>
    <t>15010110926</t>
  </si>
  <si>
    <t>15010110927</t>
  </si>
  <si>
    <t>李婷婷</t>
  </si>
  <si>
    <t>15010110928</t>
  </si>
  <si>
    <t>杨娜</t>
  </si>
  <si>
    <t>15010110929</t>
  </si>
  <si>
    <t>孟宇</t>
  </si>
  <si>
    <t>15010110930</t>
  </si>
  <si>
    <t>李燕</t>
  </si>
  <si>
    <t>15010111001</t>
  </si>
  <si>
    <t>梁欢</t>
  </si>
  <si>
    <t>15010111002</t>
  </si>
  <si>
    <t>安学荣</t>
  </si>
  <si>
    <t>15010111003</t>
  </si>
  <si>
    <t>郭松涛</t>
  </si>
  <si>
    <t>15010111004</t>
  </si>
  <si>
    <t>张露</t>
  </si>
  <si>
    <t>15010111005</t>
  </si>
  <si>
    <t>赵惠柳</t>
  </si>
  <si>
    <t>15010111006</t>
  </si>
  <si>
    <t>王冬梅</t>
  </si>
  <si>
    <t>15010111007</t>
  </si>
  <si>
    <t>李铁檩</t>
  </si>
  <si>
    <t>15010111008</t>
  </si>
  <si>
    <t>杨倩</t>
  </si>
  <si>
    <t>15010111009</t>
  </si>
  <si>
    <t>王巧玲</t>
  </si>
  <si>
    <t>15010111010</t>
  </si>
  <si>
    <t>赵星月</t>
  </si>
  <si>
    <t>15010111011</t>
  </si>
  <si>
    <t>高翔</t>
  </si>
  <si>
    <t>15010111012</t>
  </si>
  <si>
    <t>白旭荣</t>
  </si>
  <si>
    <t>15010111013</t>
  </si>
  <si>
    <t>越慧</t>
  </si>
  <si>
    <t>15010111014</t>
  </si>
  <si>
    <t>王宇涛</t>
  </si>
  <si>
    <t>15010111015</t>
  </si>
  <si>
    <t>袁源</t>
  </si>
  <si>
    <t>15010111016</t>
  </si>
  <si>
    <t>何鑫慧</t>
  </si>
  <si>
    <t>15010111017</t>
  </si>
  <si>
    <t>米慧</t>
  </si>
  <si>
    <t>15010111018</t>
  </si>
  <si>
    <t>张玲玲</t>
  </si>
  <si>
    <t>15010111019</t>
  </si>
  <si>
    <t>刘鑫</t>
  </si>
  <si>
    <t>15010111020</t>
  </si>
  <si>
    <t>吴玉杰</t>
  </si>
  <si>
    <t>15010111021</t>
  </si>
  <si>
    <t>张校校</t>
  </si>
  <si>
    <t>15010111022</t>
  </si>
  <si>
    <t>李娟</t>
  </si>
  <si>
    <t>15010111023</t>
  </si>
  <si>
    <t>李艳莹</t>
  </si>
  <si>
    <t>15010111024</t>
  </si>
  <si>
    <t>康斌</t>
  </si>
  <si>
    <t>15010111025</t>
  </si>
  <si>
    <t>张春艳</t>
  </si>
  <si>
    <t>15010111026</t>
  </si>
  <si>
    <t>曹慧</t>
  </si>
  <si>
    <t>15010111027</t>
  </si>
  <si>
    <t>15010111028</t>
  </si>
  <si>
    <t>蔺蓉</t>
  </si>
  <si>
    <t>15010111029</t>
  </si>
  <si>
    <t>张春娜</t>
  </si>
  <si>
    <t>15010111030</t>
  </si>
  <si>
    <t>訾腾</t>
  </si>
  <si>
    <t>15010111101</t>
  </si>
  <si>
    <t>秦丽</t>
  </si>
  <si>
    <t>15010111102</t>
  </si>
  <si>
    <t>李慧芳</t>
  </si>
  <si>
    <t>15010111103</t>
  </si>
  <si>
    <t>杨雪峰</t>
  </si>
  <si>
    <t>15010111104</t>
  </si>
  <si>
    <t>张建平</t>
  </si>
  <si>
    <t>15010111105</t>
  </si>
  <si>
    <t>李雨</t>
  </si>
  <si>
    <t>15010111106</t>
  </si>
  <si>
    <t>李娜</t>
  </si>
  <si>
    <t>15010111107</t>
  </si>
  <si>
    <t>贾娜</t>
  </si>
  <si>
    <t>15010111108</t>
  </si>
  <si>
    <t>贾可</t>
  </si>
  <si>
    <t>15010111109</t>
  </si>
  <si>
    <t>郝璐</t>
  </si>
  <si>
    <t>15010111110</t>
  </si>
  <si>
    <t>吴亚鑫</t>
  </si>
  <si>
    <t>15010111111</t>
  </si>
  <si>
    <t>郭娜</t>
  </si>
  <si>
    <t>15010111112</t>
  </si>
  <si>
    <t>张磊</t>
  </si>
  <si>
    <t>15010111113</t>
  </si>
  <si>
    <t>丁愉深</t>
  </si>
  <si>
    <t>15010111114</t>
  </si>
  <si>
    <t>牛峥</t>
  </si>
  <si>
    <t>15010111115</t>
  </si>
  <si>
    <t>兰星宜</t>
  </si>
  <si>
    <t>15010111116</t>
  </si>
  <si>
    <t>杨舜宇</t>
  </si>
  <si>
    <t>15010111117</t>
  </si>
  <si>
    <t>陈岳林</t>
  </si>
  <si>
    <t>15010111118</t>
  </si>
  <si>
    <t>15010111119</t>
  </si>
  <si>
    <t>张慧</t>
  </si>
  <si>
    <t>15010111120</t>
  </si>
  <si>
    <t>刘慧军</t>
  </si>
  <si>
    <t>15010111121</t>
  </si>
  <si>
    <t>孙鹏</t>
  </si>
  <si>
    <t>15010111122</t>
  </si>
  <si>
    <t>张妤婕</t>
  </si>
  <si>
    <t>15010111123</t>
  </si>
  <si>
    <t>王赫乾</t>
  </si>
  <si>
    <t>15010111124</t>
  </si>
  <si>
    <t>乌日汗</t>
  </si>
  <si>
    <t>15010111125</t>
  </si>
  <si>
    <t>郭媛</t>
  </si>
  <si>
    <t>15010111126</t>
  </si>
  <si>
    <t>张作宇</t>
  </si>
  <si>
    <t>15010111127</t>
  </si>
  <si>
    <t>白鹏</t>
  </si>
  <si>
    <t>15010111128</t>
  </si>
  <si>
    <t>孟欢</t>
  </si>
  <si>
    <t>15010111129</t>
  </si>
  <si>
    <t>尚磊</t>
  </si>
  <si>
    <t>15010111130</t>
  </si>
  <si>
    <t>白欢力</t>
  </si>
  <si>
    <t>15010111201</t>
  </si>
  <si>
    <t>郭敏</t>
  </si>
  <si>
    <t>15010111202</t>
  </si>
  <si>
    <t>王伟</t>
  </si>
  <si>
    <t>15010111203</t>
  </si>
  <si>
    <t>李鹏</t>
  </si>
  <si>
    <t>15010111204</t>
  </si>
  <si>
    <t>苏荣</t>
  </si>
  <si>
    <t>15010111205</t>
  </si>
  <si>
    <t>高媛</t>
  </si>
  <si>
    <t>15010111206</t>
  </si>
  <si>
    <t>杨宇玲</t>
  </si>
  <si>
    <t>15010111207</t>
  </si>
  <si>
    <t>李中辉</t>
  </si>
  <si>
    <t>15010111208</t>
  </si>
  <si>
    <t>15010111209</t>
  </si>
  <si>
    <t>乔敏</t>
  </si>
  <si>
    <t>15010111210</t>
  </si>
  <si>
    <t>李慧姣</t>
  </si>
  <si>
    <t>15010111211</t>
  </si>
  <si>
    <t>田瑞</t>
  </si>
  <si>
    <t>15010111212</t>
  </si>
  <si>
    <t>肖娜</t>
  </si>
  <si>
    <t>15010111213</t>
  </si>
  <si>
    <t>杨丹荣</t>
  </si>
  <si>
    <t>15010111214</t>
  </si>
  <si>
    <t>马玮</t>
  </si>
  <si>
    <t>15010111215</t>
  </si>
  <si>
    <t>杨宁</t>
  </si>
  <si>
    <t>15010111216</t>
  </si>
  <si>
    <t>张好</t>
  </si>
  <si>
    <t>15010111217</t>
  </si>
  <si>
    <t>白秀萍</t>
  </si>
  <si>
    <t>15010111218</t>
  </si>
  <si>
    <t>杨媛媛</t>
  </si>
  <si>
    <t>15010111219</t>
  </si>
  <si>
    <t>张存瑞</t>
  </si>
  <si>
    <t>15010111220</t>
  </si>
  <si>
    <t>苏宇</t>
  </si>
  <si>
    <t>15010111221</t>
  </si>
  <si>
    <t>15010111222</t>
  </si>
  <si>
    <t>王鑫宇</t>
  </si>
  <si>
    <t>15010111223</t>
  </si>
  <si>
    <t>郝家卉</t>
  </si>
  <si>
    <t>15010111224</t>
  </si>
  <si>
    <t>15010111225</t>
  </si>
  <si>
    <t>王娟</t>
  </si>
  <si>
    <t>15010111226</t>
  </si>
  <si>
    <t>崔慧</t>
  </si>
  <si>
    <t>15010111227</t>
  </si>
  <si>
    <t>陈慧</t>
  </si>
  <si>
    <t>15010111228</t>
  </si>
  <si>
    <t>王彬霖</t>
  </si>
  <si>
    <t>15010111229</t>
  </si>
  <si>
    <t>15010111230</t>
  </si>
  <si>
    <t>袁艳萍</t>
  </si>
  <si>
    <t>15010111301</t>
  </si>
  <si>
    <t>李圆浩</t>
  </si>
  <si>
    <t>15010111302</t>
  </si>
  <si>
    <t>王陛臣</t>
  </si>
  <si>
    <t>15010111303</t>
  </si>
  <si>
    <t>15010111304</t>
  </si>
  <si>
    <t>刘佳宁</t>
  </si>
  <si>
    <t>15010111305</t>
  </si>
  <si>
    <t>呼云霞</t>
  </si>
  <si>
    <t>15010111306</t>
  </si>
  <si>
    <t>耿小宇</t>
  </si>
  <si>
    <t>15010111307</t>
  </si>
  <si>
    <t>乔巍</t>
  </si>
  <si>
    <t>15010111308</t>
  </si>
  <si>
    <t>黄倩</t>
  </si>
  <si>
    <t>15010111309</t>
  </si>
  <si>
    <t>宋娜</t>
  </si>
  <si>
    <t>15010111310</t>
  </si>
  <si>
    <t>鲍燕</t>
  </si>
  <si>
    <t>15010111311</t>
  </si>
  <si>
    <t>闫金龙</t>
  </si>
  <si>
    <t>15010111312</t>
  </si>
  <si>
    <t>胡秀兰</t>
  </si>
  <si>
    <t>15010111313</t>
  </si>
  <si>
    <t>马庭</t>
  </si>
  <si>
    <t>15010111314</t>
  </si>
  <si>
    <t>15010111315</t>
  </si>
  <si>
    <t>高浩宇</t>
  </si>
  <si>
    <t>15010111316</t>
  </si>
  <si>
    <t>朱鹏智</t>
  </si>
  <si>
    <t>15010111317</t>
  </si>
  <si>
    <t>高晓慧</t>
  </si>
  <si>
    <t>15010111318</t>
  </si>
  <si>
    <t>马颢荣</t>
  </si>
  <si>
    <t>15010111319</t>
  </si>
  <si>
    <t>15010111320</t>
  </si>
  <si>
    <t>李旭新</t>
  </si>
  <si>
    <t>15010111321</t>
  </si>
  <si>
    <t>王晓婕</t>
  </si>
  <si>
    <t>15010111322</t>
  </si>
  <si>
    <t>段瑞</t>
  </si>
  <si>
    <t>15010111323</t>
  </si>
  <si>
    <t>弓伟</t>
  </si>
  <si>
    <t>15010111324</t>
  </si>
  <si>
    <t>15010111325</t>
  </si>
  <si>
    <t>杨海霞</t>
  </si>
  <si>
    <t>15010111326</t>
  </si>
  <si>
    <t>白桂莲</t>
  </si>
  <si>
    <t>15010111327</t>
  </si>
  <si>
    <t>赵红艳</t>
  </si>
  <si>
    <t>15010111328</t>
  </si>
  <si>
    <t>宋露敏</t>
  </si>
  <si>
    <t>15010111329</t>
  </si>
  <si>
    <t>杜禹萱</t>
  </si>
  <si>
    <t>15010111330</t>
  </si>
  <si>
    <t>杨艳</t>
  </si>
  <si>
    <t>15010111401</t>
  </si>
  <si>
    <t>刘汇江</t>
  </si>
  <si>
    <t>15010111402</t>
  </si>
  <si>
    <t>郝丽丽</t>
  </si>
  <si>
    <t>15010111403</t>
  </si>
  <si>
    <t>武天天</t>
  </si>
  <si>
    <t>15010111404</t>
  </si>
  <si>
    <t>李丹</t>
  </si>
  <si>
    <t>15010111405</t>
  </si>
  <si>
    <t>王智鹏</t>
  </si>
  <si>
    <t>15010111406</t>
  </si>
  <si>
    <t>崔艳</t>
  </si>
  <si>
    <t>15010111407</t>
  </si>
  <si>
    <t>杨科</t>
  </si>
  <si>
    <t>15010111408</t>
  </si>
  <si>
    <t>白茹</t>
  </si>
  <si>
    <t>15010111409</t>
  </si>
  <si>
    <t>郭俊霞</t>
  </si>
  <si>
    <t>15010111410</t>
  </si>
  <si>
    <t>15010111411</t>
  </si>
  <si>
    <t>贾蓓蓓</t>
  </si>
  <si>
    <t>15010111412</t>
  </si>
  <si>
    <t>刘佳宇</t>
  </si>
  <si>
    <t>15010111413</t>
  </si>
  <si>
    <t>刘叶</t>
  </si>
  <si>
    <t>15010111414</t>
  </si>
  <si>
    <t>张媛</t>
  </si>
  <si>
    <t>15010111415</t>
  </si>
  <si>
    <t>杨丽娜</t>
  </si>
  <si>
    <t>15010111416</t>
  </si>
  <si>
    <t>李宇</t>
  </si>
  <si>
    <t>15010111417</t>
  </si>
  <si>
    <t>徐娜</t>
  </si>
  <si>
    <t>15010111418</t>
  </si>
  <si>
    <t>15010111419</t>
  </si>
  <si>
    <t>韩丽媛</t>
  </si>
  <si>
    <t>15010111420</t>
  </si>
  <si>
    <t>张军</t>
  </si>
  <si>
    <t>15010111421</t>
  </si>
  <si>
    <t>杨丽</t>
  </si>
  <si>
    <t>15010111422</t>
  </si>
  <si>
    <t>赵丹</t>
  </si>
  <si>
    <t>15010111423</t>
  </si>
  <si>
    <t>15010111424</t>
  </si>
  <si>
    <t>越圣洁</t>
  </si>
  <si>
    <t>15010111425</t>
  </si>
  <si>
    <t>刘璐阳</t>
  </si>
  <si>
    <t>15010111426</t>
  </si>
  <si>
    <t>高新</t>
  </si>
  <si>
    <t>15010111427</t>
  </si>
  <si>
    <t>倪震宇</t>
  </si>
  <si>
    <t>15010111428</t>
  </si>
  <si>
    <t>15010111429</t>
  </si>
  <si>
    <t>麻伟</t>
  </si>
  <si>
    <t>15010111430</t>
  </si>
  <si>
    <t>崔旭超</t>
  </si>
  <si>
    <t>15010111501</t>
  </si>
  <si>
    <t>郭娜娜</t>
  </si>
  <si>
    <t>15010111502</t>
  </si>
  <si>
    <t>王园园</t>
  </si>
  <si>
    <t>15010111503</t>
  </si>
  <si>
    <t>刘昕业</t>
  </si>
  <si>
    <t>15010111504</t>
  </si>
  <si>
    <t>白瑞</t>
  </si>
  <si>
    <t>15010111505</t>
  </si>
  <si>
    <t>赵星</t>
  </si>
  <si>
    <t>15010111506</t>
  </si>
  <si>
    <t>解小艳</t>
  </si>
  <si>
    <t>15010111507</t>
  </si>
  <si>
    <t>张森娜</t>
  </si>
  <si>
    <t>15010111508</t>
  </si>
  <si>
    <t>王鑫鑫</t>
  </si>
  <si>
    <t>15010111509</t>
  </si>
  <si>
    <t>刘蓉</t>
  </si>
  <si>
    <t>15010111510</t>
  </si>
  <si>
    <t>刘婧雯</t>
  </si>
  <si>
    <t>15010111511</t>
  </si>
  <si>
    <t>杨敏</t>
  </si>
  <si>
    <t>15010111512</t>
  </si>
  <si>
    <t>李慧</t>
  </si>
  <si>
    <t>15010111513</t>
  </si>
  <si>
    <t>王鑫</t>
  </si>
  <si>
    <t>15010111514</t>
  </si>
  <si>
    <t>解婷</t>
  </si>
  <si>
    <t>15010111515</t>
  </si>
  <si>
    <t>冯慧</t>
  </si>
  <si>
    <t>15010111516</t>
  </si>
  <si>
    <t>白鹭</t>
  </si>
  <si>
    <t>15010111517</t>
  </si>
  <si>
    <t>慕江</t>
  </si>
  <si>
    <t>15010111518</t>
  </si>
  <si>
    <t>15010111519</t>
  </si>
  <si>
    <t>宋哲</t>
  </si>
  <si>
    <t>15010111520</t>
  </si>
  <si>
    <t>郝建军</t>
  </si>
  <si>
    <t>15010111521</t>
  </si>
  <si>
    <t>刘瑞秀</t>
  </si>
  <si>
    <t>15010111522</t>
  </si>
  <si>
    <t>麻宇</t>
  </si>
  <si>
    <t>15010111523</t>
  </si>
  <si>
    <t>孙向晨</t>
  </si>
  <si>
    <t>15010111524</t>
  </si>
  <si>
    <t>15010111525</t>
  </si>
  <si>
    <t>郭鹏</t>
  </si>
  <si>
    <t>15010111526</t>
  </si>
  <si>
    <t>赵刚</t>
  </si>
  <si>
    <t>15010111527</t>
  </si>
  <si>
    <t>李建强</t>
  </si>
  <si>
    <t>15010111528</t>
  </si>
  <si>
    <t>白小丽</t>
  </si>
  <si>
    <t>15010111529</t>
  </si>
  <si>
    <t>15010111530</t>
  </si>
  <si>
    <t>15010111601</t>
  </si>
  <si>
    <t>张伟</t>
  </si>
  <si>
    <t>15010111602</t>
  </si>
  <si>
    <t>韦伟</t>
  </si>
  <si>
    <t>15010111603</t>
  </si>
  <si>
    <t>刘晋宇</t>
  </si>
  <si>
    <t>15010111604</t>
  </si>
  <si>
    <t>郝艳丽</t>
  </si>
  <si>
    <t>15010111605</t>
  </si>
  <si>
    <t>张书苑</t>
  </si>
  <si>
    <t>15010111606</t>
  </si>
  <si>
    <t>王丹</t>
  </si>
  <si>
    <t>15010111607</t>
  </si>
  <si>
    <t>15010111608</t>
  </si>
  <si>
    <t>孙原</t>
  </si>
  <si>
    <t>15010111609</t>
  </si>
  <si>
    <t>刘红婕</t>
  </si>
  <si>
    <t>15010111610</t>
  </si>
  <si>
    <t>王浩宇</t>
  </si>
  <si>
    <t>15010111611</t>
  </si>
  <si>
    <t>刘亭</t>
  </si>
  <si>
    <t>15010111612</t>
  </si>
  <si>
    <t>刘淑君</t>
  </si>
  <si>
    <t>15010111613</t>
  </si>
  <si>
    <t>刘聚方</t>
  </si>
  <si>
    <t>15010111614</t>
  </si>
  <si>
    <t>高燕妮</t>
  </si>
  <si>
    <t>15010111615</t>
  </si>
  <si>
    <t>折婷</t>
  </si>
  <si>
    <t>15010111616</t>
  </si>
  <si>
    <t>冯宇</t>
  </si>
  <si>
    <t>15010111617</t>
  </si>
  <si>
    <t>张宇</t>
  </si>
  <si>
    <t>15010111618</t>
  </si>
  <si>
    <t>雷梦娇</t>
  </si>
  <si>
    <t>15010111619</t>
  </si>
  <si>
    <t>贾小丽</t>
  </si>
  <si>
    <t>15010111620</t>
  </si>
  <si>
    <t>高孜怡</t>
  </si>
  <si>
    <t>15010111621</t>
  </si>
  <si>
    <t>15010111622</t>
  </si>
  <si>
    <t>15010111623</t>
  </si>
  <si>
    <t>刘伟</t>
  </si>
  <si>
    <t>15010111624</t>
  </si>
  <si>
    <t>乔宇</t>
  </si>
  <si>
    <t>15010111625</t>
  </si>
  <si>
    <t>白慧</t>
  </si>
  <si>
    <t>15010111626</t>
  </si>
  <si>
    <t>高远</t>
  </si>
  <si>
    <t>15010111627</t>
  </si>
  <si>
    <t>单丽君</t>
  </si>
  <si>
    <t>15010111628</t>
  </si>
  <si>
    <t>杜丽娜</t>
  </si>
  <si>
    <t>15010111629</t>
  </si>
  <si>
    <t>魏海霞</t>
  </si>
  <si>
    <t>15010111630</t>
  </si>
  <si>
    <t>高涛</t>
  </si>
  <si>
    <t>15010111701</t>
  </si>
  <si>
    <t>李欣</t>
  </si>
  <si>
    <t>15010111702</t>
  </si>
  <si>
    <t>温普星</t>
  </si>
  <si>
    <t>15010111703</t>
  </si>
  <si>
    <t>杨阳</t>
  </si>
  <si>
    <t>15010111704</t>
  </si>
  <si>
    <t>15010111705</t>
  </si>
  <si>
    <t>卢英杰</t>
  </si>
  <si>
    <t>15010111706</t>
  </si>
  <si>
    <t>刘燕</t>
  </si>
  <si>
    <t>15010111707</t>
  </si>
  <si>
    <t>任静</t>
  </si>
  <si>
    <t>15010111708</t>
  </si>
  <si>
    <t>方郑杰</t>
  </si>
  <si>
    <t>15010111709</t>
  </si>
  <si>
    <t>李秀琴</t>
  </si>
  <si>
    <t>15010111710</t>
  </si>
  <si>
    <t>王健</t>
  </si>
  <si>
    <t>15010111711</t>
  </si>
  <si>
    <t>15010111712</t>
  </si>
  <si>
    <t>雷雨</t>
  </si>
  <si>
    <t>15010111713</t>
  </si>
  <si>
    <t>王鹿</t>
  </si>
  <si>
    <t>15010111714</t>
  </si>
  <si>
    <t>郭海龙</t>
  </si>
  <si>
    <t>15010111715</t>
  </si>
  <si>
    <t>杨静</t>
  </si>
  <si>
    <t>15010111716</t>
  </si>
  <si>
    <t>袁媛</t>
  </si>
  <si>
    <t>15010111717</t>
  </si>
  <si>
    <t>余志伟</t>
  </si>
  <si>
    <t>15010111718</t>
  </si>
  <si>
    <t>15010111719</t>
  </si>
  <si>
    <t>呼晓艳</t>
  </si>
  <si>
    <t>15010111720</t>
  </si>
  <si>
    <t>15010111721</t>
  </si>
  <si>
    <t>杨秀娟</t>
  </si>
  <si>
    <t>15010111722</t>
  </si>
  <si>
    <t>郁摇蓝</t>
  </si>
  <si>
    <t>15010111723</t>
  </si>
  <si>
    <t>王平</t>
  </si>
  <si>
    <t>15010111724</t>
  </si>
  <si>
    <t>吴柄渐</t>
  </si>
  <si>
    <t>15010111725</t>
  </si>
  <si>
    <t>孟淑婷</t>
  </si>
  <si>
    <t>15010111726</t>
  </si>
  <si>
    <t>王玉</t>
  </si>
  <si>
    <t>15010111727</t>
  </si>
  <si>
    <t>郭小宇</t>
  </si>
  <si>
    <t>15010111728</t>
  </si>
  <si>
    <t>张宁</t>
  </si>
  <si>
    <t>15010111729</t>
  </si>
  <si>
    <t>马丽芳</t>
  </si>
  <si>
    <t>15010111730</t>
  </si>
  <si>
    <t>15010111801</t>
  </si>
  <si>
    <t>王乐</t>
  </si>
  <si>
    <t>15010111802</t>
  </si>
  <si>
    <t>谢彩虹</t>
  </si>
  <si>
    <t>15010111803</t>
  </si>
  <si>
    <t>杨凯宁</t>
  </si>
  <si>
    <t>15010111804</t>
  </si>
  <si>
    <t>张姝云</t>
  </si>
  <si>
    <t>15010111805</t>
  </si>
  <si>
    <t>郁巴根</t>
  </si>
  <si>
    <t>15010111806</t>
  </si>
  <si>
    <t>尚玉龙</t>
  </si>
  <si>
    <t>15010111807</t>
  </si>
  <si>
    <t>冯瑞玲</t>
  </si>
  <si>
    <t>15010111808</t>
  </si>
  <si>
    <t>李鹏飞</t>
  </si>
  <si>
    <t>15010111809</t>
  </si>
  <si>
    <t>15010111810</t>
  </si>
  <si>
    <t>解敏</t>
  </si>
  <si>
    <t>15010111811</t>
  </si>
  <si>
    <t>刘妮</t>
  </si>
  <si>
    <t>15010111812</t>
  </si>
  <si>
    <t>高明</t>
  </si>
  <si>
    <t>15010111813</t>
  </si>
  <si>
    <t>温可安</t>
  </si>
  <si>
    <t>15010111814</t>
  </si>
  <si>
    <t>李乐</t>
  </si>
  <si>
    <t>15010111815</t>
  </si>
  <si>
    <t>李浩</t>
  </si>
  <si>
    <t>15010111816</t>
  </si>
  <si>
    <t>郝红红</t>
  </si>
  <si>
    <t>15010111817</t>
  </si>
  <si>
    <t>张科</t>
  </si>
  <si>
    <t>15010111818</t>
  </si>
  <si>
    <t>15010111819</t>
  </si>
  <si>
    <t>15010111820</t>
  </si>
  <si>
    <t>杨小龙</t>
  </si>
  <si>
    <t>15010111821</t>
  </si>
  <si>
    <t>王虎</t>
  </si>
  <si>
    <t>15010111822</t>
  </si>
  <si>
    <t>贾敏</t>
  </si>
  <si>
    <t>15010111823</t>
  </si>
  <si>
    <t>卜珍妮</t>
  </si>
  <si>
    <t>15010111824</t>
  </si>
  <si>
    <t>宋璐</t>
  </si>
  <si>
    <t>15010111825</t>
  </si>
  <si>
    <t>杨鲜</t>
  </si>
  <si>
    <t>15010111826</t>
  </si>
  <si>
    <t>闫红丽</t>
  </si>
  <si>
    <t>15010111827</t>
  </si>
  <si>
    <t>杜桂玲</t>
  </si>
  <si>
    <t>15010111828</t>
  </si>
  <si>
    <t>15010111829</t>
  </si>
  <si>
    <t>李艳庭</t>
  </si>
  <si>
    <t>15010111830</t>
  </si>
  <si>
    <t>杨国浩</t>
  </si>
  <si>
    <t>15010111901</t>
  </si>
  <si>
    <t>高飞</t>
  </si>
  <si>
    <t>15010111902</t>
  </si>
  <si>
    <t>訾艺璇</t>
  </si>
  <si>
    <t>15010111903</t>
  </si>
  <si>
    <t>王志刚</t>
  </si>
  <si>
    <t>15010111904</t>
  </si>
  <si>
    <t>王淑娟</t>
  </si>
  <si>
    <t>15010111905</t>
  </si>
  <si>
    <t>陆美丽</t>
  </si>
  <si>
    <t>15010111906</t>
  </si>
  <si>
    <t>尚佩颖</t>
  </si>
  <si>
    <t>15010111907</t>
  </si>
  <si>
    <t>高改过</t>
  </si>
  <si>
    <t>15010111908</t>
  </si>
  <si>
    <t>15010111909</t>
  </si>
  <si>
    <t>李慧娟</t>
  </si>
  <si>
    <t>15010111910</t>
  </si>
  <si>
    <t>杨锦秀</t>
  </si>
  <si>
    <t>15010111911</t>
  </si>
  <si>
    <t>郝哲</t>
  </si>
  <si>
    <t>15010111912</t>
  </si>
  <si>
    <t>袁鑫远</t>
  </si>
  <si>
    <t>15010111913</t>
  </si>
  <si>
    <t>杨志敏</t>
  </si>
  <si>
    <t>15010111914</t>
  </si>
  <si>
    <t>吴宇皓</t>
  </si>
  <si>
    <t>15010111915</t>
  </si>
  <si>
    <t>曹宇</t>
  </si>
  <si>
    <t>15010111916</t>
  </si>
  <si>
    <t>曹舒泱</t>
  </si>
  <si>
    <t>15010111917</t>
  </si>
  <si>
    <t>白庭</t>
  </si>
  <si>
    <t>15010111918</t>
  </si>
  <si>
    <t>王彦蓉</t>
  </si>
  <si>
    <t>15010111919</t>
  </si>
  <si>
    <t>张志鹏</t>
  </si>
  <si>
    <t>15010111920</t>
  </si>
  <si>
    <t>15010111921</t>
  </si>
  <si>
    <t>王歆</t>
  </si>
  <si>
    <t>15010111922</t>
  </si>
  <si>
    <t>越红梅</t>
  </si>
  <si>
    <t>15010111923</t>
  </si>
  <si>
    <t>田媛</t>
  </si>
  <si>
    <t>15010111924</t>
  </si>
  <si>
    <t>吴娇娇</t>
  </si>
  <si>
    <t>15010111925</t>
  </si>
  <si>
    <t>张小芬</t>
  </si>
  <si>
    <t>15010111926</t>
  </si>
  <si>
    <t>高圆</t>
  </si>
  <si>
    <t>15010111927</t>
  </si>
  <si>
    <t>贾强</t>
  </si>
  <si>
    <t>15010111928</t>
  </si>
  <si>
    <t>15010111929</t>
  </si>
  <si>
    <t>李晶</t>
  </si>
  <si>
    <t>15010111930</t>
  </si>
  <si>
    <t>秦小雨</t>
  </si>
  <si>
    <t>15010112001</t>
  </si>
  <si>
    <t>尉超</t>
  </si>
  <si>
    <t>15010112002</t>
  </si>
  <si>
    <t>15010112003</t>
  </si>
  <si>
    <t>祁晶</t>
  </si>
  <si>
    <t>15010112004</t>
  </si>
  <si>
    <t>张旭</t>
  </si>
  <si>
    <t>15010112005</t>
  </si>
  <si>
    <t>15010112006</t>
  </si>
  <si>
    <t>訾苑</t>
  </si>
  <si>
    <t>15010112007</t>
  </si>
  <si>
    <t>刘浩东</t>
  </si>
  <si>
    <t>15010112008</t>
  </si>
  <si>
    <t>张晓泽</t>
  </si>
  <si>
    <t>15010112009</t>
  </si>
  <si>
    <t>陈浩</t>
  </si>
  <si>
    <t>15010112010</t>
  </si>
  <si>
    <t>郭宏耀</t>
  </si>
  <si>
    <t>15010112011</t>
  </si>
  <si>
    <t>张澜</t>
  </si>
  <si>
    <t>15010112012</t>
  </si>
  <si>
    <t>郭旭</t>
  </si>
  <si>
    <t>15010112013</t>
  </si>
  <si>
    <t>马慧</t>
  </si>
  <si>
    <t>15010112014</t>
  </si>
  <si>
    <t>李梦瑶</t>
  </si>
  <si>
    <t>15010112015</t>
  </si>
  <si>
    <t>刘星宇</t>
  </si>
  <si>
    <t>15010112016</t>
  </si>
  <si>
    <t>孟馨蕊</t>
  </si>
  <si>
    <t>15010112017</t>
  </si>
  <si>
    <t>田芳</t>
  </si>
  <si>
    <t>15010112018</t>
  </si>
  <si>
    <t>苏媛</t>
  </si>
  <si>
    <t>15010112019</t>
  </si>
  <si>
    <t>王亮</t>
  </si>
  <si>
    <t>15010112020</t>
  </si>
  <si>
    <t>15010112021</t>
  </si>
  <si>
    <t>尔定图</t>
  </si>
  <si>
    <t>15010112022</t>
  </si>
  <si>
    <t>苗艳艳</t>
  </si>
  <si>
    <t>15010112023</t>
  </si>
  <si>
    <t>温志强</t>
  </si>
  <si>
    <t>15010112024</t>
  </si>
  <si>
    <t>杨春鹃</t>
  </si>
  <si>
    <t>15010112025</t>
  </si>
  <si>
    <t>谢鑫</t>
  </si>
  <si>
    <t>15010112026</t>
  </si>
  <si>
    <t>刘荣</t>
  </si>
  <si>
    <t>15010112027</t>
  </si>
  <si>
    <t>呼娜</t>
  </si>
  <si>
    <t>15010112028</t>
  </si>
  <si>
    <t>越慧敏</t>
  </si>
  <si>
    <t>15010112029</t>
  </si>
  <si>
    <t>15010112030</t>
  </si>
  <si>
    <t>康娜</t>
  </si>
  <si>
    <t>15010112101</t>
  </si>
  <si>
    <t>奇智</t>
  </si>
  <si>
    <t>15010112102</t>
  </si>
  <si>
    <t>张焱龙</t>
  </si>
  <si>
    <t>15010112103</t>
  </si>
  <si>
    <t>高龙</t>
  </si>
  <si>
    <t>15010112104</t>
  </si>
  <si>
    <t>王毅</t>
  </si>
  <si>
    <t>15010112105</t>
  </si>
  <si>
    <t>倪浩东</t>
  </si>
  <si>
    <t>15010112106</t>
  </si>
  <si>
    <t>杨其龙</t>
  </si>
  <si>
    <t>15010112107</t>
  </si>
  <si>
    <t>林雪梅</t>
  </si>
  <si>
    <t>15010112108</t>
  </si>
  <si>
    <t>高磊</t>
  </si>
  <si>
    <t>15010112109</t>
  </si>
  <si>
    <t>郭红利</t>
  </si>
  <si>
    <t>15010112110</t>
  </si>
  <si>
    <t>日瓦迪</t>
  </si>
  <si>
    <t>15010112111</t>
  </si>
  <si>
    <t>15010112112</t>
  </si>
  <si>
    <t>邬静</t>
  </si>
  <si>
    <t>15010112113</t>
  </si>
  <si>
    <t>白旭</t>
  </si>
  <si>
    <t>15010112114</t>
  </si>
  <si>
    <t>15010112115</t>
  </si>
  <si>
    <t>杨旭</t>
  </si>
  <si>
    <t>15010112116</t>
  </si>
  <si>
    <t>王凯立</t>
  </si>
  <si>
    <t>15010112117</t>
  </si>
  <si>
    <t>徐婉涵</t>
  </si>
  <si>
    <t>15010112118</t>
  </si>
  <si>
    <t>吕雯雯</t>
  </si>
  <si>
    <t>15010112119</t>
  </si>
  <si>
    <t>马源</t>
  </si>
  <si>
    <t>15010112120</t>
  </si>
  <si>
    <t>张利平</t>
  </si>
  <si>
    <t>15010112121</t>
  </si>
  <si>
    <t>高伟</t>
  </si>
  <si>
    <t>15010112122</t>
  </si>
  <si>
    <t>杨银柱</t>
  </si>
  <si>
    <t>15010112123</t>
  </si>
  <si>
    <t>15010112124</t>
  </si>
  <si>
    <t>薛霞</t>
  </si>
  <si>
    <t>15010112125</t>
  </si>
  <si>
    <t>郭鑫宇</t>
  </si>
  <si>
    <t>15010112126</t>
  </si>
  <si>
    <t>张录</t>
  </si>
  <si>
    <t>15010112127</t>
  </si>
  <si>
    <t>杨帅</t>
  </si>
  <si>
    <t>15010112128</t>
  </si>
  <si>
    <t>樊利强</t>
  </si>
  <si>
    <t>15010112129</t>
  </si>
  <si>
    <t>刘波</t>
  </si>
  <si>
    <t>15010112130</t>
  </si>
  <si>
    <t>15010112201</t>
  </si>
  <si>
    <t>孙睿晗</t>
  </si>
  <si>
    <t>15010112202</t>
  </si>
  <si>
    <t>倪乐</t>
  </si>
  <si>
    <t>15010112203</t>
  </si>
  <si>
    <t>高艳芳</t>
  </si>
  <si>
    <t>15010112204</t>
  </si>
  <si>
    <t>李菲</t>
  </si>
  <si>
    <t>15010112205</t>
  </si>
  <si>
    <t>翟茹</t>
  </si>
  <si>
    <t>15010112206</t>
  </si>
  <si>
    <t>刘宇婷</t>
  </si>
  <si>
    <t>15010112207</t>
  </si>
  <si>
    <t>15010112208</t>
  </si>
  <si>
    <t>王越欣</t>
  </si>
  <si>
    <t>15010112209</t>
  </si>
  <si>
    <t>15010112210</t>
  </si>
  <si>
    <t>丁智军</t>
  </si>
  <si>
    <t>15010112211</t>
  </si>
  <si>
    <t>陈娜</t>
  </si>
  <si>
    <t>15010112212</t>
  </si>
  <si>
    <t>陈敏</t>
  </si>
  <si>
    <t>15010112213</t>
  </si>
  <si>
    <t>井金</t>
  </si>
  <si>
    <t>15010112214</t>
  </si>
  <si>
    <t>王红</t>
  </si>
  <si>
    <t>15010112215</t>
  </si>
  <si>
    <t>王轲欣</t>
  </si>
  <si>
    <t>15010112216</t>
  </si>
  <si>
    <t>张瑞梅</t>
  </si>
  <si>
    <t>15010112217</t>
  </si>
  <si>
    <t>杜敏</t>
  </si>
  <si>
    <t>15010112218</t>
  </si>
  <si>
    <t>15010112219</t>
  </si>
  <si>
    <t>李洋</t>
  </si>
  <si>
    <t>15010112220</t>
  </si>
  <si>
    <t>任宇</t>
  </si>
  <si>
    <t>15010112221</t>
  </si>
  <si>
    <t>15010112222</t>
  </si>
  <si>
    <t>白帆</t>
  </si>
  <si>
    <t>15010112223</t>
  </si>
  <si>
    <t>李阳</t>
  </si>
  <si>
    <t>15010112224</t>
  </si>
  <si>
    <t>常乐</t>
  </si>
  <si>
    <t>15010112225</t>
  </si>
  <si>
    <t>丁悦</t>
  </si>
  <si>
    <t>15010112226</t>
  </si>
  <si>
    <t>苏日娜</t>
  </si>
  <si>
    <t>15010112227</t>
  </si>
  <si>
    <t>折虎</t>
  </si>
  <si>
    <t>15010112228</t>
  </si>
  <si>
    <t>15010112229</t>
  </si>
  <si>
    <t>郭荣</t>
  </si>
  <si>
    <t>15010112230</t>
  </si>
  <si>
    <t>臧禺达</t>
  </si>
  <si>
    <t>15010112301</t>
  </si>
  <si>
    <t>乔志强</t>
  </si>
  <si>
    <t>15010112302</t>
  </si>
  <si>
    <t>15010112303</t>
  </si>
  <si>
    <t>尚丽</t>
  </si>
  <si>
    <t>15010112304</t>
  </si>
  <si>
    <t>王荣</t>
  </si>
  <si>
    <t>15010112305</t>
  </si>
  <si>
    <t>李明月</t>
  </si>
  <si>
    <t>15010112306</t>
  </si>
  <si>
    <t>杨宏晓</t>
  </si>
  <si>
    <t>15010112307</t>
  </si>
  <si>
    <t>张虹</t>
  </si>
  <si>
    <t>15010112308</t>
  </si>
  <si>
    <t>白海燕</t>
  </si>
  <si>
    <t>15010112309</t>
  </si>
  <si>
    <t>高鹏</t>
  </si>
  <si>
    <t>15010112310</t>
  </si>
  <si>
    <t>李伟</t>
  </si>
  <si>
    <t>15010112311</t>
  </si>
  <si>
    <t>张丽霞</t>
  </si>
  <si>
    <t>15010112312</t>
  </si>
  <si>
    <t>张霞</t>
  </si>
  <si>
    <t>15010112313</t>
  </si>
  <si>
    <t>撖霞</t>
  </si>
  <si>
    <t>15010112314</t>
  </si>
  <si>
    <t>吴越</t>
  </si>
  <si>
    <t>15010112315</t>
  </si>
  <si>
    <t>李腊梅</t>
  </si>
  <si>
    <t>15010112316</t>
  </si>
  <si>
    <t>何欣</t>
  </si>
  <si>
    <t>15010112317</t>
  </si>
  <si>
    <t>王昊</t>
  </si>
  <si>
    <t>15010112318</t>
  </si>
  <si>
    <t>胡白羽</t>
  </si>
  <si>
    <t>15010112319</t>
  </si>
  <si>
    <t>郝宝佳</t>
  </si>
  <si>
    <t>15010112320</t>
  </si>
  <si>
    <t>张文静</t>
  </si>
  <si>
    <t>15010112321</t>
  </si>
  <si>
    <t>楠定</t>
  </si>
  <si>
    <t>15010112322</t>
  </si>
  <si>
    <t>庞璐</t>
  </si>
  <si>
    <t>15010112323</t>
  </si>
  <si>
    <t>王霞</t>
  </si>
  <si>
    <t>15010112324</t>
  </si>
  <si>
    <t>崔鹏羿</t>
  </si>
  <si>
    <t>15010112325</t>
  </si>
  <si>
    <t>刘雨鑫</t>
  </si>
  <si>
    <t>15010112326</t>
  </si>
  <si>
    <t>郭宇容</t>
  </si>
  <si>
    <t>15010112327</t>
  </si>
  <si>
    <t>张栓</t>
  </si>
  <si>
    <t>15010112328</t>
  </si>
  <si>
    <t>15010112329</t>
  </si>
  <si>
    <t>张雪祎</t>
  </si>
  <si>
    <t>15010112330</t>
  </si>
  <si>
    <t>王慧敏</t>
  </si>
  <si>
    <t>15010112401</t>
  </si>
  <si>
    <t>訾宇娇</t>
  </si>
  <si>
    <t>15010112402</t>
  </si>
  <si>
    <t>郝利</t>
  </si>
  <si>
    <t>15010112403</t>
  </si>
  <si>
    <t>兰秉昇</t>
  </si>
  <si>
    <t>15010112404</t>
  </si>
  <si>
    <t>张小凤</t>
  </si>
  <si>
    <t>15010112405</t>
  </si>
  <si>
    <t>白季鑫</t>
  </si>
  <si>
    <t>15010112406</t>
  </si>
  <si>
    <t>郭锦浩</t>
  </si>
  <si>
    <t>15010112407</t>
  </si>
  <si>
    <t>王凯宁</t>
  </si>
  <si>
    <t>15010112408</t>
  </si>
  <si>
    <t>尚鲜梅</t>
  </si>
  <si>
    <t>15010112409</t>
  </si>
  <si>
    <t>董慧</t>
  </si>
  <si>
    <t>15010112410</t>
  </si>
  <si>
    <t>奥艳茹</t>
  </si>
  <si>
    <t>15010112411</t>
  </si>
  <si>
    <t>李耀</t>
  </si>
  <si>
    <t>15010112412</t>
  </si>
  <si>
    <t>王丽</t>
  </si>
  <si>
    <t>15010112413</t>
  </si>
  <si>
    <t>张雨</t>
  </si>
  <si>
    <t>15010112414</t>
  </si>
  <si>
    <t>吴迪</t>
  </si>
  <si>
    <t>15010112415</t>
  </si>
  <si>
    <t>王耀龙</t>
  </si>
  <si>
    <t>15010112416</t>
  </si>
  <si>
    <t>蒋瑶</t>
  </si>
  <si>
    <t>15010112417</t>
  </si>
  <si>
    <t>杨露</t>
  </si>
  <si>
    <t>15010112418</t>
  </si>
  <si>
    <t>王雪</t>
  </si>
  <si>
    <t>15010112419</t>
  </si>
  <si>
    <t>许智敏</t>
  </si>
  <si>
    <t>15010112420</t>
  </si>
  <si>
    <t>屈芳瑞</t>
  </si>
  <si>
    <t>15010112421</t>
  </si>
  <si>
    <t>丁丽</t>
  </si>
  <si>
    <t>15010112422</t>
  </si>
  <si>
    <t>郭忠</t>
  </si>
  <si>
    <t>15010112423</t>
  </si>
  <si>
    <t>徐利军</t>
  </si>
  <si>
    <t>15010112424</t>
  </si>
  <si>
    <t>15010112425</t>
  </si>
  <si>
    <t>袁鲜</t>
  </si>
  <si>
    <t>15010112426</t>
  </si>
  <si>
    <t>郝泰隆</t>
  </si>
  <si>
    <t>15010112427</t>
  </si>
  <si>
    <t>刘艺高</t>
  </si>
  <si>
    <t>15010112428</t>
  </si>
  <si>
    <t>胡少璇</t>
  </si>
  <si>
    <t>15010112429</t>
  </si>
  <si>
    <t>高海波</t>
  </si>
  <si>
    <t>15010112430</t>
  </si>
  <si>
    <t>屈杰</t>
  </si>
  <si>
    <t>15010112501</t>
  </si>
  <si>
    <t>石小云</t>
  </si>
  <si>
    <t>15010112502</t>
  </si>
  <si>
    <t>白向东</t>
  </si>
  <si>
    <t>15010112503</t>
  </si>
  <si>
    <t>王瑞源</t>
  </si>
  <si>
    <t>15010112504</t>
  </si>
  <si>
    <t>韩雨芙</t>
  </si>
  <si>
    <t>15010112505</t>
  </si>
  <si>
    <t>牛玉蓉</t>
  </si>
  <si>
    <t>15010112506</t>
  </si>
  <si>
    <t>燕丽荣</t>
  </si>
  <si>
    <t>15010112507</t>
  </si>
  <si>
    <t>陈璐</t>
  </si>
  <si>
    <t>15010112508</t>
  </si>
  <si>
    <t>郝译东</t>
  </si>
  <si>
    <t>15010112509</t>
  </si>
  <si>
    <t>刘佳</t>
  </si>
  <si>
    <t>15010112510</t>
  </si>
  <si>
    <t>张凤</t>
  </si>
  <si>
    <t>15010112511</t>
  </si>
  <si>
    <t>王露</t>
  </si>
  <si>
    <t>15010112512</t>
  </si>
  <si>
    <t>张健</t>
  </si>
  <si>
    <t>15010112513</t>
  </si>
  <si>
    <t>韩瑞霞</t>
  </si>
  <si>
    <t>15010112514</t>
  </si>
  <si>
    <t>温月</t>
  </si>
  <si>
    <t>15010112515</t>
  </si>
  <si>
    <t>张书浴</t>
  </si>
  <si>
    <t>15010112516</t>
  </si>
  <si>
    <t>王舒婷</t>
  </si>
  <si>
    <t>15010112517</t>
  </si>
  <si>
    <t>张淇</t>
  </si>
  <si>
    <t>15010112518</t>
  </si>
  <si>
    <t>云伟</t>
  </si>
  <si>
    <t>15010112519</t>
  </si>
  <si>
    <t>李丹阳</t>
  </si>
  <si>
    <t>15010112520</t>
  </si>
  <si>
    <t>15010112521</t>
  </si>
  <si>
    <t>15010112522</t>
  </si>
  <si>
    <t>石慧芳</t>
  </si>
  <si>
    <t>15010112523</t>
  </si>
  <si>
    <t>兰雨童</t>
  </si>
  <si>
    <t>15010112524</t>
  </si>
  <si>
    <t>杨巧玲</t>
  </si>
  <si>
    <t>15010112525</t>
  </si>
  <si>
    <t>郝新宇</t>
  </si>
  <si>
    <t>15010112526</t>
  </si>
  <si>
    <t>15010112527</t>
  </si>
  <si>
    <t>王婧</t>
  </si>
  <si>
    <t>15010112528</t>
  </si>
  <si>
    <t>闫荣梅</t>
  </si>
  <si>
    <t>15010112529</t>
  </si>
  <si>
    <t>李月</t>
  </si>
  <si>
    <t>15010112530</t>
  </si>
  <si>
    <t>杨绘</t>
  </si>
  <si>
    <t>15010112601</t>
  </si>
  <si>
    <t>15010112602</t>
  </si>
  <si>
    <t>15010112603</t>
  </si>
  <si>
    <t>云柯诺</t>
  </si>
  <si>
    <t>15010112604</t>
  </si>
  <si>
    <t>15010112605</t>
  </si>
  <si>
    <t>梁馨予</t>
  </si>
  <si>
    <t>15010112606</t>
  </si>
  <si>
    <t>袁静</t>
  </si>
  <si>
    <t>15010112607</t>
  </si>
  <si>
    <t>朱书强</t>
  </si>
  <si>
    <t>15010112608</t>
  </si>
  <si>
    <t>王鹏</t>
  </si>
  <si>
    <t>15010112609</t>
  </si>
  <si>
    <t>呼浩宇</t>
  </si>
  <si>
    <t>15010112610</t>
  </si>
  <si>
    <t>郝新源</t>
  </si>
  <si>
    <t>15010112611</t>
  </si>
  <si>
    <t>15010112612</t>
  </si>
  <si>
    <t>孟虹</t>
  </si>
  <si>
    <t>15010112613</t>
  </si>
  <si>
    <t>肖维娜</t>
  </si>
  <si>
    <t>15010112614</t>
  </si>
  <si>
    <t>李艳</t>
  </si>
  <si>
    <t>15010112615</t>
  </si>
  <si>
    <t>高宇鹏</t>
  </si>
  <si>
    <t>15010112616</t>
  </si>
  <si>
    <t>尚娜</t>
  </si>
  <si>
    <t>15010112617</t>
  </si>
  <si>
    <t>赵欣宇</t>
  </si>
  <si>
    <t>15010112618</t>
  </si>
  <si>
    <t>张司雨</t>
  </si>
  <si>
    <t>15010112619</t>
  </si>
  <si>
    <t>刘娜</t>
  </si>
  <si>
    <t>15010112620</t>
  </si>
  <si>
    <t>谢婷</t>
  </si>
  <si>
    <t>15010112621</t>
  </si>
  <si>
    <t>15010112622</t>
  </si>
  <si>
    <t>越跃</t>
  </si>
  <si>
    <t>15010112623</t>
  </si>
  <si>
    <t>白悦</t>
  </si>
  <si>
    <t>15010112624</t>
  </si>
  <si>
    <t>郝宇</t>
  </si>
  <si>
    <t>15010112625</t>
  </si>
  <si>
    <t>15010112626</t>
  </si>
  <si>
    <t>呼悦</t>
  </si>
  <si>
    <t>15010112627</t>
  </si>
  <si>
    <t>15010112628</t>
  </si>
  <si>
    <t>蒋纳</t>
  </si>
  <si>
    <t>15010112629</t>
  </si>
  <si>
    <t>15010112630</t>
  </si>
  <si>
    <t>15010112701</t>
  </si>
  <si>
    <t>刘艳</t>
  </si>
  <si>
    <t>15010112702</t>
  </si>
  <si>
    <t>高星</t>
  </si>
  <si>
    <t>15010112703</t>
  </si>
  <si>
    <t>15010112704</t>
  </si>
  <si>
    <t>杨沐蓉</t>
  </si>
  <si>
    <t>15010112705</t>
  </si>
  <si>
    <t>苏婷</t>
  </si>
  <si>
    <t>15010112706</t>
  </si>
  <si>
    <t>朱彦玫</t>
  </si>
  <si>
    <t>15010112707</t>
  </si>
  <si>
    <t>郭伊曼</t>
  </si>
  <si>
    <t>15010112708</t>
  </si>
  <si>
    <t>杨庄</t>
  </si>
  <si>
    <t>15010112709</t>
  </si>
  <si>
    <t>高艳</t>
  </si>
  <si>
    <t>15010112710</t>
  </si>
  <si>
    <t>张靖圆</t>
  </si>
  <si>
    <t>15010112711</t>
  </si>
  <si>
    <t>李渊鹏</t>
  </si>
  <si>
    <t>15010112712</t>
  </si>
  <si>
    <t>杨宇星</t>
  </si>
  <si>
    <t>15010112713</t>
  </si>
  <si>
    <t>周瑞</t>
  </si>
  <si>
    <t>15010112714</t>
  </si>
  <si>
    <t>闫向龙</t>
  </si>
  <si>
    <t>15010112715</t>
  </si>
  <si>
    <t>刘娟</t>
  </si>
  <si>
    <t>15010112716</t>
  </si>
  <si>
    <t>贾瑞</t>
  </si>
  <si>
    <t>15010112717</t>
  </si>
  <si>
    <t>刘慧芳</t>
  </si>
  <si>
    <t>15010112718</t>
  </si>
  <si>
    <t>郝宇星</t>
  </si>
  <si>
    <t>15010112719</t>
  </si>
  <si>
    <t>杨雨萱</t>
  </si>
  <si>
    <t>15010112720</t>
  </si>
  <si>
    <t>张荣</t>
  </si>
  <si>
    <t>15010112721</t>
  </si>
  <si>
    <t>张琪韵</t>
  </si>
  <si>
    <t>15010112722</t>
  </si>
  <si>
    <t>越绘</t>
  </si>
  <si>
    <t>15010112723</t>
  </si>
  <si>
    <t>王淏</t>
  </si>
  <si>
    <t>15010112724</t>
  </si>
  <si>
    <t>刘倩</t>
  </si>
  <si>
    <t>15010112725</t>
  </si>
  <si>
    <t>訾萌</t>
  </si>
  <si>
    <t>15010112726</t>
  </si>
  <si>
    <t>孙慧</t>
  </si>
  <si>
    <t>15010112727</t>
  </si>
  <si>
    <t>郭玥</t>
  </si>
  <si>
    <t>15010112728</t>
  </si>
  <si>
    <t>15010112729</t>
  </si>
  <si>
    <t>边金玲</t>
  </si>
  <si>
    <t>15010112730</t>
  </si>
  <si>
    <t>王宝林</t>
  </si>
  <si>
    <t>15010112801</t>
  </si>
  <si>
    <t>15010112802</t>
  </si>
  <si>
    <t>温浩</t>
  </si>
  <si>
    <t>15010112803</t>
  </si>
  <si>
    <t>高思遥</t>
  </si>
  <si>
    <t>15010112804</t>
  </si>
  <si>
    <t>雷海艳</t>
  </si>
  <si>
    <t>15010112805</t>
  </si>
  <si>
    <t>薛娜</t>
  </si>
  <si>
    <t>15010112806</t>
  </si>
  <si>
    <t>张丽蓉</t>
  </si>
  <si>
    <t>15010112807</t>
  </si>
  <si>
    <t>王杰</t>
  </si>
  <si>
    <t>15010112808</t>
  </si>
  <si>
    <t>刘瑞</t>
  </si>
  <si>
    <t>15010112809</t>
  </si>
  <si>
    <t>张慧龙</t>
  </si>
  <si>
    <t>15010112810</t>
  </si>
  <si>
    <t>何碌</t>
  </si>
  <si>
    <t>15010112811</t>
  </si>
  <si>
    <t>吴琼</t>
  </si>
  <si>
    <t>15010112812</t>
  </si>
  <si>
    <t>贾江</t>
  </si>
  <si>
    <t>15010112813</t>
  </si>
  <si>
    <t>康瑞英</t>
  </si>
  <si>
    <t>15010112814</t>
  </si>
  <si>
    <t>郭莉</t>
  </si>
  <si>
    <t>15010112815</t>
  </si>
  <si>
    <t>袁蓉</t>
  </si>
  <si>
    <t>15010112816</t>
  </si>
  <si>
    <t>郗璐</t>
  </si>
  <si>
    <t>15010112817</t>
  </si>
  <si>
    <t>张晋瑜</t>
  </si>
  <si>
    <t>15010112818</t>
  </si>
  <si>
    <t>王冬</t>
  </si>
  <si>
    <t>15010112819</t>
  </si>
  <si>
    <t>郭聪阳</t>
  </si>
  <si>
    <t>15010112820</t>
  </si>
  <si>
    <t>高燕</t>
  </si>
  <si>
    <t>15010112821</t>
  </si>
  <si>
    <t>李媛</t>
  </si>
  <si>
    <t>15010112822</t>
  </si>
  <si>
    <t>张昊</t>
  </si>
  <si>
    <t>15010112823</t>
  </si>
  <si>
    <t>15010112824</t>
  </si>
  <si>
    <t>丁昊</t>
  </si>
  <si>
    <t>15010112825</t>
  </si>
  <si>
    <t>姜敏</t>
  </si>
  <si>
    <t>15010112826</t>
  </si>
  <si>
    <t>王佳</t>
  </si>
  <si>
    <t>15010112827</t>
  </si>
  <si>
    <t>15010112828</t>
  </si>
  <si>
    <t>韩英华</t>
  </si>
  <si>
    <t>15010112829</t>
  </si>
  <si>
    <t>杜雪蓉</t>
  </si>
  <si>
    <t>15010112830</t>
  </si>
  <si>
    <t>牛慧媛</t>
  </si>
  <si>
    <t>15010112901</t>
  </si>
  <si>
    <t>宋佳宇</t>
  </si>
  <si>
    <t>15010112902</t>
  </si>
  <si>
    <t>杨枝</t>
  </si>
  <si>
    <t>15010112903</t>
  </si>
  <si>
    <t>李金桃</t>
  </si>
  <si>
    <t>15010112904</t>
  </si>
  <si>
    <t>雷军</t>
  </si>
  <si>
    <t>15010112905</t>
  </si>
  <si>
    <t>何果红</t>
  </si>
  <si>
    <t>15010112906</t>
  </si>
  <si>
    <t>贺保元</t>
  </si>
  <si>
    <t>15010112907</t>
  </si>
  <si>
    <t>杨燕婷</t>
  </si>
  <si>
    <t>15010112908</t>
  </si>
  <si>
    <t>訾涛</t>
  </si>
  <si>
    <t>15010112909</t>
  </si>
  <si>
    <t>苏雅拉</t>
  </si>
  <si>
    <t>15010112910</t>
  </si>
  <si>
    <t>杜荣</t>
  </si>
  <si>
    <t>15010112911</t>
  </si>
  <si>
    <t>郑春妮</t>
  </si>
  <si>
    <t>15010112912</t>
  </si>
  <si>
    <t>15010112913</t>
  </si>
  <si>
    <t>15010112914</t>
  </si>
  <si>
    <t>高浩月</t>
  </si>
  <si>
    <t>15010112915</t>
  </si>
  <si>
    <t>郝敏</t>
  </si>
  <si>
    <t>15010112916</t>
  </si>
  <si>
    <t>贾思淼</t>
  </si>
  <si>
    <t>15010112917</t>
  </si>
  <si>
    <t>高怡葶</t>
  </si>
  <si>
    <t>15010112918</t>
  </si>
  <si>
    <t>张步州</t>
  </si>
  <si>
    <t>15010112919</t>
  </si>
  <si>
    <t>15010112920</t>
  </si>
  <si>
    <t>李超</t>
  </si>
  <si>
    <t>15010112921</t>
  </si>
  <si>
    <t>15010112922</t>
  </si>
  <si>
    <t>徐荣</t>
  </si>
  <si>
    <t>15010112923</t>
  </si>
  <si>
    <t>15010112924</t>
  </si>
  <si>
    <t>武蓉</t>
  </si>
  <si>
    <t>15010112925</t>
  </si>
  <si>
    <t>闫静梅</t>
  </si>
  <si>
    <t>15010112926</t>
  </si>
  <si>
    <t>杨智</t>
  </si>
  <si>
    <t>15010112927</t>
  </si>
  <si>
    <t>孙倩</t>
  </si>
  <si>
    <t>15010112928</t>
  </si>
  <si>
    <t>15010112929</t>
  </si>
  <si>
    <t>解鹏</t>
  </si>
  <si>
    <t>15010112930</t>
  </si>
  <si>
    <t>罗向艳</t>
  </si>
  <si>
    <t>15010113001</t>
  </si>
  <si>
    <t>王飞</t>
  </si>
  <si>
    <t>15010113002</t>
  </si>
  <si>
    <t>15010113003</t>
  </si>
  <si>
    <t>王立清</t>
  </si>
  <si>
    <t>15010113004</t>
  </si>
  <si>
    <t>郭世强</t>
  </si>
  <si>
    <t>15010113005</t>
  </si>
  <si>
    <t>15010113006</t>
  </si>
  <si>
    <t>乔海艳</t>
  </si>
  <si>
    <t>15010113007</t>
  </si>
  <si>
    <t>高杰</t>
  </si>
  <si>
    <t>15010113008</t>
  </si>
  <si>
    <t>方敏</t>
  </si>
  <si>
    <t>15010113009</t>
  </si>
  <si>
    <t>张双</t>
  </si>
  <si>
    <t>15010113010</t>
  </si>
  <si>
    <t>刘奇</t>
  </si>
  <si>
    <t>15010113011</t>
  </si>
  <si>
    <t>15010113012</t>
  </si>
  <si>
    <t>蔡小惠</t>
  </si>
  <si>
    <t>15010113013</t>
  </si>
  <si>
    <t>白娜</t>
  </si>
  <si>
    <t>15010113014</t>
  </si>
  <si>
    <t>刘艳萍</t>
  </si>
  <si>
    <t>15010113015</t>
  </si>
  <si>
    <t>翟晓瑞</t>
  </si>
  <si>
    <t>15010113016</t>
  </si>
  <si>
    <t>张贵芬</t>
  </si>
  <si>
    <t>15010113017</t>
  </si>
  <si>
    <t>杨坤超</t>
  </si>
  <si>
    <t>15010113018</t>
  </si>
  <si>
    <t>苏雨</t>
  </si>
  <si>
    <t>15010113019</t>
  </si>
  <si>
    <t>訾杭东</t>
  </si>
  <si>
    <t>15010113020</t>
  </si>
  <si>
    <t>15010113021</t>
  </si>
  <si>
    <t>解宏艳</t>
  </si>
  <si>
    <t>15010113022</t>
  </si>
  <si>
    <t>王淅漫</t>
  </si>
  <si>
    <t>15010113023</t>
  </si>
  <si>
    <t>郝小艳</t>
  </si>
  <si>
    <t>15010113024</t>
  </si>
  <si>
    <t>王小冉</t>
  </si>
  <si>
    <t>15010113025</t>
  </si>
  <si>
    <t>15010113026</t>
  </si>
  <si>
    <t>崔婷</t>
  </si>
  <si>
    <t>15010113027</t>
  </si>
  <si>
    <t>15010113028</t>
  </si>
  <si>
    <t>于博</t>
  </si>
  <si>
    <t>15010113029</t>
  </si>
  <si>
    <t>党翊瑄</t>
  </si>
  <si>
    <t>15010113030</t>
  </si>
  <si>
    <t>武轩赫</t>
  </si>
  <si>
    <t>15010113101</t>
  </si>
  <si>
    <t>15010113102</t>
  </si>
  <si>
    <t>刘炽历</t>
  </si>
  <si>
    <t>15010113103</t>
  </si>
  <si>
    <t>倪璐璐</t>
  </si>
  <si>
    <t>15010113104</t>
  </si>
  <si>
    <t>王晓庆</t>
  </si>
  <si>
    <t>15010113105</t>
  </si>
  <si>
    <t>越慧芳</t>
  </si>
  <si>
    <t>15010113106</t>
  </si>
  <si>
    <t>张兆雅</t>
  </si>
  <si>
    <t>15010113107</t>
  </si>
  <si>
    <t>王蒙</t>
  </si>
  <si>
    <t>15010113108</t>
  </si>
  <si>
    <t>15010113109</t>
  </si>
  <si>
    <t>石玮丹</t>
  </si>
  <si>
    <t>15010113110</t>
  </si>
  <si>
    <t>彦凡雪</t>
  </si>
  <si>
    <t>15010113111</t>
  </si>
  <si>
    <t>柴雨娇</t>
  </si>
  <si>
    <t>15010113112</t>
  </si>
  <si>
    <t>王彩云</t>
  </si>
  <si>
    <t>15010113113</t>
  </si>
  <si>
    <t>尚雪依</t>
  </si>
  <si>
    <t>15010113114</t>
  </si>
  <si>
    <t>徐浩</t>
  </si>
  <si>
    <t>15010113115</t>
  </si>
  <si>
    <t>武丽</t>
  </si>
  <si>
    <t>15010113116</t>
  </si>
  <si>
    <t>李彦瑾</t>
  </si>
  <si>
    <t>15010113117</t>
  </si>
  <si>
    <t>王志岗</t>
  </si>
  <si>
    <t>15010113118</t>
  </si>
  <si>
    <t>贺艳芳</t>
  </si>
  <si>
    <t>15010113119</t>
  </si>
  <si>
    <t>武兵</t>
  </si>
  <si>
    <t>15010113120</t>
  </si>
  <si>
    <t>王小英</t>
  </si>
  <si>
    <t>15010113121</t>
  </si>
  <si>
    <t>15010113122</t>
  </si>
  <si>
    <t>王强</t>
  </si>
  <si>
    <t>15010113123</t>
  </si>
  <si>
    <t>杨晨旭</t>
  </si>
  <si>
    <t>15010113124</t>
  </si>
  <si>
    <t>李翠芳</t>
  </si>
  <si>
    <t>15010113125</t>
  </si>
  <si>
    <t>张丹</t>
  </si>
  <si>
    <t>15010113126</t>
  </si>
  <si>
    <t>倪童</t>
  </si>
  <si>
    <t>15010113127</t>
  </si>
  <si>
    <t>15010113128</t>
  </si>
  <si>
    <t>高樊</t>
  </si>
  <si>
    <t>15010113129</t>
  </si>
  <si>
    <t>高春燕</t>
  </si>
  <si>
    <t>15010113130</t>
  </si>
  <si>
    <t>蒋丽霞</t>
  </si>
  <si>
    <t>15010113201</t>
  </si>
  <si>
    <t>15010113202</t>
  </si>
  <si>
    <t>张豆豆</t>
  </si>
  <si>
    <t>15010113203</t>
  </si>
  <si>
    <t>15010113204</t>
  </si>
  <si>
    <t>杨慧军</t>
  </si>
  <si>
    <t>15010113205</t>
  </si>
  <si>
    <t>15010113206</t>
  </si>
  <si>
    <t>15010113207</t>
  </si>
  <si>
    <t>王化云</t>
  </si>
  <si>
    <t>15010113208</t>
  </si>
  <si>
    <t>呼换</t>
  </si>
  <si>
    <t>15010113209</t>
  </si>
  <si>
    <t>阿鲁沙</t>
  </si>
  <si>
    <t>15010113210</t>
  </si>
  <si>
    <t>白妍红</t>
  </si>
  <si>
    <t>15010113211</t>
  </si>
  <si>
    <t>折伟</t>
  </si>
  <si>
    <t>15010113212</t>
  </si>
  <si>
    <t>王静</t>
  </si>
  <si>
    <t>15010113213</t>
  </si>
  <si>
    <t xml:space="preserve">韩兆雅 </t>
  </si>
  <si>
    <t>15010113214</t>
  </si>
  <si>
    <t>屈越龙</t>
  </si>
  <si>
    <t>15010113215</t>
  </si>
  <si>
    <t>15010113216</t>
  </si>
  <si>
    <t>李强</t>
  </si>
  <si>
    <t>15010113217</t>
  </si>
  <si>
    <t>张东</t>
  </si>
  <si>
    <t>15010113218</t>
  </si>
  <si>
    <t>臧梓丹</t>
  </si>
  <si>
    <t>15010113219</t>
  </si>
  <si>
    <t>樊娜</t>
  </si>
  <si>
    <t>15010113220</t>
  </si>
  <si>
    <t>乔娜</t>
  </si>
  <si>
    <t>15010113221</t>
  </si>
  <si>
    <t>白丽</t>
  </si>
  <si>
    <t>15010113222</t>
  </si>
  <si>
    <t>李淑碧</t>
  </si>
  <si>
    <t>15010113223</t>
  </si>
  <si>
    <t>尚星征</t>
  </si>
  <si>
    <t>15010113224</t>
  </si>
  <si>
    <t>韩多多</t>
  </si>
  <si>
    <t>15010113225</t>
  </si>
  <si>
    <t>15010113226</t>
  </si>
  <si>
    <t>石佳倩</t>
  </si>
  <si>
    <t>15010113227</t>
  </si>
  <si>
    <t>邓丹丹</t>
  </si>
  <si>
    <t>15010113228</t>
  </si>
  <si>
    <t>孟祺</t>
  </si>
  <si>
    <t>15010113229</t>
  </si>
  <si>
    <t>15010113230</t>
  </si>
  <si>
    <t>武娟</t>
  </si>
  <si>
    <t>15010113301</t>
  </si>
  <si>
    <t>王子璇</t>
  </si>
  <si>
    <t>15010113302</t>
  </si>
  <si>
    <t>苗政</t>
  </si>
  <si>
    <t>15010113303</t>
  </si>
  <si>
    <t>罗豆豆</t>
  </si>
  <si>
    <t>15010113304</t>
  </si>
  <si>
    <t>杜升</t>
  </si>
  <si>
    <t>15010113305</t>
  </si>
  <si>
    <t>樊敏</t>
  </si>
  <si>
    <t>15010113306</t>
  </si>
  <si>
    <t>15010113307</t>
  </si>
  <si>
    <t>15010113308</t>
  </si>
  <si>
    <t>郭利琴</t>
  </si>
  <si>
    <t>15010113309</t>
  </si>
  <si>
    <t>15010113310</t>
  </si>
  <si>
    <t>邱娜</t>
  </si>
  <si>
    <t>15010113311</t>
  </si>
  <si>
    <t>张新敏</t>
  </si>
  <si>
    <t>15010113312</t>
  </si>
  <si>
    <t>高鑫</t>
  </si>
  <si>
    <t>15010113313</t>
  </si>
  <si>
    <t>乔艳红</t>
  </si>
  <si>
    <t>15010113314</t>
  </si>
  <si>
    <t>王慧贤</t>
  </si>
  <si>
    <t>15010113315</t>
  </si>
  <si>
    <t>张瑞</t>
  </si>
  <si>
    <t>15010113316</t>
  </si>
  <si>
    <t>15010113317</t>
  </si>
  <si>
    <t>孟瑶</t>
  </si>
  <si>
    <t>15010113318</t>
  </si>
  <si>
    <t>王建</t>
  </si>
  <si>
    <t>15010113319</t>
  </si>
  <si>
    <t>15010113320</t>
  </si>
  <si>
    <t>高光义</t>
  </si>
  <si>
    <t>15010113321</t>
  </si>
  <si>
    <t>刘秉昕</t>
  </si>
  <si>
    <t>15010113322</t>
  </si>
  <si>
    <t>马婷</t>
  </si>
  <si>
    <t>15010113323</t>
  </si>
  <si>
    <t>边弘霞</t>
  </si>
  <si>
    <t>15010113324</t>
  </si>
  <si>
    <t>李奕萱</t>
  </si>
  <si>
    <t>15010113325</t>
  </si>
  <si>
    <t>张伊娟</t>
  </si>
  <si>
    <t>15010113326</t>
  </si>
  <si>
    <t>武朵</t>
  </si>
  <si>
    <t>15010113327</t>
  </si>
  <si>
    <t>15010113328</t>
  </si>
  <si>
    <t>贾彩虹</t>
  </si>
  <si>
    <t>15010113329</t>
  </si>
  <si>
    <t>15010113330</t>
  </si>
  <si>
    <t>杨博雅</t>
  </si>
  <si>
    <t>15010113401</t>
  </si>
  <si>
    <t>温丽</t>
  </si>
  <si>
    <t>15010113402</t>
  </si>
  <si>
    <t>15010113403</t>
  </si>
  <si>
    <t>张彩红</t>
  </si>
  <si>
    <t>15010113404</t>
  </si>
  <si>
    <t>郭瑞芳</t>
  </si>
  <si>
    <t>15010113405</t>
  </si>
  <si>
    <t>赵雅慧</t>
  </si>
  <si>
    <t>15010113406</t>
  </si>
  <si>
    <t>郝舒婷</t>
  </si>
  <si>
    <t>15010113407</t>
  </si>
  <si>
    <t>15010113408</t>
  </si>
  <si>
    <t>吴艳慧</t>
  </si>
  <si>
    <t>15010113409</t>
  </si>
  <si>
    <t>王玉杰</t>
  </si>
  <si>
    <t>15010113410</t>
  </si>
  <si>
    <t>高翠玲</t>
  </si>
  <si>
    <t>15010113411</t>
  </si>
  <si>
    <t>高慧方</t>
  </si>
  <si>
    <t>15010113412</t>
  </si>
  <si>
    <t>刘芳</t>
  </si>
  <si>
    <t>15010113413</t>
  </si>
  <si>
    <t>马越虹</t>
  </si>
  <si>
    <t>15010113414</t>
  </si>
  <si>
    <t>解敏龙</t>
  </si>
  <si>
    <t>15010113415</t>
  </si>
  <si>
    <t>15010113416</t>
  </si>
  <si>
    <t>杨丹</t>
  </si>
  <si>
    <t>15010113417</t>
  </si>
  <si>
    <t>15010113418</t>
  </si>
  <si>
    <t>张亭</t>
  </si>
  <si>
    <t>15010113419</t>
  </si>
  <si>
    <t>白鹤祥</t>
  </si>
  <si>
    <t>15010113420</t>
  </si>
  <si>
    <t>康佳</t>
  </si>
  <si>
    <t>15010113421</t>
  </si>
  <si>
    <t>宋伟</t>
  </si>
  <si>
    <t>15010113422</t>
  </si>
  <si>
    <t>杨竞伟</t>
  </si>
  <si>
    <t>15010113423</t>
  </si>
  <si>
    <t>15010113424</t>
  </si>
  <si>
    <t>15010113425</t>
  </si>
  <si>
    <t>戈丽</t>
  </si>
  <si>
    <t>15010113426</t>
  </si>
  <si>
    <t>贺丽娜</t>
  </si>
  <si>
    <t>15010113427</t>
  </si>
  <si>
    <t>张红叶</t>
  </si>
  <si>
    <t>15010113428</t>
  </si>
  <si>
    <t>杨虎正</t>
  </si>
  <si>
    <t>15010113429</t>
  </si>
  <si>
    <t>王震宇</t>
  </si>
  <si>
    <t>15010113430</t>
  </si>
  <si>
    <t>15010113501</t>
  </si>
  <si>
    <t>张璨</t>
  </si>
  <si>
    <t>15010113502</t>
  </si>
  <si>
    <t>王春媛</t>
  </si>
  <si>
    <t>15010113503</t>
  </si>
  <si>
    <t>白强</t>
  </si>
  <si>
    <t>15010113504</t>
  </si>
  <si>
    <t>王艳霞</t>
  </si>
  <si>
    <t>15010113505</t>
  </si>
  <si>
    <t>梁婷</t>
  </si>
  <si>
    <t>15010113506</t>
  </si>
  <si>
    <t>刘小艳</t>
  </si>
  <si>
    <t>15010113507</t>
  </si>
  <si>
    <t>高丹</t>
  </si>
  <si>
    <t>15010113508</t>
  </si>
  <si>
    <t>王书博</t>
  </si>
  <si>
    <t>15010113509</t>
  </si>
  <si>
    <t>15010113510</t>
  </si>
  <si>
    <t>刘强</t>
  </si>
  <si>
    <t>15010113511</t>
  </si>
  <si>
    <t>薛天翔</t>
  </si>
  <si>
    <t>15010113512</t>
  </si>
  <si>
    <t>张巨芳</t>
  </si>
  <si>
    <t>15010113513</t>
  </si>
  <si>
    <t>王舒暄</t>
  </si>
  <si>
    <t>15010113514</t>
  </si>
  <si>
    <t>贺丽芳</t>
  </si>
  <si>
    <t>15010113515</t>
  </si>
  <si>
    <t>张帅军</t>
  </si>
  <si>
    <t>15010113516</t>
  </si>
  <si>
    <t>裴瑞霞</t>
  </si>
  <si>
    <t>15010113517</t>
  </si>
  <si>
    <t>刘起帆</t>
  </si>
  <si>
    <t>15010113518</t>
  </si>
  <si>
    <t>丁乐</t>
  </si>
  <si>
    <t>15010113519</t>
  </si>
  <si>
    <t>李科</t>
  </si>
  <si>
    <t>15010113520</t>
  </si>
  <si>
    <t>15010113521</t>
  </si>
  <si>
    <t>乔丹</t>
  </si>
  <si>
    <t>15010113522</t>
  </si>
  <si>
    <t>赵廷玉</t>
  </si>
  <si>
    <t>15010113523</t>
  </si>
  <si>
    <t>康惠</t>
  </si>
  <si>
    <t>15010113524</t>
  </si>
  <si>
    <t>乌日娜</t>
  </si>
  <si>
    <t>15010113525</t>
  </si>
  <si>
    <t>15010113526</t>
  </si>
  <si>
    <t>苗东宁</t>
  </si>
  <si>
    <t>15010113527</t>
  </si>
  <si>
    <t>杨晓艳</t>
  </si>
  <si>
    <t>15010113528</t>
  </si>
  <si>
    <t>郑强强</t>
  </si>
  <si>
    <t>15010113529</t>
  </si>
  <si>
    <t>狄旭</t>
  </si>
  <si>
    <t>15010113530</t>
  </si>
  <si>
    <t>梁慧</t>
  </si>
  <si>
    <t>15010113601</t>
  </si>
  <si>
    <t>15010113602</t>
  </si>
  <si>
    <t>庞静</t>
  </si>
  <si>
    <t>15010113603</t>
  </si>
  <si>
    <t>高林帅</t>
  </si>
  <si>
    <t>15010113604</t>
  </si>
  <si>
    <t>王富聪</t>
  </si>
  <si>
    <t>15010113605</t>
  </si>
  <si>
    <t>15010113606</t>
  </si>
  <si>
    <t>15010113607</t>
  </si>
  <si>
    <t>15010113608</t>
  </si>
  <si>
    <t>15010113609</t>
  </si>
  <si>
    <t>樊嘉宁</t>
  </si>
  <si>
    <t>15010113610</t>
  </si>
  <si>
    <t>祁新原</t>
  </si>
  <si>
    <t>15010113611</t>
  </si>
  <si>
    <t>高永霞</t>
  </si>
  <si>
    <t>15010113612</t>
  </si>
  <si>
    <t>崔喆</t>
  </si>
  <si>
    <t>15010113613</t>
  </si>
  <si>
    <t>张正宜</t>
  </si>
  <si>
    <t>15010113614</t>
  </si>
  <si>
    <t>高嘉悦</t>
  </si>
  <si>
    <t>15010113615</t>
  </si>
  <si>
    <t>15010113616</t>
  </si>
  <si>
    <t>牛舒冉</t>
  </si>
  <si>
    <t>15010113617</t>
  </si>
  <si>
    <t>王元</t>
  </si>
  <si>
    <t>15010113618</t>
  </si>
  <si>
    <t>杨静雯</t>
  </si>
  <si>
    <t>15010113619</t>
  </si>
  <si>
    <t>胡玉文</t>
  </si>
  <si>
    <t>15010113620</t>
  </si>
  <si>
    <t>邱霞</t>
  </si>
  <si>
    <t>15010113621</t>
  </si>
  <si>
    <t>武慧</t>
  </si>
  <si>
    <t>15010113622</t>
  </si>
  <si>
    <t>文倩</t>
  </si>
  <si>
    <t>15010113623</t>
  </si>
  <si>
    <t>王婷</t>
  </si>
  <si>
    <t>15010113624</t>
  </si>
  <si>
    <t>何敏</t>
  </si>
  <si>
    <t>15010113625</t>
  </si>
  <si>
    <t>南丁</t>
  </si>
  <si>
    <t>15010113626</t>
  </si>
  <si>
    <t>15010113627</t>
  </si>
  <si>
    <t>冯雪岩</t>
  </si>
  <si>
    <t>15010113628</t>
  </si>
  <si>
    <t>吴兴宇</t>
  </si>
  <si>
    <t>15010113629</t>
  </si>
  <si>
    <t>崔丽沙</t>
  </si>
  <si>
    <t>15010113630</t>
  </si>
  <si>
    <t>尹富强</t>
  </si>
  <si>
    <t>15010113701</t>
  </si>
  <si>
    <t>邱宇</t>
  </si>
  <si>
    <t>15010113702</t>
  </si>
  <si>
    <t>祁雅星</t>
  </si>
  <si>
    <t>15010113703</t>
  </si>
  <si>
    <t>白燕</t>
  </si>
  <si>
    <t>15010113704</t>
  </si>
  <si>
    <t>奥丹</t>
  </si>
  <si>
    <t>15010113705</t>
  </si>
  <si>
    <t>张乔</t>
  </si>
  <si>
    <t>15010113706</t>
  </si>
  <si>
    <t>郭效玥</t>
  </si>
  <si>
    <t>15010113707</t>
  </si>
  <si>
    <t>刘璐</t>
  </si>
  <si>
    <t>15010113708</t>
  </si>
  <si>
    <t>刘鑫源</t>
  </si>
  <si>
    <t>15010113709</t>
  </si>
  <si>
    <t>张舒婷</t>
  </si>
  <si>
    <t>15010113710</t>
  </si>
  <si>
    <t>王世红</t>
  </si>
  <si>
    <t>15010113711</t>
  </si>
  <si>
    <t>王圆圆</t>
  </si>
  <si>
    <t>15010113712</t>
  </si>
  <si>
    <t>张玥</t>
  </si>
  <si>
    <t>15010113713</t>
  </si>
  <si>
    <t>高慧敏</t>
  </si>
  <si>
    <t>15010113714</t>
  </si>
  <si>
    <t>赵娟</t>
  </si>
  <si>
    <t>15010113715</t>
  </si>
  <si>
    <t>白宇</t>
  </si>
  <si>
    <t>15010113716</t>
  </si>
  <si>
    <t>张泽敏</t>
  </si>
  <si>
    <t>15010113717</t>
  </si>
  <si>
    <t>徐宇婷</t>
  </si>
  <si>
    <t>15010113718</t>
  </si>
  <si>
    <t>王桃</t>
  </si>
  <si>
    <t>15010113719</t>
  </si>
  <si>
    <t>杨磊</t>
  </si>
  <si>
    <t>15010113720</t>
  </si>
  <si>
    <t>赵娜</t>
  </si>
  <si>
    <t>15010113721</t>
  </si>
  <si>
    <t>藏婉荣</t>
  </si>
  <si>
    <t>15010113722</t>
  </si>
  <si>
    <t>常小春</t>
  </si>
  <si>
    <t>15010113723</t>
  </si>
  <si>
    <t>吴雨璇</t>
  </si>
  <si>
    <t>15010113724</t>
  </si>
  <si>
    <t>孟磊</t>
  </si>
  <si>
    <t>15010113725</t>
  </si>
  <si>
    <t>15010113726</t>
  </si>
  <si>
    <t>刘乐</t>
  </si>
  <si>
    <t>15010113727</t>
  </si>
  <si>
    <t>贾金荣</t>
  </si>
  <si>
    <t>15010113728</t>
  </si>
  <si>
    <t>韩杰</t>
  </si>
  <si>
    <t>15010113729</t>
  </si>
  <si>
    <t>王浩莎</t>
  </si>
  <si>
    <t>15010113730</t>
  </si>
  <si>
    <t>袁昕佑</t>
  </si>
  <si>
    <t>15010113801</t>
  </si>
  <si>
    <t>刘佳颖</t>
  </si>
  <si>
    <t>15010113802</t>
  </si>
  <si>
    <t>刘欣雨</t>
  </si>
  <si>
    <t>15010113803</t>
  </si>
  <si>
    <t>王新慧</t>
  </si>
  <si>
    <t>15010113804</t>
  </si>
  <si>
    <t>15010113805</t>
  </si>
  <si>
    <t>15010113806</t>
  </si>
  <si>
    <t>张辉</t>
  </si>
  <si>
    <t>15010113807</t>
  </si>
  <si>
    <t>李源</t>
  </si>
  <si>
    <t>15010113808</t>
  </si>
  <si>
    <t>冯娜</t>
  </si>
  <si>
    <t>15010113809</t>
  </si>
  <si>
    <t>许萍</t>
  </si>
  <si>
    <t>15010113810</t>
  </si>
  <si>
    <t>温红丽</t>
  </si>
  <si>
    <t>15010113811</t>
  </si>
  <si>
    <t>15010113812</t>
  </si>
  <si>
    <t>赵帅</t>
  </si>
  <si>
    <t>15010113813</t>
  </si>
  <si>
    <t>赵鑫</t>
  </si>
  <si>
    <t>15010113814</t>
  </si>
  <si>
    <t>李旭</t>
  </si>
  <si>
    <t>15010113815</t>
  </si>
  <si>
    <t>15010113816</t>
  </si>
  <si>
    <t>田中明</t>
  </si>
  <si>
    <t>15010113817</t>
  </si>
  <si>
    <t>王舒誉</t>
  </si>
  <si>
    <t>15010113818</t>
  </si>
  <si>
    <t>任佳</t>
  </si>
  <si>
    <t>15010113819</t>
  </si>
  <si>
    <t>15010113820</t>
  </si>
  <si>
    <t>杜鹏伟</t>
  </si>
  <si>
    <t>15010113821</t>
  </si>
  <si>
    <t>弓滨赫</t>
  </si>
  <si>
    <t>15010113822</t>
  </si>
  <si>
    <t>陈龙</t>
  </si>
  <si>
    <t>15010113823</t>
  </si>
  <si>
    <t>杨春袁</t>
  </si>
  <si>
    <t>15010113824</t>
  </si>
  <si>
    <t>15010113825</t>
  </si>
  <si>
    <t>李倩</t>
  </si>
  <si>
    <t>15010113826</t>
  </si>
  <si>
    <t>袁鑫</t>
  </si>
  <si>
    <t>15010113827</t>
  </si>
  <si>
    <t>乔博雅</t>
  </si>
  <si>
    <t>15010113828</t>
  </si>
  <si>
    <t>郭会丽</t>
  </si>
  <si>
    <t>15010113829</t>
  </si>
  <si>
    <t>15010113830</t>
  </si>
  <si>
    <t>王敏</t>
  </si>
  <si>
    <t>15010113901</t>
  </si>
  <si>
    <t>15010113902</t>
  </si>
  <si>
    <t>杨小芳</t>
  </si>
  <si>
    <t>15010113903</t>
  </si>
  <si>
    <t>栗婷</t>
  </si>
  <si>
    <t>15010113904</t>
  </si>
  <si>
    <t>杨文炳</t>
  </si>
  <si>
    <t>15010113905</t>
  </si>
  <si>
    <t>高于航</t>
  </si>
  <si>
    <t>15010113906</t>
  </si>
  <si>
    <t>王淑玥</t>
  </si>
  <si>
    <t>15010113907</t>
  </si>
  <si>
    <t>门璐</t>
  </si>
  <si>
    <t>15010113908</t>
  </si>
  <si>
    <t>孙丹</t>
  </si>
  <si>
    <t>15010113909</t>
  </si>
  <si>
    <t>15010113910</t>
  </si>
  <si>
    <t>贺竞冉</t>
  </si>
  <si>
    <t>15010113911</t>
  </si>
  <si>
    <t>解丽</t>
  </si>
  <si>
    <t>15010113912</t>
  </si>
  <si>
    <t>李智伟</t>
  </si>
  <si>
    <t>15010113913</t>
  </si>
  <si>
    <t>王昕</t>
  </si>
  <si>
    <t>15010113914</t>
  </si>
  <si>
    <t>15010113915</t>
  </si>
  <si>
    <t>15010113916</t>
  </si>
  <si>
    <t>乔磊</t>
  </si>
  <si>
    <t>15010113917</t>
  </si>
  <si>
    <t>马振峰</t>
  </si>
  <si>
    <t>15010113918</t>
  </si>
  <si>
    <t>张锋</t>
  </si>
  <si>
    <t>15010113919</t>
  </si>
  <si>
    <t>王月</t>
  </si>
  <si>
    <t>15010113920</t>
  </si>
  <si>
    <t>刘炀</t>
  </si>
  <si>
    <t>15010113921</t>
  </si>
  <si>
    <t>苏璐</t>
  </si>
  <si>
    <t>15010113922</t>
  </si>
  <si>
    <t>15010113923</t>
  </si>
  <si>
    <t>钟瑞</t>
  </si>
  <si>
    <t>15010113924</t>
  </si>
  <si>
    <t>杨慧龙</t>
  </si>
  <si>
    <t>15010113925</t>
  </si>
  <si>
    <t>武娜</t>
  </si>
  <si>
    <t>15010113926</t>
  </si>
  <si>
    <t>庄月英</t>
  </si>
  <si>
    <t>15010113927</t>
  </si>
  <si>
    <t>高宇</t>
  </si>
  <si>
    <t>15010113928</t>
  </si>
  <si>
    <t>15010113929</t>
  </si>
  <si>
    <t>冯芳</t>
  </si>
  <si>
    <t>15010113930</t>
  </si>
  <si>
    <t>马丽</t>
  </si>
  <si>
    <t>15010114001</t>
  </si>
  <si>
    <t>李小智</t>
  </si>
  <si>
    <t>15010114002</t>
  </si>
  <si>
    <t>庞雪</t>
  </si>
  <si>
    <t>15010114003</t>
  </si>
  <si>
    <t>孟媛媛</t>
  </si>
  <si>
    <t>15010114004</t>
  </si>
  <si>
    <t>赵建刚</t>
  </si>
  <si>
    <t>15010114005</t>
  </si>
  <si>
    <t>高钰柠</t>
  </si>
  <si>
    <t>15010114006</t>
  </si>
  <si>
    <t>刘治平</t>
  </si>
  <si>
    <t>15010114007</t>
  </si>
  <si>
    <t>刘玉梅</t>
  </si>
  <si>
    <t>15010114008</t>
  </si>
  <si>
    <t>15010114009</t>
  </si>
  <si>
    <t>李靖</t>
  </si>
  <si>
    <t>15010114010</t>
  </si>
  <si>
    <t>15010114011</t>
  </si>
  <si>
    <t>郭静</t>
  </si>
  <si>
    <t>15010114012</t>
  </si>
  <si>
    <t>刘渊</t>
  </si>
  <si>
    <t>15010114013</t>
  </si>
  <si>
    <t>郭利刚</t>
  </si>
  <si>
    <t>15010114014</t>
  </si>
  <si>
    <t>陈刚</t>
  </si>
  <si>
    <t>15010114015</t>
  </si>
  <si>
    <t>井宇</t>
  </si>
  <si>
    <t>15010114016</t>
  </si>
  <si>
    <t>李海英</t>
  </si>
  <si>
    <t>15010114017</t>
  </si>
  <si>
    <t>郝艳梅</t>
  </si>
  <si>
    <t>15010114018</t>
  </si>
  <si>
    <t>陈鑫</t>
  </si>
  <si>
    <t>15010114019</t>
  </si>
  <si>
    <t>马娜</t>
  </si>
  <si>
    <t>15010114020</t>
  </si>
  <si>
    <t>谢巧燕</t>
  </si>
  <si>
    <t>15010114021</t>
  </si>
  <si>
    <t>韩凇屹</t>
  </si>
  <si>
    <t>15010114022</t>
  </si>
  <si>
    <t>苏艳峰</t>
  </si>
  <si>
    <t>15010114023</t>
  </si>
  <si>
    <t>张芙蓉</t>
  </si>
  <si>
    <t>15010114024</t>
  </si>
  <si>
    <t>贾春媛</t>
  </si>
  <si>
    <t>15010114025</t>
  </si>
  <si>
    <t>王泓清</t>
  </si>
  <si>
    <t>15010114026</t>
  </si>
  <si>
    <t>肖正正</t>
  </si>
  <si>
    <t>15010114027</t>
  </si>
  <si>
    <t>郭丽婷</t>
  </si>
  <si>
    <t>15010114028</t>
  </si>
  <si>
    <t>张智龙</t>
  </si>
  <si>
    <t>15010114029</t>
  </si>
  <si>
    <t>解燕</t>
  </si>
  <si>
    <t>15010114030</t>
  </si>
  <si>
    <t>15010114101</t>
  </si>
  <si>
    <t>孟红丽</t>
  </si>
  <si>
    <t>15010114102</t>
  </si>
  <si>
    <t>吴鑫</t>
  </si>
  <si>
    <t>15010114103</t>
  </si>
  <si>
    <t>王宁</t>
  </si>
  <si>
    <t>15010114104</t>
  </si>
  <si>
    <t>15010114105</t>
  </si>
  <si>
    <t>王国英</t>
  </si>
  <si>
    <t>15010114106</t>
  </si>
  <si>
    <t>郝瑞龙</t>
  </si>
  <si>
    <t>15010114107</t>
  </si>
  <si>
    <t>李选</t>
  </si>
  <si>
    <t>15010114108</t>
  </si>
  <si>
    <t>吴天柱</t>
  </si>
  <si>
    <t>15010114109</t>
  </si>
  <si>
    <t>15010114110</t>
  </si>
  <si>
    <t>解娜</t>
  </si>
  <si>
    <t>15010114111</t>
  </si>
  <si>
    <t>张丽</t>
  </si>
  <si>
    <t>15010114112</t>
  </si>
  <si>
    <t>杨瑞鹏</t>
  </si>
  <si>
    <t>15010114113</t>
  </si>
  <si>
    <t>15010114114</t>
  </si>
  <si>
    <t>韩鑫</t>
  </si>
  <si>
    <t>15010114115</t>
  </si>
  <si>
    <t>武佳聪</t>
  </si>
  <si>
    <t>15010114116</t>
  </si>
  <si>
    <t>赵候仁</t>
  </si>
  <si>
    <t>15010114117</t>
  </si>
  <si>
    <t>柴妤卓</t>
  </si>
  <si>
    <t>15010114118</t>
  </si>
  <si>
    <t>刘鹏</t>
  </si>
  <si>
    <t>15010114119</t>
  </si>
  <si>
    <t>贾胜杰</t>
  </si>
  <si>
    <t>15010114120</t>
  </si>
  <si>
    <t>白敏</t>
  </si>
  <si>
    <t>15010114121</t>
  </si>
  <si>
    <t>梁宇</t>
  </si>
  <si>
    <t>15010114122</t>
  </si>
  <si>
    <t>高楷伦</t>
  </si>
  <si>
    <t>15010114123</t>
  </si>
  <si>
    <t>朱彤</t>
  </si>
  <si>
    <t>15010114124</t>
  </si>
  <si>
    <t>乌云毕力格</t>
  </si>
  <si>
    <t>15010114125</t>
  </si>
  <si>
    <t>奇煦乔</t>
  </si>
  <si>
    <t>15010114126</t>
  </si>
  <si>
    <t>李瑞</t>
  </si>
  <si>
    <t>15010114127</t>
  </si>
  <si>
    <t>江蕾</t>
  </si>
  <si>
    <t>15010114128</t>
  </si>
  <si>
    <t>张煊荣</t>
  </si>
  <si>
    <t>15010114129</t>
  </si>
  <si>
    <t>吴碧祖</t>
  </si>
  <si>
    <t>15010114130</t>
  </si>
  <si>
    <t>郭艳梅</t>
  </si>
  <si>
    <t>15010114201</t>
  </si>
  <si>
    <t>15010114202</t>
  </si>
  <si>
    <t>冯瑞娜</t>
  </si>
  <si>
    <t>15010114203</t>
  </si>
  <si>
    <t>15010114204</t>
  </si>
  <si>
    <t>雷媛</t>
  </si>
  <si>
    <t>15010114205</t>
  </si>
  <si>
    <t>15010114206</t>
  </si>
  <si>
    <t>安贺</t>
  </si>
  <si>
    <t>15010114207</t>
  </si>
  <si>
    <t>15010114208</t>
  </si>
  <si>
    <t>王轶姝</t>
  </si>
  <si>
    <t>15010114209</t>
  </si>
  <si>
    <t>张学亮</t>
  </si>
  <si>
    <t>15010114210</t>
  </si>
  <si>
    <t>郭浩</t>
  </si>
  <si>
    <t>15010114211</t>
  </si>
  <si>
    <t>李晓娟</t>
  </si>
  <si>
    <t>15010114212</t>
  </si>
  <si>
    <t>尚治鹏</t>
  </si>
  <si>
    <t>15010114213</t>
  </si>
  <si>
    <t>杨智会</t>
  </si>
  <si>
    <t>15010114214</t>
  </si>
  <si>
    <t>白媛媛</t>
  </si>
  <si>
    <t>15010114215</t>
  </si>
  <si>
    <t>杨卓拉</t>
  </si>
  <si>
    <t>15010114216</t>
  </si>
  <si>
    <t>史伊敏</t>
  </si>
  <si>
    <t>15010114217</t>
  </si>
  <si>
    <t>曹梦妮</t>
  </si>
  <si>
    <t>15010114218</t>
  </si>
  <si>
    <t>宋佳</t>
  </si>
  <si>
    <t>15010114219</t>
  </si>
  <si>
    <t>边利君</t>
  </si>
  <si>
    <t>15010114220</t>
  </si>
  <si>
    <t>高淑贤</t>
  </si>
  <si>
    <t>15010114221</t>
  </si>
  <si>
    <t>15010114222</t>
  </si>
  <si>
    <t>李旭东</t>
  </si>
  <si>
    <t>15010114223</t>
  </si>
  <si>
    <t>刘鑫宇</t>
  </si>
  <si>
    <t>15010114224</t>
  </si>
  <si>
    <t>张惠</t>
  </si>
  <si>
    <t>15010114225</t>
  </si>
  <si>
    <t>15010114226</t>
  </si>
  <si>
    <t>贺靖</t>
  </si>
  <si>
    <t>15010114227</t>
  </si>
  <si>
    <t>杨玉莹</t>
  </si>
  <si>
    <t>15010114228</t>
  </si>
  <si>
    <t>白情</t>
  </si>
  <si>
    <t>15010114229</t>
  </si>
  <si>
    <t>15010114230</t>
  </si>
  <si>
    <t>王晚惠</t>
  </si>
  <si>
    <t>15010114301</t>
  </si>
  <si>
    <t>杨瑞</t>
  </si>
  <si>
    <t>15010114302</t>
  </si>
  <si>
    <t>杨凯雯</t>
  </si>
  <si>
    <t>15010114303</t>
  </si>
  <si>
    <t>15010114304</t>
  </si>
  <si>
    <t>赵睿婕</t>
  </si>
  <si>
    <t>15010114305</t>
  </si>
  <si>
    <t>15010114306</t>
  </si>
  <si>
    <t>郭鑫</t>
  </si>
  <si>
    <t>15010114307</t>
  </si>
  <si>
    <t>15010114308</t>
  </si>
  <si>
    <t>李亭</t>
  </si>
  <si>
    <t>15010114309</t>
  </si>
  <si>
    <t>刘丹虹</t>
  </si>
  <si>
    <t>15010114310</t>
  </si>
  <si>
    <t>高月</t>
  </si>
  <si>
    <t>15010114311</t>
  </si>
  <si>
    <t>杜鑫</t>
  </si>
  <si>
    <t>15010114312</t>
  </si>
  <si>
    <t>郝世杰</t>
  </si>
  <si>
    <t>15010114313</t>
  </si>
  <si>
    <t>贾金璐</t>
  </si>
  <si>
    <t>15010114314</t>
  </si>
  <si>
    <t>15010114315</t>
  </si>
  <si>
    <t>15010114316</t>
  </si>
  <si>
    <t>张博宇</t>
  </si>
  <si>
    <t>15010114317</t>
  </si>
  <si>
    <t>高峰</t>
  </si>
  <si>
    <t>15010114318</t>
  </si>
  <si>
    <t>15010114319</t>
  </si>
  <si>
    <t>孟繁博</t>
  </si>
  <si>
    <t>15010114320</t>
  </si>
  <si>
    <t>苏海霞</t>
  </si>
  <si>
    <t>15010114321</t>
  </si>
  <si>
    <t>丁春越</t>
  </si>
  <si>
    <t>15010114322</t>
  </si>
  <si>
    <t>15010114323</t>
  </si>
  <si>
    <t>王子悦</t>
  </si>
  <si>
    <t>15010114324</t>
  </si>
  <si>
    <t>屈彩梅</t>
  </si>
  <si>
    <t>15010114325</t>
  </si>
  <si>
    <t>15010114326</t>
  </si>
  <si>
    <t>王月婷</t>
  </si>
  <si>
    <t>15010114327</t>
  </si>
  <si>
    <t>王羽琪</t>
  </si>
  <si>
    <t>15010114328</t>
  </si>
  <si>
    <t>刘伊彤</t>
  </si>
  <si>
    <t>15010114329</t>
  </si>
  <si>
    <t>15010114330</t>
  </si>
  <si>
    <t>15010114401</t>
  </si>
  <si>
    <t>郝蓉</t>
  </si>
  <si>
    <t>15010114402</t>
  </si>
  <si>
    <t>王一帆</t>
  </si>
  <si>
    <t>15010114403</t>
  </si>
  <si>
    <t>15010114404</t>
  </si>
  <si>
    <t>15010114405</t>
  </si>
  <si>
    <t>15010114406</t>
  </si>
  <si>
    <t>张宇欣</t>
  </si>
  <si>
    <t>15010114407</t>
  </si>
  <si>
    <t>孙浩</t>
  </si>
  <si>
    <t>15010114408</t>
  </si>
  <si>
    <t>15010114409</t>
  </si>
  <si>
    <t>路小雨</t>
  </si>
  <si>
    <t>15010114410</t>
  </si>
  <si>
    <t>15010114411</t>
  </si>
  <si>
    <t>15010114412</t>
  </si>
  <si>
    <t>15010114413</t>
  </si>
  <si>
    <t>高菊蔓</t>
  </si>
  <si>
    <t>15010114414</t>
  </si>
  <si>
    <t>侯慧</t>
  </si>
  <si>
    <t>15010114415</t>
  </si>
  <si>
    <t>15010114416</t>
  </si>
  <si>
    <t>郭厅</t>
  </si>
  <si>
    <t>15010114417</t>
  </si>
  <si>
    <t>苏悦</t>
  </si>
  <si>
    <t>15010114418</t>
  </si>
  <si>
    <t>王晓龙</t>
  </si>
  <si>
    <t>15010114419</t>
  </si>
  <si>
    <t>王国卿</t>
  </si>
  <si>
    <t>15010114420</t>
  </si>
  <si>
    <t>乔梅</t>
  </si>
  <si>
    <t>15010114421</t>
  </si>
  <si>
    <t>车慧芬</t>
  </si>
  <si>
    <t>15010114422</t>
  </si>
  <si>
    <t>那日娜</t>
  </si>
  <si>
    <t>15010114423</t>
  </si>
  <si>
    <t>李荣</t>
  </si>
  <si>
    <t>15010114424</t>
  </si>
  <si>
    <t>15010114425</t>
  </si>
  <si>
    <t>袁丹</t>
  </si>
  <si>
    <t>15010114426</t>
  </si>
  <si>
    <t>15010114427</t>
  </si>
  <si>
    <t>15010114428</t>
  </si>
  <si>
    <t>郝乐桐</t>
  </si>
  <si>
    <t>15010114429</t>
  </si>
  <si>
    <t>崔雨</t>
  </si>
  <si>
    <t>15010114430</t>
  </si>
  <si>
    <t>郭香</t>
  </si>
  <si>
    <t>15010114501</t>
  </si>
  <si>
    <t>崔鹏</t>
  </si>
  <si>
    <t>15010114502</t>
  </si>
  <si>
    <t>李琳琳</t>
  </si>
  <si>
    <t>15010114503</t>
  </si>
  <si>
    <t>苏磊</t>
  </si>
  <si>
    <t>15010114504</t>
  </si>
  <si>
    <t>宋燕</t>
  </si>
  <si>
    <t>15010114505</t>
  </si>
  <si>
    <t>15010114506</t>
  </si>
  <si>
    <t>潘治安</t>
  </si>
  <si>
    <t>15010114507</t>
  </si>
  <si>
    <t>侯博</t>
  </si>
  <si>
    <t>15010114508</t>
  </si>
  <si>
    <t>15010114509</t>
  </si>
  <si>
    <t>杨洋</t>
  </si>
  <si>
    <t>15010114510</t>
  </si>
  <si>
    <t>李博</t>
  </si>
  <si>
    <t>15010114511</t>
  </si>
  <si>
    <t>罗慧敏</t>
  </si>
  <si>
    <t>15010114512</t>
  </si>
  <si>
    <t>15010114513</t>
  </si>
  <si>
    <t>吴海燕</t>
  </si>
  <si>
    <t>15010114514</t>
  </si>
  <si>
    <t>李默涵</t>
  </si>
  <si>
    <t>15010114515</t>
  </si>
  <si>
    <t>贾娇</t>
  </si>
  <si>
    <t>15010114516</t>
  </si>
  <si>
    <t>裴芳</t>
  </si>
  <si>
    <t>15010114517</t>
  </si>
  <si>
    <t>吴政函</t>
  </si>
  <si>
    <t>15010114518</t>
  </si>
  <si>
    <t>何鹏</t>
  </si>
  <si>
    <t>15010114519</t>
  </si>
  <si>
    <t>杨舒媛</t>
  </si>
  <si>
    <t>15010114520</t>
  </si>
  <si>
    <t>孙小芳</t>
  </si>
  <si>
    <t>15010114521</t>
  </si>
  <si>
    <t>朱紫亨</t>
  </si>
  <si>
    <t>15010114522</t>
  </si>
  <si>
    <t>15010114523</t>
  </si>
  <si>
    <t>15010114524</t>
  </si>
  <si>
    <t>马伟</t>
  </si>
  <si>
    <t>15010114525</t>
  </si>
  <si>
    <t>孙小慧</t>
  </si>
  <si>
    <t>15010114526</t>
  </si>
  <si>
    <t>高茜</t>
  </si>
  <si>
    <t>15010114527</t>
  </si>
  <si>
    <t>白军</t>
  </si>
  <si>
    <t>15010114528</t>
  </si>
  <si>
    <t>15010114529</t>
  </si>
  <si>
    <t>朱红丽</t>
  </si>
  <si>
    <t>15010114530</t>
  </si>
  <si>
    <t>蒋小宇</t>
  </si>
  <si>
    <t>15010120101</t>
  </si>
  <si>
    <t>牛振国</t>
  </si>
  <si>
    <t>15010120102</t>
  </si>
  <si>
    <t>王瑞旭</t>
  </si>
  <si>
    <t>15010120103</t>
  </si>
  <si>
    <t>李锴卓</t>
  </si>
  <si>
    <t>15010120104</t>
  </si>
  <si>
    <t>李红梅</t>
  </si>
  <si>
    <t>15010120105</t>
  </si>
  <si>
    <t>刘鹏飞</t>
  </si>
  <si>
    <t>15010120106</t>
  </si>
  <si>
    <t>白鑫文</t>
  </si>
  <si>
    <t>15010120107</t>
  </si>
  <si>
    <t>高夕雅</t>
  </si>
  <si>
    <t>15010120108</t>
  </si>
  <si>
    <t>15010120109</t>
  </si>
  <si>
    <t>赵子清</t>
  </si>
  <si>
    <t>15010120110</t>
  </si>
  <si>
    <t>折宇嵩</t>
  </si>
  <si>
    <t>15010120111</t>
  </si>
  <si>
    <t>苏林浩</t>
  </si>
  <si>
    <t>15010120112</t>
  </si>
  <si>
    <t>张浩</t>
  </si>
  <si>
    <t>15010120113</t>
  </si>
  <si>
    <t>15010120114</t>
  </si>
  <si>
    <t>李赫</t>
  </si>
  <si>
    <t>15010120115</t>
  </si>
  <si>
    <t>15010120116</t>
  </si>
  <si>
    <t>15010120117</t>
  </si>
  <si>
    <t>宋媛媛</t>
  </si>
  <si>
    <t>15010120118</t>
  </si>
  <si>
    <t>杨虎</t>
  </si>
  <si>
    <t>15010120119</t>
  </si>
  <si>
    <t>王叶峰</t>
  </si>
  <si>
    <t>15010120120</t>
  </si>
  <si>
    <t>孙海艳</t>
  </si>
  <si>
    <t>15010120121</t>
  </si>
  <si>
    <t>15010120122</t>
  </si>
  <si>
    <t>15010120123</t>
  </si>
  <si>
    <t>梁娜</t>
  </si>
  <si>
    <t>15010120124</t>
  </si>
  <si>
    <t>乔悦</t>
  </si>
  <si>
    <t>15010120125</t>
  </si>
  <si>
    <t>尚金鑫</t>
  </si>
  <si>
    <t>15010120126</t>
  </si>
  <si>
    <t>张昊玮</t>
  </si>
  <si>
    <t>15010120127</t>
  </si>
  <si>
    <t>孟书妤</t>
  </si>
  <si>
    <t>15010120128</t>
  </si>
  <si>
    <t>燕婷</t>
  </si>
  <si>
    <t>15010120129</t>
  </si>
  <si>
    <t>15010120130</t>
  </si>
  <si>
    <t>乔艳</t>
  </si>
  <si>
    <t>15010120201</t>
  </si>
  <si>
    <t>李昊东</t>
  </si>
  <si>
    <t>15010120202</t>
  </si>
  <si>
    <t>杨嘉鑫</t>
  </si>
  <si>
    <t>15010120203</t>
  </si>
  <si>
    <t>15010120204</t>
  </si>
  <si>
    <t>崔鑫</t>
  </si>
  <si>
    <t>15010120205</t>
  </si>
  <si>
    <t>李书瑶</t>
  </si>
  <si>
    <t>15010120206</t>
  </si>
  <si>
    <t>高伊博</t>
  </si>
  <si>
    <t>15010120207</t>
  </si>
  <si>
    <t>刘继龙</t>
  </si>
  <si>
    <t>15010120208</t>
  </si>
  <si>
    <t>王宏</t>
  </si>
  <si>
    <t>15010120209</t>
  </si>
  <si>
    <t>刘平</t>
  </si>
  <si>
    <t>15010120210</t>
  </si>
  <si>
    <t>韩慧</t>
  </si>
  <si>
    <t>15010120211</t>
  </si>
  <si>
    <t>郝瑞</t>
  </si>
  <si>
    <t>15010120212</t>
  </si>
  <si>
    <t>赵曙月</t>
  </si>
  <si>
    <t>15010120213</t>
  </si>
  <si>
    <t>薛晨菲</t>
  </si>
  <si>
    <t>15010120214</t>
  </si>
  <si>
    <t>乔慧</t>
  </si>
  <si>
    <t>15010120215</t>
  </si>
  <si>
    <t>15010120216</t>
  </si>
  <si>
    <t>张艳军</t>
  </si>
  <si>
    <t>15010120217</t>
  </si>
  <si>
    <t>常月宁</t>
  </si>
  <si>
    <t>15010120218</t>
  </si>
  <si>
    <t>尚楚易</t>
  </si>
  <si>
    <t>15010120219</t>
  </si>
  <si>
    <t>15010120220</t>
  </si>
  <si>
    <t>白奕璇</t>
  </si>
  <si>
    <t>15010120221</t>
  </si>
  <si>
    <t>宋雅洁</t>
  </si>
  <si>
    <t>15010120222</t>
  </si>
  <si>
    <t>白晓燕</t>
  </si>
  <si>
    <t>15010120223</t>
  </si>
  <si>
    <t>15010120224</t>
  </si>
  <si>
    <t>折璐</t>
  </si>
  <si>
    <t>15010120225</t>
  </si>
  <si>
    <t>郭伟</t>
  </si>
  <si>
    <t>15010120226</t>
  </si>
  <si>
    <t>郝娇</t>
  </si>
  <si>
    <t>15010120227</t>
  </si>
  <si>
    <t>15010120228</t>
  </si>
  <si>
    <t>刘子祺</t>
  </si>
  <si>
    <t>15010120229</t>
  </si>
  <si>
    <t>李杰</t>
  </si>
  <si>
    <t>15010120230</t>
  </si>
  <si>
    <t>贺慧</t>
  </si>
  <si>
    <t>15010120301</t>
  </si>
  <si>
    <t>武胜利</t>
  </si>
  <si>
    <t>15010120302</t>
  </si>
  <si>
    <t>范新宇</t>
  </si>
  <si>
    <t>15010120303</t>
  </si>
  <si>
    <t>张雯璇</t>
  </si>
  <si>
    <t>15010120304</t>
  </si>
  <si>
    <t>樊涛</t>
  </si>
  <si>
    <t>15010120305</t>
  </si>
  <si>
    <t>吴雅楠</t>
  </si>
  <si>
    <t>15010120306</t>
  </si>
  <si>
    <t>张占杰</t>
  </si>
  <si>
    <t>15010120307</t>
  </si>
  <si>
    <t>秦茹</t>
  </si>
  <si>
    <t>15010120308</t>
  </si>
  <si>
    <t>孟红霞</t>
  </si>
  <si>
    <t>15010120309</t>
  </si>
  <si>
    <t>15010120310</t>
  </si>
  <si>
    <t>白腾荣</t>
  </si>
  <si>
    <t>15010120311</t>
  </si>
  <si>
    <t>15010120312</t>
  </si>
  <si>
    <t>袁莲</t>
  </si>
  <si>
    <t>15010120313</t>
  </si>
  <si>
    <t>王梦雨</t>
  </si>
  <si>
    <t>15010120314</t>
  </si>
  <si>
    <t>武志</t>
  </si>
  <si>
    <t>15010120315</t>
  </si>
  <si>
    <t>王源</t>
  </si>
  <si>
    <t>15010120316</t>
  </si>
  <si>
    <t>张福荣</t>
  </si>
  <si>
    <t>15010120317</t>
  </si>
  <si>
    <t>高瑞婕</t>
  </si>
  <si>
    <t>15010120318</t>
  </si>
  <si>
    <t>王以晴</t>
  </si>
  <si>
    <t>15010120319</t>
  </si>
  <si>
    <t>高芳</t>
  </si>
  <si>
    <t>15010120320</t>
  </si>
  <si>
    <t>李泽江</t>
  </si>
  <si>
    <t>15010120321</t>
  </si>
  <si>
    <t>郝瑞杰</t>
  </si>
  <si>
    <t>15010120322</t>
  </si>
  <si>
    <t>田波</t>
  </si>
  <si>
    <t>15010120323</t>
  </si>
  <si>
    <t>15010120324</t>
  </si>
  <si>
    <t>范鹭</t>
  </si>
  <si>
    <t>15010120325</t>
  </si>
  <si>
    <t>15010120326</t>
  </si>
  <si>
    <t>张谨如</t>
  </si>
  <si>
    <t>15010120327</t>
  </si>
  <si>
    <t>康智强</t>
  </si>
  <si>
    <t>15010120328</t>
  </si>
  <si>
    <t>15010120329</t>
  </si>
  <si>
    <t>15010120330</t>
  </si>
  <si>
    <t>张海东</t>
  </si>
  <si>
    <t>15010120401</t>
  </si>
  <si>
    <t>15010120402</t>
  </si>
  <si>
    <t>李亚妮</t>
  </si>
  <si>
    <t>15010120403</t>
  </si>
  <si>
    <t>15010120404</t>
  </si>
  <si>
    <t>15010120405</t>
  </si>
  <si>
    <t>李梦思</t>
  </si>
  <si>
    <t>15010120406</t>
  </si>
  <si>
    <t>尚鑫</t>
  </si>
  <si>
    <t>15010120407</t>
  </si>
  <si>
    <t>白荣</t>
  </si>
  <si>
    <t>15010120408</t>
  </si>
  <si>
    <t>吴杰</t>
  </si>
  <si>
    <t>15010120409</t>
  </si>
  <si>
    <t>15010120410</t>
  </si>
  <si>
    <t>贾逗敏</t>
  </si>
  <si>
    <t>15010120411</t>
  </si>
  <si>
    <t>张晓艳</t>
  </si>
  <si>
    <t>15010120412</t>
  </si>
  <si>
    <t>鄂日乐</t>
  </si>
  <si>
    <t>15010120413</t>
  </si>
  <si>
    <t>徐鑫</t>
  </si>
  <si>
    <t>15010120414</t>
  </si>
  <si>
    <t>15010120415</t>
  </si>
  <si>
    <t>刘成伟</t>
  </si>
  <si>
    <t>15010120416</t>
  </si>
  <si>
    <t>15010120417</t>
  </si>
  <si>
    <t>焦磊</t>
  </si>
  <si>
    <t>15010120418</t>
  </si>
  <si>
    <t>高瑞敏</t>
  </si>
  <si>
    <t>15010120419</t>
  </si>
  <si>
    <t>李瑞娟</t>
  </si>
  <si>
    <t>15010120420</t>
  </si>
  <si>
    <t>訾宇亮</t>
  </si>
  <si>
    <t>15010120421</t>
  </si>
  <si>
    <t>李於峰</t>
  </si>
  <si>
    <t>15010120422</t>
  </si>
  <si>
    <t>程颜慧</t>
  </si>
  <si>
    <t>15010120423</t>
  </si>
  <si>
    <t>张斌</t>
  </si>
  <si>
    <t>15010120424</t>
  </si>
  <si>
    <t>徐鲜</t>
  </si>
  <si>
    <t>15010120425</t>
  </si>
  <si>
    <t>杨乐</t>
  </si>
  <si>
    <t>15010120426</t>
  </si>
  <si>
    <t>崔梦婷</t>
  </si>
  <si>
    <t>15010120427</t>
  </si>
  <si>
    <t>杨丽霞</t>
  </si>
  <si>
    <t>15010120428</t>
  </si>
  <si>
    <t>王凯晖</t>
  </si>
  <si>
    <t>15010120429</t>
  </si>
  <si>
    <t>王璐瑶</t>
  </si>
  <si>
    <t>15010120430</t>
  </si>
  <si>
    <t>杨月</t>
  </si>
  <si>
    <t>15010120501</t>
  </si>
  <si>
    <t>李榕</t>
  </si>
  <si>
    <t>15010120502</t>
  </si>
  <si>
    <t>15010120503</t>
  </si>
  <si>
    <t>15010120504</t>
  </si>
  <si>
    <t>白龙</t>
  </si>
  <si>
    <t>15010120505</t>
  </si>
  <si>
    <t>15010120506</t>
  </si>
  <si>
    <t>孙禹婷</t>
  </si>
  <si>
    <t>15010120507</t>
  </si>
  <si>
    <t>白雪苗</t>
  </si>
  <si>
    <t>15010120508</t>
  </si>
  <si>
    <t>雷震</t>
  </si>
  <si>
    <t>15010120509</t>
  </si>
  <si>
    <t>郁智超</t>
  </si>
  <si>
    <t>15010120510</t>
  </si>
  <si>
    <t>吕昕昊</t>
  </si>
  <si>
    <t>15010120511</t>
  </si>
  <si>
    <t>15010120512</t>
  </si>
  <si>
    <t>朱容</t>
  </si>
  <si>
    <t>15010120513</t>
  </si>
  <si>
    <t>高叶荣</t>
  </si>
  <si>
    <t>15010120514</t>
  </si>
  <si>
    <t>郭燕荣</t>
  </si>
  <si>
    <t>15010120515</t>
  </si>
  <si>
    <t>15010120516</t>
  </si>
  <si>
    <t>高荣</t>
  </si>
  <si>
    <t>15010120517</t>
  </si>
  <si>
    <t>15010120518</t>
  </si>
  <si>
    <t>15010120519</t>
  </si>
  <si>
    <t>折艳霞</t>
  </si>
  <si>
    <t>15010120520</t>
  </si>
  <si>
    <t>王瑞平</t>
  </si>
  <si>
    <t>15010120521</t>
  </si>
  <si>
    <t>边玲</t>
  </si>
  <si>
    <t>15010120522</t>
  </si>
  <si>
    <t>越敏</t>
  </si>
  <si>
    <t>15010120523</t>
  </si>
  <si>
    <t>白震</t>
  </si>
  <si>
    <t>15010120524</t>
  </si>
  <si>
    <t>乔涛</t>
  </si>
  <si>
    <t>15010120525</t>
  </si>
  <si>
    <t>王浩鼎</t>
  </si>
  <si>
    <t>15010120526</t>
  </si>
  <si>
    <t>王新月</t>
  </si>
  <si>
    <t>15010120527</t>
  </si>
  <si>
    <t>15010120528</t>
  </si>
  <si>
    <t>杨善文</t>
  </si>
  <si>
    <t>15010120529</t>
  </si>
  <si>
    <t>15010120530</t>
  </si>
  <si>
    <t>15010120601</t>
  </si>
  <si>
    <t>15010120602</t>
  </si>
  <si>
    <t>张在霞</t>
  </si>
  <si>
    <t>15010120603</t>
  </si>
  <si>
    <t>张密</t>
  </si>
  <si>
    <t>15010120604</t>
  </si>
  <si>
    <t>陈轩昊</t>
  </si>
  <si>
    <t>15010120605</t>
  </si>
  <si>
    <t>高旭</t>
  </si>
  <si>
    <t>15010120606</t>
  </si>
  <si>
    <t>苏瑶</t>
  </si>
  <si>
    <t>15010120607</t>
  </si>
  <si>
    <t>刘羽</t>
  </si>
  <si>
    <t>15010120608</t>
  </si>
  <si>
    <t>赵倩</t>
  </si>
  <si>
    <t>15010120609</t>
  </si>
  <si>
    <t>闫静迪</t>
  </si>
  <si>
    <t>15010120610</t>
  </si>
  <si>
    <t>杨彩霞</t>
  </si>
  <si>
    <t>15010120611</t>
  </si>
  <si>
    <t>刘元</t>
  </si>
  <si>
    <t>15010120612</t>
  </si>
  <si>
    <t>15010120613</t>
  </si>
  <si>
    <t>15010120614</t>
  </si>
  <si>
    <t>李兴丰</t>
  </si>
  <si>
    <t>15010120615</t>
  </si>
  <si>
    <t>15010120616</t>
  </si>
  <si>
    <t>郭龙</t>
  </si>
  <si>
    <t>15010120617</t>
  </si>
  <si>
    <t>15010120618</t>
  </si>
  <si>
    <t>贾倩</t>
  </si>
  <si>
    <t>15010120619</t>
  </si>
  <si>
    <t>郭建廷</t>
  </si>
  <si>
    <t>15010120620</t>
  </si>
  <si>
    <t>越仙录</t>
  </si>
  <si>
    <t>15010120621</t>
  </si>
  <si>
    <t>陶星</t>
  </si>
  <si>
    <t>15010120622</t>
  </si>
  <si>
    <t>王凯飚</t>
  </si>
  <si>
    <t>15010120623</t>
  </si>
  <si>
    <t>边龙</t>
  </si>
  <si>
    <t>15010120624</t>
  </si>
  <si>
    <t>刘彩月</t>
  </si>
  <si>
    <t>15010120625</t>
  </si>
  <si>
    <t>15010120626</t>
  </si>
  <si>
    <t>张利雄</t>
  </si>
  <si>
    <t>15010120627</t>
  </si>
  <si>
    <t>王伊娜</t>
  </si>
  <si>
    <t>15010120628</t>
  </si>
  <si>
    <t>王东</t>
  </si>
  <si>
    <t>15010120629</t>
  </si>
  <si>
    <t>宋玉叶</t>
  </si>
  <si>
    <t>15010120630</t>
  </si>
  <si>
    <t>倪瑄</t>
  </si>
  <si>
    <t>15010120701</t>
  </si>
  <si>
    <t>15010120702</t>
  </si>
  <si>
    <t>赵敏</t>
  </si>
  <si>
    <t>15010120703</t>
  </si>
  <si>
    <t>高智敏</t>
  </si>
  <si>
    <t>15010120704</t>
  </si>
  <si>
    <t>高智伟</t>
  </si>
  <si>
    <t>15010120705</t>
  </si>
  <si>
    <t>李睿知</t>
  </si>
  <si>
    <t>15010120706</t>
  </si>
  <si>
    <t>15010120707</t>
  </si>
  <si>
    <t>潘文秀</t>
  </si>
  <si>
    <t>15010120708</t>
  </si>
  <si>
    <t>苏凯勃</t>
  </si>
  <si>
    <t>15010120709</t>
  </si>
  <si>
    <t>杨钰蓉</t>
  </si>
  <si>
    <t>15010120710</t>
  </si>
  <si>
    <t>马龙</t>
  </si>
  <si>
    <t>15010120711</t>
  </si>
  <si>
    <t>刘艳梅</t>
  </si>
  <si>
    <t>15010120712</t>
  </si>
  <si>
    <t>石如玉</t>
  </si>
  <si>
    <t>15010120713</t>
  </si>
  <si>
    <t>祁晔廷</t>
  </si>
  <si>
    <t>15010120714</t>
  </si>
  <si>
    <t>15010120715</t>
  </si>
  <si>
    <t>陈丽媛</t>
  </si>
  <si>
    <t>15010120716</t>
  </si>
  <si>
    <t>黄莹</t>
  </si>
  <si>
    <t>15010120717</t>
  </si>
  <si>
    <t>贺志强</t>
  </si>
  <si>
    <t>15010120718</t>
  </si>
  <si>
    <t>刘磊</t>
  </si>
  <si>
    <t>15010120719</t>
  </si>
  <si>
    <t>奥鹏</t>
  </si>
  <si>
    <t>15010120720</t>
  </si>
  <si>
    <t>15010120721</t>
  </si>
  <si>
    <t>苏小军</t>
  </si>
  <si>
    <t>15010120722</t>
  </si>
  <si>
    <t>15010120723</t>
  </si>
  <si>
    <t>呼啸</t>
  </si>
  <si>
    <t>15010120724</t>
  </si>
  <si>
    <t>刘乐梅</t>
  </si>
  <si>
    <t>15010120725</t>
  </si>
  <si>
    <t>张慧玲</t>
  </si>
  <si>
    <t>15010120726</t>
  </si>
  <si>
    <t>15010120727</t>
  </si>
  <si>
    <t>朱林</t>
  </si>
  <si>
    <t>15010120728</t>
  </si>
  <si>
    <t>高艳红</t>
  </si>
  <si>
    <t>15010120729</t>
  </si>
  <si>
    <t>段惠</t>
  </si>
  <si>
    <t>15010120730</t>
  </si>
  <si>
    <t>乔惠</t>
  </si>
  <si>
    <t>15010120801</t>
  </si>
  <si>
    <t>15010120802</t>
  </si>
  <si>
    <t>孟雨欣</t>
  </si>
  <si>
    <t>15010120803</t>
  </si>
  <si>
    <t>刘晓川</t>
  </si>
  <si>
    <t>15010120804</t>
  </si>
  <si>
    <t>15010120805</t>
  </si>
  <si>
    <t>乔一丹</t>
  </si>
  <si>
    <t>15010120806</t>
  </si>
  <si>
    <t>杜益璇</t>
  </si>
  <si>
    <t>15010120807</t>
  </si>
  <si>
    <t>胡瑞</t>
  </si>
  <si>
    <t>15010120808</t>
  </si>
  <si>
    <t>王紫苑</t>
  </si>
  <si>
    <t>15010120809</t>
  </si>
  <si>
    <t>刘思秒</t>
  </si>
  <si>
    <t>15010120810</t>
  </si>
  <si>
    <t>武晓艳</t>
  </si>
  <si>
    <t>15010120811</t>
  </si>
  <si>
    <t>15010120812</t>
  </si>
  <si>
    <t>李小刚</t>
  </si>
  <si>
    <t>15010120813</t>
  </si>
  <si>
    <t>邱奇鹏</t>
  </si>
  <si>
    <t>15010120814</t>
  </si>
  <si>
    <t>李涛</t>
  </si>
  <si>
    <t>15010120815</t>
  </si>
  <si>
    <t>15010120816</t>
  </si>
  <si>
    <t>贾伟</t>
  </si>
  <si>
    <t>15010120817</t>
  </si>
  <si>
    <t>石丹</t>
  </si>
  <si>
    <t>15010120818</t>
  </si>
  <si>
    <t>张这</t>
  </si>
  <si>
    <t>15010120819</t>
  </si>
  <si>
    <t>15010120820</t>
  </si>
  <si>
    <t>雷桃</t>
  </si>
  <si>
    <t>15010120821</t>
  </si>
  <si>
    <t>张雪</t>
  </si>
  <si>
    <t>15010120822</t>
  </si>
  <si>
    <t>15010120823</t>
  </si>
  <si>
    <t>张桃</t>
  </si>
  <si>
    <t>15010120824</t>
  </si>
  <si>
    <t>郭娇</t>
  </si>
  <si>
    <t>15010120825</t>
  </si>
  <si>
    <t>杨舒文</t>
  </si>
  <si>
    <t>15010120826</t>
  </si>
  <si>
    <t>李姣</t>
  </si>
  <si>
    <t>15010120827</t>
  </si>
  <si>
    <t>贺丽</t>
  </si>
  <si>
    <t>15010120828</t>
  </si>
  <si>
    <t>牛林林</t>
  </si>
  <si>
    <t>15010120829</t>
  </si>
  <si>
    <t>15010120830</t>
  </si>
  <si>
    <t>李佳妮</t>
  </si>
  <si>
    <t>15010120901</t>
  </si>
  <si>
    <t>马富强</t>
  </si>
  <si>
    <t>15010120902</t>
  </si>
  <si>
    <t>张栗溟</t>
  </si>
  <si>
    <t>15010120903</t>
  </si>
  <si>
    <t>15010120904</t>
  </si>
  <si>
    <t>邱鑫渊</t>
  </si>
  <si>
    <t>15010120905</t>
  </si>
  <si>
    <t>张俊峰</t>
  </si>
  <si>
    <t>15010120906</t>
  </si>
  <si>
    <t>15010120907</t>
  </si>
  <si>
    <t>贺茹</t>
  </si>
  <si>
    <t>15010120908</t>
  </si>
  <si>
    <t>方华</t>
  </si>
  <si>
    <t>15010120909</t>
  </si>
  <si>
    <t>苏雪艳</t>
  </si>
  <si>
    <t>15010120910</t>
  </si>
  <si>
    <t>刘静</t>
  </si>
  <si>
    <t>15010120911</t>
  </si>
  <si>
    <t>刘学锋</t>
  </si>
  <si>
    <t>15010120912</t>
  </si>
  <si>
    <t>贾治</t>
  </si>
  <si>
    <t>15010120913</t>
  </si>
  <si>
    <t>郝益冉</t>
  </si>
  <si>
    <t>15010120914</t>
  </si>
  <si>
    <t>李明</t>
  </si>
  <si>
    <t>15010120915</t>
  </si>
  <si>
    <t>赵蓉</t>
  </si>
  <si>
    <t>15010120916</t>
  </si>
  <si>
    <t>温利梅</t>
  </si>
  <si>
    <t>15010120917</t>
  </si>
  <si>
    <t>白梅</t>
  </si>
  <si>
    <t>15010120918</t>
  </si>
  <si>
    <t>董娜</t>
  </si>
  <si>
    <t>15010120919</t>
  </si>
  <si>
    <t>张鑫东</t>
  </si>
  <si>
    <t>15010120920</t>
  </si>
  <si>
    <t>张倩</t>
  </si>
  <si>
    <t>15010120921</t>
  </si>
  <si>
    <t>15010120922</t>
  </si>
  <si>
    <t>郭志峰</t>
  </si>
  <si>
    <t>15010120923</t>
  </si>
  <si>
    <t>朱海军</t>
  </si>
  <si>
    <t>15010120924</t>
  </si>
  <si>
    <t>15010120925</t>
  </si>
  <si>
    <t>訾雯淇</t>
  </si>
  <si>
    <t>15010120926</t>
  </si>
  <si>
    <t>张亚红</t>
  </si>
  <si>
    <t>15010120927</t>
  </si>
  <si>
    <t>赵雨</t>
  </si>
  <si>
    <t>15010120928</t>
  </si>
  <si>
    <t>马宇洁</t>
  </si>
  <si>
    <t>15010120929</t>
  </si>
  <si>
    <t>15010120930</t>
  </si>
  <si>
    <t>杨巧梅</t>
  </si>
  <si>
    <t>15010121001</t>
  </si>
  <si>
    <t>单平</t>
  </si>
  <si>
    <t>15010121002</t>
  </si>
  <si>
    <t>15010121003</t>
  </si>
  <si>
    <t>李旭阳</t>
  </si>
  <si>
    <t>15010121004</t>
  </si>
  <si>
    <t>陈豆豆</t>
  </si>
  <si>
    <t>15010121005</t>
  </si>
  <si>
    <t>张星</t>
  </si>
  <si>
    <t>15010121006</t>
  </si>
  <si>
    <t>15010121007</t>
  </si>
  <si>
    <t>杨慧芳</t>
  </si>
  <si>
    <t>15010121008</t>
  </si>
  <si>
    <t>刘雅雯</t>
  </si>
  <si>
    <t>15010121009</t>
  </si>
  <si>
    <t>15010121010</t>
  </si>
  <si>
    <t>党慧</t>
  </si>
  <si>
    <t>15010121011</t>
  </si>
  <si>
    <t>牛振宇</t>
  </si>
  <si>
    <t>15010121012</t>
  </si>
  <si>
    <t>王国梁</t>
  </si>
  <si>
    <t>15010121013</t>
  </si>
  <si>
    <t>雷雪婷</t>
  </si>
  <si>
    <t>15010121014</t>
  </si>
  <si>
    <t>刘艺阳</t>
  </si>
  <si>
    <t>15010121015</t>
  </si>
  <si>
    <t>15010121016</t>
  </si>
  <si>
    <t>15010121017</t>
  </si>
  <si>
    <t>王勇智</t>
  </si>
  <si>
    <t>15010121018</t>
  </si>
  <si>
    <t>白院</t>
  </si>
  <si>
    <t>15010121019</t>
  </si>
  <si>
    <t>15010121020</t>
  </si>
  <si>
    <t>15010121021</t>
  </si>
  <si>
    <t>郝丽雪</t>
  </si>
  <si>
    <t>15010121022</t>
  </si>
  <si>
    <t>15010121023</t>
  </si>
  <si>
    <t>苏艳</t>
  </si>
  <si>
    <t>15010121024</t>
  </si>
  <si>
    <t>李媛媛</t>
  </si>
  <si>
    <t>15010121025</t>
  </si>
  <si>
    <t>卢平</t>
  </si>
  <si>
    <t>15010121026</t>
  </si>
  <si>
    <t>15010121027</t>
  </si>
  <si>
    <t>杨建勋</t>
  </si>
  <si>
    <t>15010121028</t>
  </si>
  <si>
    <t>宋宇</t>
  </si>
  <si>
    <t>15010121029</t>
  </si>
  <si>
    <t>解廷锋</t>
  </si>
  <si>
    <t>15010121030</t>
  </si>
  <si>
    <t>白宏伟</t>
  </si>
  <si>
    <t>15010121101</t>
  </si>
  <si>
    <t>李惠学</t>
  </si>
  <si>
    <t>15010121102</t>
  </si>
  <si>
    <t>15010121103</t>
  </si>
  <si>
    <t>程孝文</t>
  </si>
  <si>
    <t>15010121104</t>
  </si>
  <si>
    <t>15010121105</t>
  </si>
  <si>
    <t>余伟</t>
  </si>
  <si>
    <t>15010121106</t>
  </si>
  <si>
    <t>李业鹏</t>
  </si>
  <si>
    <t>15010121107</t>
  </si>
  <si>
    <t>王小强</t>
  </si>
  <si>
    <t>15010121108</t>
  </si>
  <si>
    <t>张宏磊</t>
  </si>
  <si>
    <t>15010121109</t>
  </si>
  <si>
    <t>杨珊珊</t>
  </si>
  <si>
    <t>15010121110</t>
  </si>
  <si>
    <t>张红</t>
  </si>
  <si>
    <t>15010121111</t>
  </si>
  <si>
    <t>张慧宁</t>
  </si>
  <si>
    <t>15010121112</t>
  </si>
  <si>
    <t>15010121113</t>
  </si>
  <si>
    <t>刘牧阳</t>
  </si>
  <si>
    <t>15010121114</t>
  </si>
  <si>
    <t>15010121115</t>
  </si>
  <si>
    <t>何帅</t>
  </si>
  <si>
    <t>15010121116</t>
  </si>
  <si>
    <t>15010121117</t>
  </si>
  <si>
    <t>15010121118</t>
  </si>
  <si>
    <t>张路慧</t>
  </si>
  <si>
    <t>15010121119</t>
  </si>
  <si>
    <t>15010121120</t>
  </si>
  <si>
    <t>冯小龙</t>
  </si>
  <si>
    <t>15010121121</t>
  </si>
  <si>
    <t>武伟</t>
  </si>
  <si>
    <t>15010121122</t>
  </si>
  <si>
    <t>池金霞</t>
  </si>
  <si>
    <t>15010121123</t>
  </si>
  <si>
    <t>齐叶玲</t>
  </si>
  <si>
    <t>15010121124</t>
  </si>
  <si>
    <t>15010121125</t>
  </si>
  <si>
    <t>乔雅璐</t>
  </si>
  <si>
    <t>15010121126</t>
  </si>
  <si>
    <t>白怡炯</t>
  </si>
  <si>
    <t>15010121127</t>
  </si>
  <si>
    <t>刘宁</t>
  </si>
  <si>
    <t>15010121128</t>
  </si>
  <si>
    <t>宋丹</t>
  </si>
  <si>
    <t>15010121129</t>
  </si>
  <si>
    <t>杨晓龙</t>
  </si>
  <si>
    <t>15010121130</t>
  </si>
  <si>
    <t>袁军</t>
  </si>
  <si>
    <t>15010121201</t>
  </si>
  <si>
    <t>苗宇</t>
  </si>
  <si>
    <t>15010121202</t>
  </si>
  <si>
    <t>王东芳</t>
  </si>
  <si>
    <t>15010121203</t>
  </si>
  <si>
    <t>乔飞</t>
  </si>
  <si>
    <t>15010121204</t>
  </si>
  <si>
    <t>15010121205</t>
  </si>
  <si>
    <t>侯广宇</t>
  </si>
  <si>
    <t>15010121206</t>
  </si>
  <si>
    <t>李换</t>
  </si>
  <si>
    <t>15010121207</t>
  </si>
  <si>
    <t>15010121208</t>
  </si>
  <si>
    <t>何蕊</t>
  </si>
  <si>
    <t>15010121209</t>
  </si>
  <si>
    <t>15010121210</t>
  </si>
  <si>
    <t>牛江源</t>
  </si>
  <si>
    <t>15010121211</t>
  </si>
  <si>
    <t>15010121212</t>
  </si>
  <si>
    <t>张雪婷</t>
  </si>
  <si>
    <t>15010121213</t>
  </si>
  <si>
    <t>刘源</t>
  </si>
  <si>
    <t>15010121214</t>
  </si>
  <si>
    <t>闫敏</t>
  </si>
  <si>
    <t>15010121215</t>
  </si>
  <si>
    <t>屈瑞芬</t>
  </si>
  <si>
    <t>15010121216</t>
  </si>
  <si>
    <t>吕娇</t>
  </si>
  <si>
    <t>15010121217</t>
  </si>
  <si>
    <t>杜伟</t>
  </si>
  <si>
    <t>15010121218</t>
  </si>
  <si>
    <t>刘陈龙</t>
  </si>
  <si>
    <t>15010121219</t>
  </si>
  <si>
    <t>15010121220</t>
  </si>
  <si>
    <t>马英</t>
  </si>
  <si>
    <t>15010121221</t>
  </si>
  <si>
    <t>王如愿</t>
  </si>
  <si>
    <t>15010121222</t>
  </si>
  <si>
    <t>15010121223</t>
  </si>
  <si>
    <t>谢学敏</t>
  </si>
  <si>
    <t>15010121224</t>
  </si>
  <si>
    <t>15010121225</t>
  </si>
  <si>
    <t>李鲜萍</t>
  </si>
  <si>
    <t>15010121226</t>
  </si>
  <si>
    <t>张晓微</t>
  </si>
  <si>
    <t>15010121227</t>
  </si>
  <si>
    <t>杨波</t>
  </si>
  <si>
    <t>15010121228</t>
  </si>
  <si>
    <t>王永伟</t>
  </si>
  <si>
    <t>15010121229</t>
  </si>
  <si>
    <t>李帅</t>
  </si>
  <si>
    <t>15010121230</t>
  </si>
  <si>
    <t>15010121301</t>
  </si>
  <si>
    <t>张永丽</t>
  </si>
  <si>
    <t>15010121302</t>
  </si>
  <si>
    <t>15010121303</t>
  </si>
  <si>
    <t>15010121304</t>
  </si>
  <si>
    <t>杨泽龙</t>
  </si>
  <si>
    <t>15010121305</t>
  </si>
  <si>
    <t>段梦瑶</t>
  </si>
  <si>
    <t>15010121306</t>
  </si>
  <si>
    <t>毕利格图</t>
  </si>
  <si>
    <t>15010121307</t>
  </si>
  <si>
    <t>越茹</t>
  </si>
  <si>
    <t>15010121308</t>
  </si>
  <si>
    <t>胡俊羽</t>
  </si>
  <si>
    <t>15010121309</t>
  </si>
  <si>
    <t>刘芬</t>
  </si>
  <si>
    <t>15010121310</t>
  </si>
  <si>
    <t>冯帅</t>
  </si>
  <si>
    <t>15010121311</t>
  </si>
  <si>
    <t>王东伟</t>
  </si>
  <si>
    <t>15010121312</t>
  </si>
  <si>
    <t>刘耀坊</t>
  </si>
  <si>
    <t>15010121313</t>
  </si>
  <si>
    <t>许慧媛</t>
  </si>
  <si>
    <t>15010121314</t>
  </si>
  <si>
    <t>张燕</t>
  </si>
  <si>
    <t>15010121315</t>
  </si>
  <si>
    <t>高婷</t>
  </si>
  <si>
    <t>15010121316</t>
  </si>
  <si>
    <t>杨婧</t>
  </si>
  <si>
    <t>15010121317</t>
  </si>
  <si>
    <t>杨荣</t>
  </si>
  <si>
    <t>15010121318</t>
  </si>
  <si>
    <t>张晓娟</t>
  </si>
  <si>
    <t>15010121319</t>
  </si>
  <si>
    <t>15010121320</t>
  </si>
  <si>
    <t>15010121321</t>
  </si>
  <si>
    <t>15010121322</t>
  </si>
  <si>
    <t>赵海龙</t>
  </si>
  <si>
    <t>15010121323</t>
  </si>
  <si>
    <t>陈瑞</t>
  </si>
  <si>
    <t>15010121324</t>
  </si>
  <si>
    <t>李盈萱</t>
  </si>
  <si>
    <t>15010121325</t>
  </si>
  <si>
    <t>张珂嘉</t>
  </si>
  <si>
    <t>15010121326</t>
  </si>
  <si>
    <t>潘轩</t>
  </si>
  <si>
    <t>15010121327</t>
  </si>
  <si>
    <t>15010121328</t>
  </si>
  <si>
    <t>折梦怡</t>
  </si>
  <si>
    <t>15010121329</t>
  </si>
  <si>
    <t>李珂</t>
  </si>
  <si>
    <t>15010121330</t>
  </si>
  <si>
    <t>安娜</t>
  </si>
  <si>
    <t>15010121401</t>
  </si>
  <si>
    <t>刘晓丽</t>
  </si>
  <si>
    <t>15010121402</t>
  </si>
  <si>
    <t>王利强</t>
  </si>
  <si>
    <t>15010121403</t>
  </si>
  <si>
    <t>李思雨</t>
  </si>
  <si>
    <t>15010121404</t>
  </si>
  <si>
    <t>宋杰</t>
  </si>
  <si>
    <t>15010121405</t>
  </si>
  <si>
    <t>刘庆</t>
  </si>
  <si>
    <t>15010121406</t>
  </si>
  <si>
    <t>王宇蒙</t>
  </si>
  <si>
    <t>15010121407</t>
  </si>
  <si>
    <t>15010121408</t>
  </si>
  <si>
    <t>15010121409</t>
  </si>
  <si>
    <t>张俊霞</t>
  </si>
  <si>
    <t>15010121410</t>
  </si>
  <si>
    <t>李娇</t>
  </si>
  <si>
    <t>15010121411</t>
  </si>
  <si>
    <t>赵阳</t>
  </si>
  <si>
    <t>15010121412</t>
  </si>
  <si>
    <t>卜庆娜</t>
  </si>
  <si>
    <t>15010121413</t>
  </si>
  <si>
    <t>15010121414</t>
  </si>
  <si>
    <t>常鑫</t>
  </si>
  <si>
    <t>15010121415</t>
  </si>
  <si>
    <t>15010121416</t>
  </si>
  <si>
    <t>15010121417</t>
  </si>
  <si>
    <t>张翔宇</t>
  </si>
  <si>
    <t>15010121418</t>
  </si>
  <si>
    <t>呼尚雍</t>
  </si>
  <si>
    <t>15010121419</t>
  </si>
  <si>
    <t>曹婷</t>
  </si>
  <si>
    <t>15010121420</t>
  </si>
  <si>
    <t>高帆</t>
  </si>
  <si>
    <t>15010121421</t>
  </si>
  <si>
    <t>15010121422</t>
  </si>
  <si>
    <t>边荣</t>
  </si>
  <si>
    <t>15010121423</t>
  </si>
  <si>
    <t>杜炳毅</t>
  </si>
  <si>
    <t>15010121424</t>
  </si>
  <si>
    <t>乔鲜</t>
  </si>
  <si>
    <t>15010121425</t>
  </si>
  <si>
    <t>曹荣荣</t>
  </si>
  <si>
    <t>15010121426</t>
  </si>
  <si>
    <t>祁鑫田</t>
  </si>
  <si>
    <t>15010121427</t>
  </si>
  <si>
    <t>15010121428</t>
  </si>
  <si>
    <t>乔瑞</t>
  </si>
  <si>
    <t>15010121429</t>
  </si>
  <si>
    <t>韩聃</t>
  </si>
  <si>
    <t>15010121430</t>
  </si>
  <si>
    <t>山丹</t>
  </si>
  <si>
    <t>15010121501</t>
  </si>
  <si>
    <t>张娟</t>
  </si>
  <si>
    <t>15010121502</t>
  </si>
  <si>
    <t>李小龙</t>
  </si>
  <si>
    <t>15010121503</t>
  </si>
  <si>
    <t>15010121504</t>
  </si>
  <si>
    <t>15010121505</t>
  </si>
  <si>
    <t>苏鑫</t>
  </si>
  <si>
    <t>15010121506</t>
  </si>
  <si>
    <t>张莉铭</t>
  </si>
  <si>
    <t>15010121507</t>
  </si>
  <si>
    <t>解昊宇</t>
  </si>
  <si>
    <t>15010121508</t>
  </si>
  <si>
    <t>袁晓红</t>
  </si>
  <si>
    <t>15010121509</t>
  </si>
  <si>
    <t>许峰源</t>
  </si>
  <si>
    <t>15010121510</t>
  </si>
  <si>
    <t>15010121511</t>
  </si>
  <si>
    <t>李立强</t>
  </si>
  <si>
    <t>15010121512</t>
  </si>
  <si>
    <t>刘红梅</t>
  </si>
  <si>
    <t>15010121513</t>
  </si>
  <si>
    <t>刘月蓉</t>
  </si>
  <si>
    <t>15010121514</t>
  </si>
  <si>
    <t>刘婷</t>
  </si>
  <si>
    <t>15010121515</t>
  </si>
  <si>
    <t>撖慧蓉</t>
  </si>
  <si>
    <t>15010121516</t>
  </si>
  <si>
    <t>15010121517</t>
  </si>
  <si>
    <t>段挺</t>
  </si>
  <si>
    <t>15010121518</t>
  </si>
  <si>
    <t>15010121519</t>
  </si>
  <si>
    <t>单露</t>
  </si>
  <si>
    <t>15010121520</t>
  </si>
  <si>
    <t>张强</t>
  </si>
  <si>
    <t>15010121521</t>
  </si>
  <si>
    <t>吴晓燕</t>
  </si>
  <si>
    <t>15010121522</t>
  </si>
  <si>
    <t>15010121523</t>
  </si>
  <si>
    <t>15010121524</t>
  </si>
  <si>
    <t>苏慧</t>
  </si>
  <si>
    <t>15010121525</t>
  </si>
  <si>
    <t>乔二娜</t>
  </si>
  <si>
    <t>15010121526</t>
  </si>
  <si>
    <t>刘科</t>
  </si>
  <si>
    <t>15010121527</t>
  </si>
  <si>
    <t>杨学平</t>
  </si>
  <si>
    <t>15010121528</t>
  </si>
  <si>
    <t>徐孟聪</t>
  </si>
  <si>
    <t>15010121529</t>
  </si>
  <si>
    <t>15010121530</t>
  </si>
  <si>
    <t>栗强</t>
  </si>
  <si>
    <t>15010121601</t>
  </si>
  <si>
    <t>马一宁</t>
  </si>
  <si>
    <t>15010121602</t>
  </si>
  <si>
    <t>15010121603</t>
  </si>
  <si>
    <t>15010121604</t>
  </si>
  <si>
    <t>15010121605</t>
  </si>
  <si>
    <t>杜国庆</t>
  </si>
  <si>
    <t>15010121606</t>
  </si>
  <si>
    <t>宋雨</t>
  </si>
  <si>
    <t>15010121607</t>
  </si>
  <si>
    <t>赵倩仪</t>
  </si>
  <si>
    <t>15010121608</t>
  </si>
  <si>
    <t>15010121609</t>
  </si>
  <si>
    <t>15010121610</t>
  </si>
  <si>
    <t>15010121611</t>
  </si>
  <si>
    <t>屈敏</t>
  </si>
  <si>
    <t>15010121612</t>
  </si>
  <si>
    <t>张朝风</t>
  </si>
  <si>
    <t>15010121613</t>
  </si>
  <si>
    <t>王龙</t>
  </si>
  <si>
    <t>15010121614</t>
  </si>
  <si>
    <t>韩青霖</t>
  </si>
  <si>
    <t>15010121615</t>
  </si>
  <si>
    <t>杨厅</t>
  </si>
  <si>
    <t>15010121616</t>
  </si>
  <si>
    <t>乌力吉</t>
  </si>
  <si>
    <t>15010121617</t>
  </si>
  <si>
    <t>15010121618</t>
  </si>
  <si>
    <t>15010121619</t>
  </si>
  <si>
    <t>15010121620</t>
  </si>
  <si>
    <t>杨小平</t>
  </si>
  <si>
    <t>15010121621</t>
  </si>
  <si>
    <t>钱贤芝</t>
  </si>
  <si>
    <t>15010121622</t>
  </si>
  <si>
    <t>武琳</t>
  </si>
  <si>
    <t>15010121623</t>
  </si>
  <si>
    <t>15010121624</t>
  </si>
  <si>
    <t>刘杰</t>
  </si>
  <si>
    <t>15010121625</t>
  </si>
  <si>
    <t>15010121626</t>
  </si>
  <si>
    <t>李军</t>
  </si>
  <si>
    <t>15010121627</t>
  </si>
  <si>
    <t>白旭东</t>
  </si>
  <si>
    <t>15010121628</t>
  </si>
  <si>
    <t>杨凡</t>
  </si>
  <si>
    <t>15010121629</t>
  </si>
  <si>
    <t>王瑞霞</t>
  </si>
  <si>
    <t>15010121630</t>
  </si>
  <si>
    <t>韩婷</t>
  </si>
  <si>
    <t>15010121701</t>
  </si>
  <si>
    <t>冯锦玺</t>
  </si>
  <si>
    <t>15010121702</t>
  </si>
  <si>
    <t>张红艳</t>
  </si>
  <si>
    <t>15010121703</t>
  </si>
  <si>
    <t>色迪亚</t>
  </si>
  <si>
    <t>15010121704</t>
  </si>
  <si>
    <t>15010121705</t>
  </si>
  <si>
    <t>张书荣</t>
  </si>
  <si>
    <t>15010121706</t>
  </si>
  <si>
    <t>赵青</t>
  </si>
  <si>
    <t>15010121707</t>
  </si>
  <si>
    <t>15010121708</t>
  </si>
  <si>
    <t>薛玉龙</t>
  </si>
  <si>
    <t>15010121709</t>
  </si>
  <si>
    <t>柳俊</t>
  </si>
  <si>
    <t>15010121710</t>
  </si>
  <si>
    <t>任义</t>
  </si>
  <si>
    <t>15010121711</t>
  </si>
  <si>
    <t>周昊</t>
  </si>
  <si>
    <t>15010121712</t>
  </si>
  <si>
    <t>闫明</t>
  </si>
  <si>
    <t>15010121713</t>
  </si>
  <si>
    <t>祁瑞</t>
  </si>
  <si>
    <t>15010121714</t>
  </si>
  <si>
    <t>秦嘉隆</t>
  </si>
  <si>
    <t>15010121715</t>
  </si>
  <si>
    <t>雷锋</t>
  </si>
  <si>
    <t>15010121716</t>
  </si>
  <si>
    <t>徐梦怡</t>
  </si>
  <si>
    <t>15010121717</t>
  </si>
  <si>
    <t>刘沙</t>
  </si>
  <si>
    <t>15010121718</t>
  </si>
  <si>
    <t>王波</t>
  </si>
  <si>
    <t>15010121719</t>
  </si>
  <si>
    <t>李昀洋</t>
  </si>
  <si>
    <t>15010121720</t>
  </si>
  <si>
    <t>王书裕</t>
  </si>
  <si>
    <t>15010121721</t>
  </si>
  <si>
    <t>徐乐</t>
  </si>
  <si>
    <t>15010121722</t>
  </si>
  <si>
    <t>文珠娜</t>
  </si>
  <si>
    <t>15010121723</t>
  </si>
  <si>
    <t>15010121724</t>
  </si>
  <si>
    <t>杨勇</t>
  </si>
  <si>
    <t>15010121725</t>
  </si>
  <si>
    <t>何娜</t>
  </si>
  <si>
    <t>15010121726</t>
  </si>
  <si>
    <t>15010121727</t>
  </si>
  <si>
    <t>白艳</t>
  </si>
  <si>
    <t>15010121728</t>
  </si>
  <si>
    <t>高洁</t>
  </si>
  <si>
    <t>15010121729</t>
  </si>
  <si>
    <t>杨婷婷</t>
  </si>
  <si>
    <t>15010121730</t>
  </si>
  <si>
    <t>15010121801</t>
  </si>
  <si>
    <t>张瑞芳</t>
  </si>
  <si>
    <t>15010121802</t>
  </si>
  <si>
    <t>袁鸣春</t>
  </si>
  <si>
    <t>15010121803</t>
  </si>
  <si>
    <t>燕云飞</t>
  </si>
  <si>
    <t>15010121804</t>
  </si>
  <si>
    <t>丁贵芳</t>
  </si>
  <si>
    <t>15010121805</t>
  </si>
  <si>
    <t>15010121806</t>
  </si>
  <si>
    <t>杜加伟</t>
  </si>
  <si>
    <t>15010121807</t>
  </si>
  <si>
    <t>张龙英</t>
  </si>
  <si>
    <t>15010121808</t>
  </si>
  <si>
    <t>李政凯</t>
  </si>
  <si>
    <t>15010121809</t>
  </si>
  <si>
    <t>张伊娜</t>
  </si>
  <si>
    <t>15010121810</t>
  </si>
  <si>
    <t>郝廷</t>
  </si>
  <si>
    <t>15010121811</t>
  </si>
  <si>
    <t>史瑞敏</t>
  </si>
  <si>
    <t>15010121812</t>
  </si>
  <si>
    <t>孙文文</t>
  </si>
  <si>
    <t>15010121813</t>
  </si>
  <si>
    <t>15010121814</t>
  </si>
  <si>
    <t>高瑞芳</t>
  </si>
  <si>
    <t>15010121815</t>
  </si>
  <si>
    <t>15010121816</t>
  </si>
  <si>
    <t>解钦岗</t>
  </si>
  <si>
    <t>15010121817</t>
  </si>
  <si>
    <t>拓志刚</t>
  </si>
  <si>
    <t>15010121818</t>
  </si>
  <si>
    <t>刘文艺</t>
  </si>
  <si>
    <t>15010121819</t>
  </si>
  <si>
    <t>刘彩霞</t>
  </si>
  <si>
    <t>15010121820</t>
  </si>
  <si>
    <t>白志刚</t>
  </si>
  <si>
    <t>15010121821</t>
  </si>
  <si>
    <t>苗梦园</t>
  </si>
  <si>
    <t>15010121822</t>
  </si>
  <si>
    <t>牛婷</t>
  </si>
  <si>
    <t>15010121823</t>
  </si>
  <si>
    <t>杨学峰</t>
  </si>
  <si>
    <t>15010121824</t>
  </si>
  <si>
    <t>张子捷</t>
  </si>
  <si>
    <t>15010121825</t>
  </si>
  <si>
    <t>李蓉蓉</t>
  </si>
  <si>
    <t>15010121826</t>
  </si>
  <si>
    <t>鲁艳红</t>
  </si>
  <si>
    <t>15010121827</t>
  </si>
  <si>
    <t>15010121828</t>
  </si>
  <si>
    <t>张雪姣</t>
  </si>
  <si>
    <t>15010121829</t>
  </si>
  <si>
    <t>杨杰</t>
  </si>
  <si>
    <t>15010121830</t>
  </si>
  <si>
    <t>魏嘉宏</t>
  </si>
  <si>
    <t>15010121901</t>
  </si>
  <si>
    <t>刘瑞霞</t>
  </si>
  <si>
    <t>15010121902</t>
  </si>
  <si>
    <t>李宇亭</t>
  </si>
  <si>
    <t>15010121903</t>
  </si>
  <si>
    <t>高亮</t>
  </si>
  <si>
    <t>15010121904</t>
  </si>
  <si>
    <t>项璐</t>
  </si>
  <si>
    <t>15010121905</t>
  </si>
  <si>
    <t>15010121906</t>
  </si>
  <si>
    <t>15010121907</t>
  </si>
  <si>
    <t>范丽娜</t>
  </si>
  <si>
    <t>15010121908</t>
  </si>
  <si>
    <t>15010121909</t>
  </si>
  <si>
    <t>丁瑞</t>
  </si>
  <si>
    <t>15010121910</t>
  </si>
  <si>
    <t>李小芳</t>
  </si>
  <si>
    <t>15010121911</t>
  </si>
  <si>
    <t>杨婷</t>
  </si>
  <si>
    <t>15010121912</t>
  </si>
  <si>
    <t>15010121913</t>
  </si>
  <si>
    <t>郭翊霖</t>
  </si>
  <si>
    <t>15010121914</t>
  </si>
  <si>
    <t>王艺彭</t>
  </si>
  <si>
    <t>15010121915</t>
  </si>
  <si>
    <t>尚旭龙</t>
  </si>
  <si>
    <t>15010121916</t>
  </si>
  <si>
    <t>马艳</t>
  </si>
  <si>
    <t>15010121917</t>
  </si>
  <si>
    <t>15010121918</t>
  </si>
  <si>
    <t>杨艳萍</t>
  </si>
  <si>
    <t>15010121919</t>
  </si>
  <si>
    <t>15010121920</t>
  </si>
  <si>
    <t>王瑞杰</t>
  </si>
  <si>
    <t>15010121921</t>
  </si>
  <si>
    <t>何星仪</t>
  </si>
  <si>
    <t>15010121922</t>
  </si>
  <si>
    <t>15010121923</t>
  </si>
  <si>
    <t>苏欣</t>
  </si>
  <si>
    <t>15010121924</t>
  </si>
  <si>
    <t>武宝玉</t>
  </si>
  <si>
    <t>15010121925</t>
  </si>
  <si>
    <t>李月婷</t>
  </si>
  <si>
    <t>15010121926</t>
  </si>
  <si>
    <t>15010121927</t>
  </si>
  <si>
    <t>张志元</t>
  </si>
  <si>
    <t>15010121928</t>
  </si>
  <si>
    <t>李小慧</t>
  </si>
  <si>
    <t>15010121929</t>
  </si>
  <si>
    <t>15010121930</t>
  </si>
  <si>
    <t>15010122001</t>
  </si>
  <si>
    <t>祁慧</t>
  </si>
  <si>
    <t>15010122002</t>
  </si>
  <si>
    <t>苏柳淯</t>
  </si>
  <si>
    <t>15010122003</t>
  </si>
  <si>
    <t>15010122004</t>
  </si>
  <si>
    <t>15010122005</t>
  </si>
  <si>
    <t>刘宜彤</t>
  </si>
  <si>
    <t>15010122006</t>
  </si>
  <si>
    <t>张博宁</t>
  </si>
  <si>
    <t>15010122007</t>
  </si>
  <si>
    <t>倪瑞彤</t>
  </si>
  <si>
    <t>15010122008</t>
  </si>
  <si>
    <t>杨伊博</t>
  </si>
  <si>
    <t>15010122009</t>
  </si>
  <si>
    <t>王玉霞</t>
  </si>
  <si>
    <t>15010122010</t>
  </si>
  <si>
    <t>15010122011</t>
  </si>
  <si>
    <t>杨正</t>
  </si>
  <si>
    <t>15010122012</t>
  </si>
  <si>
    <t>温娜</t>
  </si>
  <si>
    <t>15010122013</t>
  </si>
  <si>
    <t>15010122014</t>
  </si>
  <si>
    <t>15010122015</t>
  </si>
  <si>
    <t>薛蓉</t>
  </si>
  <si>
    <t>15010122016</t>
  </si>
  <si>
    <t>张月梅</t>
  </si>
  <si>
    <t>15010122017</t>
  </si>
  <si>
    <t>信东</t>
  </si>
  <si>
    <t>15010122018</t>
  </si>
  <si>
    <t>白莉</t>
  </si>
  <si>
    <t>15010122019</t>
  </si>
  <si>
    <t>张波</t>
  </si>
  <si>
    <t>15010122020</t>
  </si>
  <si>
    <t>张小春</t>
  </si>
  <si>
    <t>15010122021</t>
  </si>
  <si>
    <t>乔凯</t>
  </si>
  <si>
    <t>15010122022</t>
  </si>
  <si>
    <t>15010122023</t>
  </si>
  <si>
    <t>郝彦慧</t>
  </si>
  <si>
    <t>15010122024</t>
  </si>
  <si>
    <t>李鹏路</t>
  </si>
  <si>
    <t>15010122025</t>
  </si>
  <si>
    <t>15010122026</t>
  </si>
  <si>
    <t>15010122027</t>
  </si>
  <si>
    <t>蒋慧</t>
  </si>
  <si>
    <t>15010122028</t>
  </si>
  <si>
    <t>闫昕嵘</t>
  </si>
  <si>
    <t>15010122029</t>
  </si>
  <si>
    <t>15010122030</t>
  </si>
  <si>
    <t>李茜颖</t>
  </si>
  <si>
    <t>15010122101</t>
  </si>
  <si>
    <t>郝慧婷</t>
  </si>
  <si>
    <t>15010122102</t>
  </si>
  <si>
    <t>王东升</t>
  </si>
  <si>
    <t>15010122103</t>
  </si>
  <si>
    <t>刘荣霞</t>
  </si>
  <si>
    <t>15010122104</t>
  </si>
  <si>
    <t>杨浩东</t>
  </si>
  <si>
    <t>15010122105</t>
  </si>
  <si>
    <t>杨慧敏</t>
  </si>
  <si>
    <t>15010122106</t>
  </si>
  <si>
    <t>薛科</t>
  </si>
  <si>
    <t>15010122107</t>
  </si>
  <si>
    <t>刘卓宇</t>
  </si>
  <si>
    <t>15010122108</t>
  </si>
  <si>
    <t>刘彦龙</t>
  </si>
  <si>
    <t>15010122109</t>
  </si>
  <si>
    <t>刘智龙</t>
  </si>
  <si>
    <t>15010122110</t>
  </si>
  <si>
    <t>15010122111</t>
  </si>
  <si>
    <t>宋鑫宇</t>
  </si>
  <si>
    <t>15010122112</t>
  </si>
  <si>
    <t>王瑞芳</t>
  </si>
  <si>
    <t>15010122113</t>
  </si>
  <si>
    <t>白晓梦</t>
  </si>
  <si>
    <t>15010122114</t>
  </si>
  <si>
    <t>乔敏杰</t>
  </si>
  <si>
    <t>15010122115</t>
  </si>
  <si>
    <t>15010122116</t>
  </si>
  <si>
    <t>15010122117</t>
  </si>
  <si>
    <t>赵媛</t>
  </si>
  <si>
    <t>15010122118</t>
  </si>
  <si>
    <t>吴凯强</t>
  </si>
  <si>
    <t>15010122119</t>
  </si>
  <si>
    <t>张妮</t>
  </si>
  <si>
    <t>15010122120</t>
  </si>
  <si>
    <t>娜木拉</t>
  </si>
  <si>
    <t>15010122121</t>
  </si>
  <si>
    <t>张凯毓</t>
  </si>
  <si>
    <t>15010122122</t>
  </si>
  <si>
    <t>苏燕梅</t>
  </si>
  <si>
    <t>15010122123</t>
  </si>
  <si>
    <t>102_面向旗国资局备案国企职工岗位（国企考生）</t>
  </si>
  <si>
    <t>宋鹏</t>
  </si>
  <si>
    <t>15010222201</t>
  </si>
  <si>
    <t>15010222202</t>
  </si>
  <si>
    <t>郝瑞东</t>
  </si>
  <si>
    <t>15010222203</t>
  </si>
  <si>
    <t>杨芳</t>
  </si>
  <si>
    <t>15010222204</t>
  </si>
  <si>
    <t>郝红叶</t>
  </si>
  <si>
    <t>15010222205</t>
  </si>
  <si>
    <t>单学刚</t>
  </si>
  <si>
    <t>15010222206</t>
  </si>
  <si>
    <t>侯倩雯</t>
  </si>
  <si>
    <t>15010222207</t>
  </si>
  <si>
    <t>宋佳鑫</t>
  </si>
  <si>
    <t>15010222208</t>
  </si>
  <si>
    <t>刘亦婷</t>
  </si>
  <si>
    <t>15010222209</t>
  </si>
  <si>
    <t>雷雄</t>
  </si>
  <si>
    <t>15010222210</t>
  </si>
  <si>
    <t>田乐</t>
  </si>
  <si>
    <t>15010222211</t>
  </si>
  <si>
    <t>蒋峰</t>
  </si>
  <si>
    <t>15010222212</t>
  </si>
  <si>
    <t>15010222213</t>
  </si>
  <si>
    <t>牛瑞</t>
  </si>
  <si>
    <t>15010222214</t>
  </si>
  <si>
    <t>15010222215</t>
  </si>
  <si>
    <t>满达</t>
  </si>
  <si>
    <t>15010222216</t>
  </si>
  <si>
    <t>高如滔</t>
  </si>
  <si>
    <t>15010222217</t>
  </si>
  <si>
    <t>高璐</t>
  </si>
  <si>
    <t>15010222218</t>
  </si>
  <si>
    <t>李晨越</t>
  </si>
  <si>
    <t>15010222219</t>
  </si>
  <si>
    <t>孙天庆</t>
  </si>
  <si>
    <t>15010222220</t>
  </si>
  <si>
    <t>15010222221</t>
  </si>
  <si>
    <t>边冉</t>
  </si>
  <si>
    <t>15010222222</t>
  </si>
  <si>
    <t>苗东青</t>
  </si>
  <si>
    <t>15010222223</t>
  </si>
  <si>
    <t>韩淑妤</t>
  </si>
  <si>
    <t>15010222224</t>
  </si>
  <si>
    <t>杨少博</t>
  </si>
  <si>
    <t>15010222225</t>
  </si>
  <si>
    <t>15010222226</t>
  </si>
  <si>
    <t>张薇</t>
  </si>
  <si>
    <t>15010222227</t>
  </si>
  <si>
    <t>高瑞阳</t>
  </si>
  <si>
    <t>15010222228</t>
  </si>
  <si>
    <t>15010222229</t>
  </si>
  <si>
    <t>王子越</t>
  </si>
  <si>
    <t>15010222230</t>
  </si>
  <si>
    <t>宋宇鹏</t>
  </si>
  <si>
    <t>15010222301</t>
  </si>
  <si>
    <t>冯哲</t>
  </si>
  <si>
    <t>15010222302</t>
  </si>
  <si>
    <t>杨洁</t>
  </si>
  <si>
    <t>15010222303</t>
  </si>
  <si>
    <t>马帅</t>
  </si>
  <si>
    <t>15010222304</t>
  </si>
  <si>
    <t>庞宇</t>
  </si>
  <si>
    <t>15010222305</t>
  </si>
  <si>
    <t>秦凤</t>
  </si>
  <si>
    <t>15010222306</t>
  </si>
  <si>
    <t>陈丽</t>
  </si>
  <si>
    <t>15010222307</t>
  </si>
  <si>
    <t>秦家木</t>
  </si>
  <si>
    <t>15010222308</t>
  </si>
  <si>
    <t>乔峤</t>
  </si>
  <si>
    <t>15010222309</t>
  </si>
  <si>
    <t>刘欣荣</t>
  </si>
  <si>
    <t>15010222310</t>
  </si>
  <si>
    <t>15010222311</t>
  </si>
  <si>
    <t>王少春</t>
  </si>
  <si>
    <t>15010222312</t>
  </si>
  <si>
    <t>张峰</t>
  </si>
  <si>
    <t>15010222313</t>
  </si>
  <si>
    <t>15010222314</t>
  </si>
  <si>
    <t>张智远</t>
  </si>
  <si>
    <t>15010222315</t>
  </si>
  <si>
    <t>王庭</t>
  </si>
  <si>
    <t>15010222316</t>
  </si>
  <si>
    <t>马国卿</t>
  </si>
  <si>
    <t>15010222317</t>
  </si>
  <si>
    <t>石慧龙</t>
  </si>
  <si>
    <t>15010222318</t>
  </si>
  <si>
    <t>王学萍</t>
  </si>
  <si>
    <t>15010222319</t>
  </si>
  <si>
    <t>边伟</t>
  </si>
  <si>
    <t>15010222320</t>
  </si>
  <si>
    <t>云小雨</t>
  </si>
  <si>
    <t>15010222321</t>
  </si>
  <si>
    <t>郭佳良</t>
  </si>
  <si>
    <t>15010222322</t>
  </si>
  <si>
    <t>耿伟</t>
  </si>
  <si>
    <t>15010222323</t>
  </si>
  <si>
    <t>高慧军</t>
  </si>
  <si>
    <t>15010222324</t>
  </si>
  <si>
    <t>吴昊月</t>
  </si>
  <si>
    <t>15010222325</t>
  </si>
  <si>
    <t>艾春佳</t>
  </si>
  <si>
    <t>15010222326</t>
  </si>
  <si>
    <t>高彩红</t>
  </si>
  <si>
    <t>15010222327</t>
  </si>
  <si>
    <t>15010222328</t>
  </si>
  <si>
    <t>15010222329</t>
  </si>
  <si>
    <t>15010222330</t>
  </si>
  <si>
    <t>李玉平</t>
  </si>
  <si>
    <t>15010222401</t>
  </si>
  <si>
    <t>訾小英</t>
  </si>
  <si>
    <t>15010222402</t>
  </si>
  <si>
    <t>15010222403</t>
  </si>
  <si>
    <t>冯旭慧</t>
  </si>
  <si>
    <t>15010222404</t>
  </si>
  <si>
    <t>王启东</t>
  </si>
  <si>
    <t>15010222405</t>
  </si>
  <si>
    <t>杜东</t>
  </si>
  <si>
    <t>15010222406</t>
  </si>
  <si>
    <t>张弓</t>
  </si>
  <si>
    <t>15010222407</t>
  </si>
  <si>
    <t>15010222408</t>
  </si>
  <si>
    <t>杜睿蓉</t>
  </si>
  <si>
    <t>15010222409</t>
  </si>
  <si>
    <t>郝婷</t>
  </si>
  <si>
    <t>15010222410</t>
  </si>
  <si>
    <t>15010222411</t>
  </si>
  <si>
    <t>李惠</t>
  </si>
  <si>
    <t>15010222412</t>
  </si>
  <si>
    <t>段圆圆</t>
  </si>
  <si>
    <t>15010222413</t>
  </si>
  <si>
    <t>孟慧鹏</t>
  </si>
  <si>
    <t>15010222414</t>
  </si>
  <si>
    <t>何婧璞</t>
  </si>
  <si>
    <t>15010222415</t>
  </si>
  <si>
    <t>李洁</t>
  </si>
  <si>
    <t>15010222416</t>
  </si>
  <si>
    <t>杨彦军</t>
  </si>
  <si>
    <t>15010222417</t>
  </si>
  <si>
    <t>王正</t>
  </si>
  <si>
    <t>15010222418</t>
  </si>
  <si>
    <t>高文霞</t>
  </si>
  <si>
    <t>15010222419</t>
  </si>
  <si>
    <t>15010222420</t>
  </si>
  <si>
    <t>杜佳龙</t>
  </si>
  <si>
    <t>15010222421</t>
  </si>
  <si>
    <t>15010222422</t>
  </si>
  <si>
    <t>贺晓丽</t>
  </si>
  <si>
    <t>15010222423</t>
  </si>
  <si>
    <t>屈媛媛</t>
  </si>
  <si>
    <t>15010222424</t>
  </si>
  <si>
    <t>朱湘楠</t>
  </si>
  <si>
    <t>15010222425</t>
  </si>
  <si>
    <t>杨晓华</t>
  </si>
  <si>
    <t>15010222426</t>
  </si>
  <si>
    <t>康红霞</t>
  </si>
  <si>
    <t>15010222427</t>
  </si>
  <si>
    <t>张宪</t>
  </si>
  <si>
    <t>15010222428</t>
  </si>
  <si>
    <t>吴梦瑶</t>
  </si>
  <si>
    <t>15010222429</t>
  </si>
  <si>
    <t>苏蒙</t>
  </si>
  <si>
    <t>15010222430</t>
  </si>
  <si>
    <t>娜仁图</t>
  </si>
  <si>
    <t>15010222501</t>
  </si>
  <si>
    <t>武吉雅</t>
  </si>
  <si>
    <t>15010222502</t>
  </si>
  <si>
    <t>15010222503</t>
  </si>
  <si>
    <t>李淑敏</t>
  </si>
  <si>
    <t>15010222504</t>
  </si>
  <si>
    <t>吴燕妮</t>
  </si>
  <si>
    <t>15010222505</t>
  </si>
  <si>
    <t>15010222506</t>
  </si>
  <si>
    <t>15010222507</t>
  </si>
  <si>
    <t>郭姝廷</t>
  </si>
  <si>
    <t>15010222508</t>
  </si>
  <si>
    <t>丁慧</t>
  </si>
  <si>
    <t>15010222509</t>
  </si>
  <si>
    <t>许扬扬</t>
  </si>
  <si>
    <t>15010222510</t>
  </si>
  <si>
    <t>韩梅</t>
  </si>
  <si>
    <t>15010222511</t>
  </si>
  <si>
    <t>张莉娜</t>
  </si>
  <si>
    <t>15010222512</t>
  </si>
  <si>
    <t>王芳</t>
  </si>
  <si>
    <t>15010222513</t>
  </si>
  <si>
    <t>徐磊</t>
  </si>
  <si>
    <t>15010222514</t>
  </si>
  <si>
    <t>李雪梅</t>
  </si>
  <si>
    <t>15010222515</t>
  </si>
  <si>
    <t>郭鹏飞</t>
  </si>
  <si>
    <t>15010222516</t>
  </si>
  <si>
    <t>塔娜</t>
  </si>
  <si>
    <t>15010222517</t>
  </si>
  <si>
    <t>杨普铭</t>
  </si>
  <si>
    <t>15010222518</t>
  </si>
  <si>
    <t>陈彩玲</t>
  </si>
  <si>
    <t>15010222519</t>
  </si>
  <si>
    <t>刘二旭</t>
  </si>
  <si>
    <t>15010222520</t>
  </si>
  <si>
    <t>刘开</t>
  </si>
  <si>
    <t>15010222521</t>
  </si>
  <si>
    <t>15010222522</t>
  </si>
  <si>
    <t>15010222523</t>
  </si>
  <si>
    <t>15010222524</t>
  </si>
  <si>
    <t>柴姝娟</t>
  </si>
  <si>
    <t>15010222525</t>
  </si>
  <si>
    <t>白鸽</t>
  </si>
  <si>
    <t>15010222526</t>
  </si>
  <si>
    <t>张赫</t>
  </si>
  <si>
    <t>15010222527</t>
  </si>
  <si>
    <t>15010222528</t>
  </si>
  <si>
    <t>白叶平</t>
  </si>
  <si>
    <t>15010222529</t>
  </si>
  <si>
    <t>邓柯芳</t>
  </si>
  <si>
    <t>15010222530</t>
  </si>
  <si>
    <t>苗荣</t>
  </si>
  <si>
    <t>15010222601</t>
  </si>
  <si>
    <t>何智</t>
  </si>
  <si>
    <t>15010222602</t>
  </si>
  <si>
    <t>李巨源</t>
  </si>
  <si>
    <t>15010222603</t>
  </si>
  <si>
    <t>15010222604</t>
  </si>
  <si>
    <t>15010222605</t>
  </si>
  <si>
    <t>张国庆</t>
  </si>
  <si>
    <t>15010222606</t>
  </si>
  <si>
    <t>15010222607</t>
  </si>
  <si>
    <t>孙建伟</t>
  </si>
  <si>
    <t>15010222608</t>
  </si>
  <si>
    <t>白利</t>
  </si>
  <si>
    <t>15010222609</t>
  </si>
  <si>
    <t>白亮</t>
  </si>
  <si>
    <t>15010222610</t>
  </si>
  <si>
    <t>15010222611</t>
  </si>
  <si>
    <t>15010222612</t>
  </si>
  <si>
    <t>赵星珂</t>
  </si>
  <si>
    <t>15010222613</t>
  </si>
  <si>
    <t>15010222614</t>
  </si>
  <si>
    <t>曹普舜</t>
  </si>
  <si>
    <t>15010222615</t>
  </si>
  <si>
    <t>乔晋璞</t>
  </si>
  <si>
    <t>15010222616</t>
  </si>
  <si>
    <t>温瑞芳</t>
  </si>
  <si>
    <t>15010222617</t>
  </si>
  <si>
    <t>陈慧帮</t>
  </si>
  <si>
    <t>15010222618</t>
  </si>
  <si>
    <t>尚红丽</t>
  </si>
  <si>
    <t>15010222619</t>
  </si>
  <si>
    <t>刘晶欣</t>
  </si>
  <si>
    <t>15010222620</t>
  </si>
  <si>
    <t>贺蓉</t>
  </si>
  <si>
    <t>15010222621</t>
  </si>
  <si>
    <t>郭宏瑞</t>
  </si>
  <si>
    <t>15010222622</t>
  </si>
  <si>
    <t>田宇</t>
  </si>
  <si>
    <t>15010222623</t>
  </si>
  <si>
    <t>呼楷波</t>
  </si>
  <si>
    <t>15010222624</t>
  </si>
  <si>
    <t>杨皓光</t>
  </si>
  <si>
    <t>15010222625</t>
  </si>
  <si>
    <t>温强</t>
  </si>
  <si>
    <t>15010222626</t>
  </si>
  <si>
    <t>云娜</t>
  </si>
  <si>
    <t>15010222627</t>
  </si>
  <si>
    <t>訾悦</t>
  </si>
  <si>
    <t>15010222628</t>
  </si>
  <si>
    <t>郝艳</t>
  </si>
  <si>
    <t>15010222629</t>
  </si>
  <si>
    <t>15010222630</t>
  </si>
  <si>
    <t>雷庆</t>
  </si>
  <si>
    <t>15010222701</t>
  </si>
  <si>
    <t>苗艳</t>
  </si>
  <si>
    <t>15010222702</t>
  </si>
  <si>
    <t>李治挺</t>
  </si>
  <si>
    <t>15010222703</t>
  </si>
  <si>
    <t>刘敏</t>
  </si>
  <si>
    <t>15010222704</t>
  </si>
  <si>
    <t>15010222705</t>
  </si>
  <si>
    <t>白璞</t>
  </si>
  <si>
    <t>15010222706</t>
  </si>
  <si>
    <t>15010222707</t>
  </si>
  <si>
    <t>倪静</t>
  </si>
  <si>
    <t>15010222708</t>
  </si>
  <si>
    <t>15010222709</t>
  </si>
  <si>
    <t>张荣浩</t>
  </si>
  <si>
    <t>15010222710</t>
  </si>
  <si>
    <t>王星</t>
  </si>
  <si>
    <t>15010222711</t>
  </si>
  <si>
    <t>崔晓艳</t>
  </si>
  <si>
    <t>15010222712</t>
  </si>
  <si>
    <t>兰璐</t>
  </si>
  <si>
    <t>15010222713</t>
  </si>
  <si>
    <t>莎茹拉</t>
  </si>
  <si>
    <t>15010222714</t>
  </si>
  <si>
    <t>张虎</t>
  </si>
  <si>
    <t>15010222715</t>
  </si>
  <si>
    <t>白禄源</t>
  </si>
  <si>
    <t>15010222716</t>
  </si>
  <si>
    <t>吕博一</t>
  </si>
  <si>
    <t>15010222717</t>
  </si>
  <si>
    <t>蒙娜</t>
  </si>
  <si>
    <t>15010222718</t>
  </si>
  <si>
    <t>孟宇星</t>
  </si>
  <si>
    <t>15010222719</t>
  </si>
  <si>
    <t>张建新</t>
  </si>
  <si>
    <t>15010222720</t>
  </si>
  <si>
    <t>袁彩丽</t>
  </si>
  <si>
    <t>15010222721</t>
  </si>
  <si>
    <t>訾海英</t>
  </si>
  <si>
    <t>15010222722</t>
  </si>
  <si>
    <t>15010222723</t>
  </si>
  <si>
    <t>梁胜凯</t>
  </si>
  <si>
    <t>15010222724</t>
  </si>
  <si>
    <t>焦禾</t>
  </si>
  <si>
    <t>15010222725</t>
  </si>
  <si>
    <t>15010222726</t>
  </si>
  <si>
    <t>刘奕婷</t>
  </si>
  <si>
    <t>15010222727</t>
  </si>
  <si>
    <t>王雪婕</t>
  </si>
  <si>
    <t>15010222728</t>
  </si>
  <si>
    <t>15010222729</t>
  </si>
  <si>
    <t>15010222730</t>
  </si>
  <si>
    <t>马倩</t>
  </si>
  <si>
    <t>15010222801</t>
  </si>
  <si>
    <t>杜春瑶</t>
  </si>
  <si>
    <t>15010222802</t>
  </si>
  <si>
    <t>15010222803</t>
  </si>
  <si>
    <t>张阳</t>
  </si>
  <si>
    <t>15010222804</t>
  </si>
  <si>
    <t>薛予嘉</t>
  </si>
  <si>
    <t>15010222805</t>
  </si>
  <si>
    <t>15010222806</t>
  </si>
  <si>
    <t>薛康慧</t>
  </si>
  <si>
    <t>15010222807</t>
  </si>
  <si>
    <t>杨睿敏</t>
  </si>
  <si>
    <t>15010222808</t>
  </si>
  <si>
    <t>冯海贝</t>
  </si>
  <si>
    <t>15010222809</t>
  </si>
  <si>
    <t>张杰</t>
  </si>
  <si>
    <t>15010222810</t>
  </si>
  <si>
    <t>陈梅</t>
  </si>
  <si>
    <t>15010222811</t>
  </si>
  <si>
    <t>刘炎恒</t>
  </si>
  <si>
    <t>15010222812</t>
  </si>
  <si>
    <t>李丽</t>
  </si>
  <si>
    <t>15010222813</t>
  </si>
  <si>
    <t>白杰</t>
  </si>
  <si>
    <t>15010222814</t>
  </si>
  <si>
    <t>王世玉</t>
  </si>
  <si>
    <t>15010222815</t>
  </si>
  <si>
    <t>唐睿宣</t>
  </si>
  <si>
    <t>15010222816</t>
  </si>
  <si>
    <t>薛琛惠</t>
  </si>
  <si>
    <t>15010222817</t>
  </si>
  <si>
    <t>15010222818</t>
  </si>
  <si>
    <t>15010222819</t>
  </si>
  <si>
    <t>15010222820</t>
  </si>
  <si>
    <t>王碧莹</t>
  </si>
  <si>
    <t>15010222821</t>
  </si>
  <si>
    <t>郝玉芳</t>
  </si>
  <si>
    <t>15010222822</t>
  </si>
  <si>
    <t>15010222823</t>
  </si>
  <si>
    <t>白彩红</t>
  </si>
  <si>
    <t>15010222824</t>
  </si>
  <si>
    <t>白雨娇</t>
  </si>
  <si>
    <t>15010222825</t>
  </si>
  <si>
    <t>杜逸群</t>
  </si>
  <si>
    <t>15010222826</t>
  </si>
  <si>
    <t>王正浩</t>
  </si>
  <si>
    <t>15010222827</t>
  </si>
  <si>
    <t>高晔</t>
  </si>
  <si>
    <t>15010222828</t>
  </si>
  <si>
    <t>王荣荣</t>
  </si>
  <si>
    <t>15010222829</t>
  </si>
  <si>
    <t>赵雨蒙</t>
  </si>
  <si>
    <t>15010222830</t>
  </si>
  <si>
    <t>刘俊</t>
  </si>
  <si>
    <t>15010222901</t>
  </si>
  <si>
    <t>张艳芳</t>
  </si>
  <si>
    <t>15010222902</t>
  </si>
  <si>
    <t>乔栋</t>
  </si>
  <si>
    <t>15010222903</t>
  </si>
  <si>
    <t>杨红艳</t>
  </si>
  <si>
    <t>15010222904</t>
  </si>
  <si>
    <t>15010222905</t>
  </si>
  <si>
    <t>15010222906</t>
  </si>
  <si>
    <t>15010222907</t>
  </si>
  <si>
    <t>杨莉霞</t>
  </si>
  <si>
    <t>15010222908</t>
  </si>
  <si>
    <t>贾军霞</t>
  </si>
  <si>
    <t>15010222909</t>
  </si>
  <si>
    <t>15010222910</t>
  </si>
  <si>
    <t>15010222911</t>
  </si>
  <si>
    <t>杨平</t>
  </si>
  <si>
    <t>15010222912</t>
  </si>
  <si>
    <t>王晶</t>
  </si>
  <si>
    <t>15010222913</t>
  </si>
  <si>
    <t>王莎</t>
  </si>
  <si>
    <t>15010222914</t>
  </si>
  <si>
    <t>郭利伟</t>
  </si>
  <si>
    <t>15010222915</t>
  </si>
  <si>
    <t>15010222916</t>
  </si>
  <si>
    <t>张宏宇</t>
  </si>
  <si>
    <t>15010222917</t>
  </si>
  <si>
    <t>103_蒙汉兼通人员岗位（蒙汉兼通考生）</t>
  </si>
  <si>
    <t>冬梅</t>
  </si>
  <si>
    <t>15010323001</t>
  </si>
  <si>
    <t>15010323002</t>
  </si>
  <si>
    <t>莫庆</t>
  </si>
  <si>
    <t>15010323003</t>
  </si>
  <si>
    <t>达尼斯</t>
  </si>
  <si>
    <t>15010323004</t>
  </si>
  <si>
    <t>15010323005</t>
  </si>
  <si>
    <t>乌兰格日乐</t>
  </si>
  <si>
    <t>15010323006</t>
  </si>
  <si>
    <t>阿妮苏</t>
  </si>
  <si>
    <t>15010323007</t>
  </si>
  <si>
    <t>南定</t>
  </si>
  <si>
    <t>15010323008</t>
  </si>
  <si>
    <t>满都拉</t>
  </si>
  <si>
    <t>15010323009</t>
  </si>
  <si>
    <t>国庆</t>
  </si>
  <si>
    <t>15010323010</t>
  </si>
  <si>
    <t>仁庆苏娃</t>
  </si>
  <si>
    <t>15010323011</t>
  </si>
  <si>
    <t>白图娅</t>
  </si>
  <si>
    <t>15010323012</t>
  </si>
  <si>
    <t>15010323013</t>
  </si>
  <si>
    <t>阿雅拉贡</t>
  </si>
  <si>
    <t>15010323014</t>
  </si>
  <si>
    <t>胡吉力图</t>
  </si>
  <si>
    <t>15010323015</t>
  </si>
  <si>
    <t>阿毕雅斯</t>
  </si>
  <si>
    <t>15010323016</t>
  </si>
  <si>
    <t>米德格</t>
  </si>
  <si>
    <t>15010323017</t>
  </si>
  <si>
    <t>张亚论</t>
  </si>
  <si>
    <t>15010323018</t>
  </si>
  <si>
    <t>特日格乐</t>
  </si>
  <si>
    <t>15010323019</t>
  </si>
  <si>
    <t>鄂奈日乐图</t>
  </si>
  <si>
    <t>15010323020</t>
  </si>
  <si>
    <t>塞汉娜</t>
  </si>
  <si>
    <t>15010323021</t>
  </si>
  <si>
    <t>陶娜尔</t>
  </si>
  <si>
    <t>15010323022</t>
  </si>
  <si>
    <t>乌力恒</t>
  </si>
  <si>
    <t>15010323023</t>
  </si>
  <si>
    <t>15010323024</t>
  </si>
  <si>
    <t>呼斯乐其其格</t>
  </si>
  <si>
    <t>15010323025</t>
  </si>
  <si>
    <t>阿云嘎</t>
  </si>
  <si>
    <t>15010323026</t>
  </si>
  <si>
    <t>阿嘎日</t>
  </si>
  <si>
    <t>15010323027</t>
  </si>
  <si>
    <t>15010323028</t>
  </si>
  <si>
    <t>特日格勒</t>
  </si>
  <si>
    <t>15010323029</t>
  </si>
  <si>
    <t>塔拉</t>
  </si>
  <si>
    <t>15010323030</t>
  </si>
  <si>
    <t>其其格</t>
  </si>
  <si>
    <t>15010323101</t>
  </si>
  <si>
    <t>那荷雅</t>
  </si>
  <si>
    <t>15010323102</t>
  </si>
  <si>
    <t>丹日妮</t>
  </si>
  <si>
    <t>15010323103</t>
  </si>
  <si>
    <t>丹洙</t>
  </si>
  <si>
    <t>15010323104</t>
  </si>
  <si>
    <t>沙仁图</t>
  </si>
  <si>
    <t>15010323105</t>
  </si>
  <si>
    <t>奇力格</t>
  </si>
  <si>
    <t>15010323106</t>
  </si>
  <si>
    <t>阿格热</t>
  </si>
  <si>
    <t>15010323107</t>
  </si>
  <si>
    <t>苏龙嘎</t>
  </si>
  <si>
    <t>15010323108</t>
  </si>
  <si>
    <t>斯庆胡日乐</t>
  </si>
  <si>
    <t>15010323109</t>
  </si>
  <si>
    <t>白金娜</t>
  </si>
  <si>
    <t>15010323110</t>
  </si>
  <si>
    <t>乌栋娜</t>
  </si>
  <si>
    <t>15010323111</t>
  </si>
  <si>
    <t>苏都拉</t>
  </si>
  <si>
    <t>15010323112</t>
  </si>
  <si>
    <t>爱丽</t>
  </si>
  <si>
    <t>15010323113</t>
  </si>
  <si>
    <t>贾永星</t>
  </si>
  <si>
    <t>15010323114</t>
  </si>
  <si>
    <t>巴格那</t>
  </si>
  <si>
    <t>15010323115</t>
  </si>
  <si>
    <t>旭日干</t>
  </si>
  <si>
    <t>15010323116</t>
  </si>
  <si>
    <t>德力和</t>
  </si>
  <si>
    <t>15010323117</t>
  </si>
  <si>
    <t>奇了图</t>
  </si>
  <si>
    <t>15010323118</t>
  </si>
  <si>
    <t>吉日格勒干</t>
  </si>
  <si>
    <t>15010323119</t>
  </si>
  <si>
    <t>吉不呼嘎</t>
  </si>
  <si>
    <t>15010323120</t>
  </si>
  <si>
    <t>达拉娜</t>
  </si>
  <si>
    <t>15010323121</t>
  </si>
  <si>
    <t>郝祎玲</t>
  </si>
  <si>
    <t>15010323122</t>
  </si>
  <si>
    <t>霞霞</t>
  </si>
  <si>
    <t>15010323123</t>
  </si>
  <si>
    <t>都萨</t>
  </si>
  <si>
    <t>15010323124</t>
  </si>
  <si>
    <t>额布乐</t>
  </si>
  <si>
    <t>15010323125</t>
  </si>
  <si>
    <t>娜木日</t>
  </si>
  <si>
    <t>15010323126</t>
  </si>
  <si>
    <t>珠拉</t>
  </si>
  <si>
    <t>15010323127</t>
  </si>
  <si>
    <t>查苏娜</t>
  </si>
  <si>
    <t>15010323128</t>
  </si>
  <si>
    <t>杨冬冬</t>
  </si>
  <si>
    <t>15010323129</t>
  </si>
  <si>
    <t>奇保保</t>
  </si>
  <si>
    <t>15010323130</t>
  </si>
  <si>
    <t>15010323201</t>
  </si>
  <si>
    <t>娜仁托娅</t>
  </si>
  <si>
    <t>15010323202</t>
  </si>
  <si>
    <t>格根塔娜</t>
  </si>
  <si>
    <t>15010323203</t>
  </si>
  <si>
    <t>萨初日</t>
  </si>
  <si>
    <t>15010323204</t>
  </si>
  <si>
    <t>15010323205</t>
  </si>
  <si>
    <t>奇沙娜</t>
  </si>
  <si>
    <t>15010323206</t>
  </si>
  <si>
    <t>15010323207</t>
  </si>
  <si>
    <t>额尔和木图</t>
  </si>
  <si>
    <t>15010323208</t>
  </si>
  <si>
    <t>奇额尔德尼</t>
  </si>
  <si>
    <t>15010323209</t>
  </si>
  <si>
    <t>道日娜</t>
  </si>
  <si>
    <t>15010323210</t>
  </si>
  <si>
    <t>苏龙高娃</t>
  </si>
  <si>
    <t>15010323211</t>
  </si>
  <si>
    <t>奇珠娜</t>
  </si>
  <si>
    <t>15010323212</t>
  </si>
  <si>
    <t>珠澜</t>
  </si>
  <si>
    <t>15010323213</t>
  </si>
  <si>
    <t>15010323214</t>
  </si>
  <si>
    <t>15010323215</t>
  </si>
  <si>
    <t>王少楷</t>
  </si>
  <si>
    <t>15010323216</t>
  </si>
  <si>
    <t>虹格尔朱拉</t>
  </si>
  <si>
    <t>15010323217</t>
  </si>
  <si>
    <t>娜荷芽</t>
  </si>
  <si>
    <t>15010323218</t>
  </si>
  <si>
    <t>达勇嘎</t>
  </si>
  <si>
    <t>15010323219</t>
  </si>
  <si>
    <t>乌洞高娃</t>
  </si>
  <si>
    <t>15010323220</t>
  </si>
  <si>
    <t>乌都巴勒</t>
  </si>
  <si>
    <t>15010323221</t>
  </si>
  <si>
    <t>王红梅</t>
  </si>
  <si>
    <t>15010323222</t>
  </si>
  <si>
    <t>新吉乐呼</t>
  </si>
  <si>
    <t>15010323223</t>
  </si>
  <si>
    <t>苏和</t>
  </si>
  <si>
    <t>15010323224</t>
  </si>
  <si>
    <t>王阿荣</t>
  </si>
  <si>
    <t>15010323225</t>
  </si>
  <si>
    <t>道特桑</t>
  </si>
  <si>
    <t>15010323226</t>
  </si>
  <si>
    <t>乌音嘎</t>
  </si>
  <si>
    <t>15010323227</t>
  </si>
  <si>
    <t>阿日宾巴雅尔</t>
  </si>
  <si>
    <t>15010323228</t>
  </si>
  <si>
    <t>杨图雅</t>
  </si>
  <si>
    <t>15010323229</t>
  </si>
  <si>
    <t>葛瑛</t>
  </si>
  <si>
    <t>15010323230</t>
  </si>
  <si>
    <t>娜钦</t>
  </si>
  <si>
    <t>15010323301</t>
  </si>
  <si>
    <t>胡日查毕力格</t>
  </si>
  <si>
    <t>15010323302</t>
  </si>
  <si>
    <t>托雅</t>
  </si>
  <si>
    <t>15010323303</t>
  </si>
  <si>
    <t>扎登</t>
  </si>
  <si>
    <t>15010323304</t>
  </si>
  <si>
    <t>15010323305</t>
  </si>
  <si>
    <t>钢胡日勒</t>
  </si>
  <si>
    <t>15010323306</t>
  </si>
  <si>
    <t>额斯宁</t>
  </si>
  <si>
    <t>15010323307</t>
  </si>
  <si>
    <t>包云鹤</t>
  </si>
  <si>
    <t>15010323308</t>
  </si>
  <si>
    <t>色日古纳</t>
  </si>
  <si>
    <t>15010323309</t>
  </si>
  <si>
    <t>额定达来</t>
  </si>
  <si>
    <t>15010323310</t>
  </si>
  <si>
    <t>赛很</t>
  </si>
  <si>
    <t>15010323311</t>
  </si>
  <si>
    <t>巴嘎那</t>
  </si>
  <si>
    <t>15010323312</t>
  </si>
  <si>
    <t>乌云塔娜</t>
  </si>
  <si>
    <t>15010323313</t>
  </si>
  <si>
    <t>俄勒钦</t>
  </si>
  <si>
    <t>15010323314</t>
  </si>
  <si>
    <t>傲日其劳</t>
  </si>
  <si>
    <t>15010323315</t>
  </si>
  <si>
    <t>敖日其楞</t>
  </si>
  <si>
    <t>15010323316</t>
  </si>
  <si>
    <t>娜庆</t>
  </si>
  <si>
    <t>15010323317</t>
  </si>
  <si>
    <t>其格乐</t>
  </si>
  <si>
    <t>15010323318</t>
  </si>
  <si>
    <t>满都娜</t>
  </si>
  <si>
    <t>15010323319</t>
  </si>
  <si>
    <t>布日瓦斯</t>
  </si>
  <si>
    <t>15010323320</t>
  </si>
  <si>
    <t>那仁达来</t>
  </si>
  <si>
    <t>15010323321</t>
  </si>
  <si>
    <t>阿米楞</t>
  </si>
  <si>
    <t>15010323322</t>
  </si>
  <si>
    <t>海龙</t>
  </si>
  <si>
    <t>15010323323</t>
  </si>
  <si>
    <t>嘎日德</t>
  </si>
  <si>
    <t>15010323324</t>
  </si>
  <si>
    <t>15010323325</t>
  </si>
  <si>
    <t>杨富宏</t>
  </si>
  <si>
    <t>15010323326</t>
  </si>
  <si>
    <t>达茹汗</t>
  </si>
  <si>
    <t>15010323327</t>
  </si>
  <si>
    <t>15010323328</t>
  </si>
  <si>
    <t>沙如拉</t>
  </si>
  <si>
    <t>15010323329</t>
  </si>
  <si>
    <t>苏日古格</t>
  </si>
  <si>
    <t>15010323330</t>
  </si>
  <si>
    <t>哈斯毕力格</t>
  </si>
  <si>
    <t>15010323401</t>
  </si>
  <si>
    <t>吉仁毕力格</t>
  </si>
  <si>
    <t>15010323402</t>
  </si>
  <si>
    <t>楠定苏和</t>
  </si>
  <si>
    <t>15010323403</t>
  </si>
  <si>
    <t>15010323404</t>
  </si>
  <si>
    <t>哈布日</t>
  </si>
  <si>
    <t>15010323405</t>
  </si>
  <si>
    <t>扎拉哈</t>
  </si>
  <si>
    <t>15010323406</t>
  </si>
  <si>
    <t>阿伊娜</t>
  </si>
  <si>
    <t>15010323407</t>
  </si>
  <si>
    <t>乌日斯哈拉</t>
  </si>
  <si>
    <t>15010323408</t>
  </si>
  <si>
    <t>扎嘎尔</t>
  </si>
  <si>
    <t>15010323409</t>
  </si>
  <si>
    <t>托娜拉</t>
  </si>
  <si>
    <t>15010323410</t>
  </si>
  <si>
    <t>昌汗其劳</t>
  </si>
  <si>
    <t>15010323411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</si>
</sst>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%"/>
    <numFmt numFmtId="177" formatCode="_ &quot;￥&quot;* #,##0.00_ ;_ &quot;￥&quot;* \-#,##0.00_ ;_ &quot;￥&quot;* &quot;-&quot;??_ ;_ @_ "/>
    <numFmt numFmtId="178" formatCode="_ &quot;￥&quot;* #,##0_ ;_ &quot;￥&quot;* \-#,##0_ ;_ &quot;￥&quot;* &quot;-&quot;_ ;_ @_ "/>
    <numFmt numFmtId="179" formatCode="_ * #,##0.00_ ;_ * -#,##0.00_ ;_ * &quot;-&quot;??_ ;_ @_ "/>
    <numFmt numFmtId="180" formatCode="_ * #,##0_ ;_ * -#,##0_ ;_ * &quot;-&quot;_ ;_ @_ "/>
    <numFmt numFmtId="181" formatCode="_ * #,##0_ ;_ * -#,##0_ ;_ * &quot;-&quot;_ ;_ @_ "/>
  </numFmts>
  <fonts count="52" x14ac:knownFonts="52">
    <font>
      <sz val="12.0"/>
      <name val="宋体"/>
      <charset val="134"/>
    </font>
    <font>
      <sz val="12.0"/>
      <name val="宋体"/>
      <charset val="134"/>
    </font>
    <font>
      <sz val="10.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0.0"/>
      <name val="宋体"/>
      <charset val="134"/>
    </font>
    <font>
      <sz val="10.0"/>
      <name val="宋体"/>
      <charset val="134"/>
    </font>
    <font>
      <sz val="10.0"/>
      <name val="宋体"/>
      <charset val="134"/>
    </font>
    <font>
      <sz val="12.0"/>
      <name val="方正小标宋简体"/>
      <charset val="134"/>
    </font>
    <font>
      <sz val="10.0"/>
      <name val="方正小标宋简体"/>
      <charset val="134"/>
    </font>
    <font>
      <sz val="10.0"/>
      <name val="方正小标宋简体"/>
      <charset val="134"/>
    </font>
    <font>
      <sz val="16.0"/>
      <name val="宋体"/>
      <charset val="134"/>
    </font>
    <font>
      <sz val="16.0"/>
      <name val="方正小标宋简体"/>
      <charset val="134"/>
    </font>
    <font>
      <sz val="16.0"/>
      <name val="方正小标宋简体"/>
      <charset val="134"/>
    </font>
    <font>
      <sz val="22.0"/>
      <name val="宋体"/>
      <charset val="134"/>
    </font>
    <font>
      <sz val="22.0"/>
      <name val="方正小标宋简体"/>
      <charset val="134"/>
    </font>
    <font>
      <sz val="22.0"/>
      <name val="方正小标宋简体"/>
      <charset val="134"/>
    </font>
    <font>
      <sz val="12.0"/>
      <name val="黑体"/>
      <charset val="134"/>
    </font>
    <font>
      <sz val="16.0"/>
      <name val="黑体"/>
      <charset val="134"/>
    </font>
    <font>
      <sz val="16.0"/>
      <name val="黑体"/>
      <charset val="134"/>
    </font>
    <font>
      <sz val="12.0"/>
      <name val="宋体"/>
      <charset val="134"/>
    </font>
    <font>
      <sz val="12.0"/>
      <name val="宋体"/>
      <charset val="134"/>
    </font>
  </fonts>
  <fills count="68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00B0F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applyAlignment="1">
      <alignment vertical="center"/>
    </xf>
    <xf numFmtId="0" fontId="1" applyFont="1" fillId="0" borderId="0" applyAlignment="1">
      <alignment vertical="center"/>
    </xf>
    <xf numFmtId="0" fontId="2" applyFont="1" fillId="0" borderId="1" applyBorder="1" applyAlignment="1">
      <alignment horizontal="center" vertical="center" shrinkToFit="1"/>
    </xf>
    <xf numFmtId="0" fontId="2" applyFont="1" fillId="0" borderId="2" applyBorder="1" applyAlignment="1"/>
    <xf numFmtId="0" fontId="2" applyFont="1" fillId="0" borderId="0" applyAlignment="1">
      <alignment horizontal="center" vertical="center" shrinkToFit="1"/>
    </xf>
    <xf numFmtId="0" fontId="2" applyFont="1" fillId="0" borderId="3" applyBorder="1" applyAlignment="1">
      <alignment vertical="center" shrinkToFit="1"/>
    </xf>
    <xf numFmtId="0" fontId="2" applyFont="1" fillId="0" borderId="0" applyAlignment="1">
      <alignment vertical="center" shrinkToFit="1"/>
    </xf>
    <xf numFmtId="0" fontId="3" applyFont="1" fillId="2" applyFill="1" borderId="0" applyAlignment="1">
      <alignment vertical="center"/>
    </xf>
    <xf numFmtId="0" fontId="4" applyFont="1" fillId="3" applyFill="1" borderId="0" applyAlignment="1">
      <alignment vertical="center"/>
    </xf>
    <xf numFmtId="0" fontId="5" applyFont="1" fillId="4" applyFill="1" borderId="0" applyAlignment="1">
      <alignment vertical="center"/>
    </xf>
    <xf numFmtId="0" fontId="6" applyFont="1" fillId="5" applyFill="1" borderId="4" applyBorder="1" applyAlignment="1">
      <alignment vertical="center"/>
    </xf>
    <xf numFmtId="0" fontId="7" applyFont="1" fillId="6" applyFill="1" borderId="5" applyBorder="1" applyAlignment="1">
      <alignment vertical="center"/>
    </xf>
    <xf numFmtId="0" fontId="8" applyFont="1" fillId="0" borderId="0" applyAlignment="1">
      <alignment vertical="center"/>
    </xf>
    <xf numFmtId="0" fontId="9" applyFont="1" fillId="0" borderId="0" applyAlignment="1">
      <alignment vertical="center"/>
    </xf>
    <xf numFmtId="0" fontId="6" applyFont="1" fillId="0" borderId="6" applyBorder="1" applyAlignment="1">
      <alignment vertical="center"/>
    </xf>
    <xf numFmtId="0" fontId="10" applyFont="1" fillId="5" applyFill="1" borderId="7" applyBorder="1" applyAlignment="1">
      <alignment vertical="center"/>
    </xf>
    <xf numFmtId="0" fontId="11" applyFont="1" fillId="7" applyFill="1" borderId="8" applyBorder="1" applyAlignment="1">
      <alignment vertical="center"/>
    </xf>
    <xf numFmtId="0" fontId="1" applyFont="1" fillId="8" applyFill="1" borderId="9" applyBorder="1" applyAlignment="1">
      <alignment vertical="center"/>
    </xf>
    <xf numFmtId="0" fontId="12" applyFont="1" fillId="0" borderId="0" applyAlignment="1">
      <alignment vertical="center"/>
    </xf>
    <xf numFmtId="0" fontId="13" applyFont="1" fillId="0" borderId="10" applyBorder="1" applyAlignment="1">
      <alignment vertical="center"/>
    </xf>
    <xf numFmtId="0" fontId="14" applyFont="1" fillId="0" borderId="11" applyBorder="1" applyAlignment="1">
      <alignment vertical="center"/>
    </xf>
    <xf numFmtId="0" fontId="15" applyFont="1" fillId="0" borderId="12" applyBorder="1" applyAlignment="1">
      <alignment vertical="center"/>
    </xf>
    <xf numFmtId="0" fontId="15" applyFont="1" fillId="0" borderId="0" applyAlignment="1">
      <alignment vertical="center"/>
    </xf>
    <xf numFmtId="0" fontId="16" applyFont="1" fillId="0" borderId="13" applyBorder="1" applyAlignment="1">
      <alignment vertical="center"/>
    </xf>
    <xf numFmtId="0" fontId="17" applyFont="1" fillId="9" applyFill="1" borderId="0" applyAlignment="1">
      <alignment vertical="center"/>
    </xf>
    <xf numFmtId="0" fontId="17" applyFont="1" fillId="10" applyFill="1" borderId="0" applyAlignment="1">
      <alignment vertical="center"/>
    </xf>
    <xf numFmtId="0" fontId="17" applyFont="1" fillId="11" applyFill="1" borderId="0" applyAlignment="1">
      <alignment vertical="center"/>
    </xf>
    <xf numFmtId="0" fontId="17" applyFont="1" fillId="12" applyFill="1" borderId="0" applyAlignment="1">
      <alignment vertical="center"/>
    </xf>
    <xf numFmtId="0" fontId="17" applyFont="1" fillId="13" applyFill="1" borderId="0" applyAlignment="1">
      <alignment vertical="center"/>
    </xf>
    <xf numFmtId="0" fontId="17" applyFont="1" fillId="14" applyFill="1" borderId="0" applyAlignment="1">
      <alignment vertical="center"/>
    </xf>
    <xf numFmtId="0" fontId="17" applyFont="1" fillId="15" applyFill="1" borderId="0" applyAlignment="1">
      <alignment vertical="center"/>
    </xf>
    <xf numFmtId="0" fontId="17" applyFont="1" fillId="16" applyFill="1" borderId="0" applyAlignment="1">
      <alignment vertical="center"/>
    </xf>
    <xf numFmtId="0" fontId="17" applyFont="1" fillId="17" applyFill="1" borderId="0" applyAlignment="1">
      <alignment vertical="center"/>
    </xf>
    <xf numFmtId="0" fontId="17" applyFont="1" fillId="18" applyFill="1" borderId="0" applyAlignment="1">
      <alignment vertical="center"/>
    </xf>
    <xf numFmtId="0" fontId="17" applyFont="1" fillId="19" applyFill="1" borderId="0" applyAlignment="1">
      <alignment vertical="center"/>
    </xf>
    <xf numFmtId="0" fontId="17" applyFont="1" fillId="20" applyFill="1" borderId="0" applyAlignment="1">
      <alignment vertical="center"/>
    </xf>
    <xf numFmtId="0" fontId="18" applyFont="1" fillId="21" applyFill="1" borderId="0" applyAlignment="1">
      <alignment vertical="center"/>
    </xf>
    <xf numFmtId="0" fontId="18" applyFont="1" fillId="22" applyFill="1" borderId="0" applyAlignment="1">
      <alignment vertical="center"/>
    </xf>
    <xf numFmtId="0" fontId="18" applyFont="1" fillId="23" applyFill="1" borderId="0" applyAlignment="1">
      <alignment vertical="center"/>
    </xf>
    <xf numFmtId="0" fontId="18" applyFont="1" fillId="24" applyFill="1" borderId="0" applyAlignment="1">
      <alignment vertical="center"/>
    </xf>
    <xf numFmtId="0" fontId="18" applyFont="1" fillId="25" applyFill="1" borderId="0" applyAlignment="1">
      <alignment vertical="center"/>
    </xf>
    <xf numFmtId="0" fontId="18" applyFont="1" fillId="26" applyFill="1" borderId="0" applyAlignment="1">
      <alignment vertical="center"/>
    </xf>
    <xf numFmtId="0" fontId="18" applyFont="1" fillId="27" applyFill="1" borderId="0" applyAlignment="1">
      <alignment vertical="center"/>
    </xf>
    <xf numFmtId="0" fontId="18" applyFont="1" fillId="28" applyFill="1" borderId="0" applyAlignment="1">
      <alignment vertical="center"/>
    </xf>
    <xf numFmtId="0" fontId="18" applyFont="1" fillId="29" applyFill="1" borderId="0" applyAlignment="1">
      <alignment vertical="center"/>
    </xf>
    <xf numFmtId="0" fontId="18" applyFont="1" fillId="30" applyFill="1" borderId="0" applyAlignment="1">
      <alignment vertical="center"/>
    </xf>
    <xf numFmtId="0" fontId="18" applyFont="1" fillId="31" applyFill="1" borderId="0" applyAlignment="1">
      <alignment vertical="center"/>
    </xf>
    <xf numFmtId="0" fontId="18" applyFont="1" fillId="32" applyFill="1" borderId="0" applyAlignment="1">
      <alignment vertical="center"/>
    </xf>
    <xf numFmtId="176" applyNumberFormat="1" fontId="0" fillId="0" borderId="0" applyAlignment="1">
      <alignment vertical="center"/>
    </xf>
    <xf numFmtId="177" applyNumberFormat="1" fontId="0" fillId="0" borderId="0" applyAlignment="1">
      <alignment vertical="center"/>
    </xf>
    <xf numFmtId="178" applyNumberFormat="1" fontId="0" fillId="0" borderId="0" applyAlignment="1">
      <alignment vertical="center"/>
    </xf>
    <xf numFmtId="179" applyNumberFormat="1" fontId="0" fillId="0" borderId="0" applyAlignment="1">
      <alignment vertical="center"/>
    </xf>
    <xf numFmtId="180" applyNumberFormat="1" fontId="0" fillId="0" borderId="0" applyAlignment="1">
      <alignment vertical="center"/>
    </xf>
    <xf numFmtId="0" fontId="0" fillId="33" applyFill="1" borderId="0" applyAlignment="1">
      <alignment vertical="center"/>
    </xf>
    <xf numFmtId="0" fontId="2" applyFont="1" fillId="33" applyFill="1" borderId="14" applyBorder="1" applyAlignment="1">
      <alignment vertical="center" shrinkToFit="1"/>
    </xf>
    <xf numFmtId="0" fontId="0" fillId="34" applyFill="1" borderId="0" applyAlignment="1">
      <alignment vertical="center"/>
    </xf>
    <xf numFmtId="0" fontId="2" applyFont="1" fillId="34" applyFill="1" borderId="15" applyBorder="1" applyAlignment="1">
      <alignment vertical="center" shrinkToFit="1"/>
    </xf>
    <xf numFmtId="0" fontId="0" fillId="0" borderId="0" applyAlignment="1">
      <alignment horizontal="center" vertical="center"/>
    </xf>
    <xf numFmtId="0" fontId="0" fillId="0" borderId="16" applyBorder="1" applyAlignment="1">
      <alignment vertical="center"/>
    </xf>
    <xf numFmtId="0" fontId="0" fillId="35" applyFill="1" borderId="0" applyAlignment="1">
      <alignment vertical="center"/>
    </xf>
    <xf numFmtId="0" fontId="2" applyFont="1" fillId="35" applyFill="1" borderId="17" applyBorder="1" applyAlignment="1">
      <alignment vertical="center" shrinkToFit="1"/>
    </xf>
    <xf numFmtId="0" fontId="2" applyFont="1" fillId="35" applyFill="1" borderId="18" applyBorder="1" applyAlignment="1"/>
    <xf numFmtId="0" fontId="0" fillId="35" applyFill="1" borderId="0" applyAlignment="1">
      <alignment horizontal="center" vertical="center"/>
    </xf>
    <xf numFmtId="0" fontId="0" fillId="0" borderId="19" applyBorder="1" applyAlignment="1">
      <alignment horizontal="center" vertical="center"/>
    </xf>
    <xf numFmtId="0" fontId="2" applyFont="1" fillId="35" applyFill="1" borderId="0" applyAlignment="1">
      <alignment vertical="center" shrinkToFit="1"/>
    </xf>
    <xf numFmtId="0" fontId="0" fillId="35" applyFill="1" borderId="20" applyBorder="1" applyAlignment="1">
      <alignment horizontal="center" vertical="center"/>
    </xf>
    <xf numFmtId="0" fontId="2" applyFont="1" fillId="33" applyFill="1" borderId="0" applyAlignment="1">
      <alignment vertical="center" shrinkToFit="1"/>
    </xf>
    <xf numFmtId="0" fontId="2" applyFont="1" fillId="33" applyFill="1" borderId="21" applyBorder="1" applyAlignment="1"/>
    <xf numFmtId="0" fontId="0" fillId="33" applyFill="1" borderId="22" applyBorder="1" applyAlignment="1">
      <alignment horizontal="center" vertical="center"/>
    </xf>
    <xf numFmtId="0" fontId="0" fillId="33" applyFill="1" borderId="0" applyAlignment="1">
      <alignment horizontal="center" vertical="center"/>
    </xf>
    <xf numFmtId="0" fontId="19" applyFont="1" fillId="36" applyFill="1" borderId="0" applyAlignment="1">
      <alignment vertical="center"/>
    </xf>
    <xf numFmtId="0" fontId="20" applyFont="1" fillId="37" applyFill="1" borderId="0" applyAlignment="1">
      <alignment vertical="center"/>
    </xf>
    <xf numFmtId="0" fontId="21" applyFont="1" fillId="38" applyFill="1" borderId="0" applyAlignment="1">
      <alignment vertical="center"/>
    </xf>
    <xf numFmtId="0" fontId="22" applyFont="1" fillId="39" applyFill="1" borderId="23" applyBorder="1" applyAlignment="1">
      <alignment vertical="center"/>
    </xf>
    <xf numFmtId="0" fontId="23" applyFont="1" fillId="40" applyFill="1" borderId="24" applyBorder="1" applyAlignment="1">
      <alignment vertical="center"/>
    </xf>
    <xf numFmtId="0" fontId="24" applyFont="1" fillId="0" borderId="0" applyAlignment="1">
      <alignment vertical="center"/>
    </xf>
    <xf numFmtId="0" fontId="25" applyFont="1" fillId="0" borderId="0" applyAlignment="1">
      <alignment vertical="center"/>
    </xf>
    <xf numFmtId="0" fontId="22" applyFont="1" fillId="0" borderId="25" applyBorder="1" applyAlignment="1">
      <alignment vertical="center"/>
    </xf>
    <xf numFmtId="0" fontId="26" applyFont="1" fillId="39" applyFill="1" borderId="26" applyBorder="1" applyAlignment="1">
      <alignment vertical="center"/>
    </xf>
    <xf numFmtId="0" fontId="27" applyFont="1" fillId="41" applyFill="1" borderId="27" applyBorder="1" applyAlignment="1">
      <alignment vertical="center"/>
    </xf>
    <xf numFmtId="0" fontId="0" fillId="42" applyFill="1" borderId="28" applyBorder="1" applyAlignment="1">
      <alignment vertical="center"/>
    </xf>
    <xf numFmtId="0" fontId="28" applyFont="1" fillId="0" borderId="0" applyAlignment="1">
      <alignment vertical="center"/>
    </xf>
    <xf numFmtId="0" fontId="29" applyFont="1" fillId="0" borderId="29" applyBorder="1" applyAlignment="1">
      <alignment vertical="center"/>
    </xf>
    <xf numFmtId="0" fontId="30" applyFont="1" fillId="0" borderId="30" applyBorder="1" applyAlignment="1">
      <alignment vertical="center"/>
    </xf>
    <xf numFmtId="0" fontId="31" applyFont="1" fillId="0" borderId="31" applyBorder="1" applyAlignment="1">
      <alignment vertical="center"/>
    </xf>
    <xf numFmtId="0" fontId="31" applyFont="1" fillId="0" borderId="0" applyAlignment="1">
      <alignment vertical="center"/>
    </xf>
    <xf numFmtId="0" fontId="32" applyFont="1" fillId="0" borderId="32" applyBorder="1" applyAlignment="1">
      <alignment vertical="center"/>
    </xf>
    <xf numFmtId="0" fontId="33" applyFont="1" fillId="43" applyFill="1" borderId="0" applyAlignment="1">
      <alignment vertical="center"/>
    </xf>
    <xf numFmtId="0" fontId="33" applyFont="1" fillId="44" applyFill="1" borderId="0" applyAlignment="1">
      <alignment vertical="center"/>
    </xf>
    <xf numFmtId="0" fontId="33" applyFont="1" fillId="45" applyFill="1" borderId="0" applyAlignment="1">
      <alignment vertical="center"/>
    </xf>
    <xf numFmtId="0" fontId="33" applyFont="1" fillId="46" applyFill="1" borderId="0" applyAlignment="1">
      <alignment vertical="center"/>
    </xf>
    <xf numFmtId="0" fontId="33" applyFont="1" fillId="47" applyFill="1" borderId="0" applyAlignment="1">
      <alignment vertical="center"/>
    </xf>
    <xf numFmtId="0" fontId="33" applyFont="1" fillId="48" applyFill="1" borderId="0" applyAlignment="1">
      <alignment vertical="center"/>
    </xf>
    <xf numFmtId="0" fontId="33" applyFont="1" fillId="49" applyFill="1" borderId="0" applyAlignment="1">
      <alignment vertical="center"/>
    </xf>
    <xf numFmtId="0" fontId="33" applyFont="1" fillId="50" applyFill="1" borderId="0" applyAlignment="1">
      <alignment vertical="center"/>
    </xf>
    <xf numFmtId="0" fontId="33" applyFont="1" fillId="51" applyFill="1" borderId="0" applyAlignment="1">
      <alignment vertical="center"/>
    </xf>
    <xf numFmtId="0" fontId="33" applyFont="1" fillId="52" applyFill="1" borderId="0" applyAlignment="1">
      <alignment vertical="center"/>
    </xf>
    <xf numFmtId="0" fontId="33" applyFont="1" fillId="53" applyFill="1" borderId="0" applyAlignment="1">
      <alignment vertical="center"/>
    </xf>
    <xf numFmtId="0" fontId="33" applyFont="1" fillId="54" applyFill="1" borderId="0" applyAlignment="1">
      <alignment vertical="center"/>
    </xf>
    <xf numFmtId="0" fontId="34" applyFont="1" fillId="55" applyFill="1" borderId="0" applyAlignment="1">
      <alignment vertical="center"/>
    </xf>
    <xf numFmtId="0" fontId="34" applyFont="1" fillId="56" applyFill="1" borderId="0" applyAlignment="1">
      <alignment vertical="center"/>
    </xf>
    <xf numFmtId="0" fontId="34" applyFont="1" fillId="57" applyFill="1" borderId="0" applyAlignment="1">
      <alignment vertical="center"/>
    </xf>
    <xf numFmtId="0" fontId="34" applyFont="1" fillId="58" applyFill="1" borderId="0" applyAlignment="1">
      <alignment vertical="center"/>
    </xf>
    <xf numFmtId="0" fontId="34" applyFont="1" fillId="59" applyFill="1" borderId="0" applyAlignment="1">
      <alignment vertical="center"/>
    </xf>
    <xf numFmtId="0" fontId="34" applyFont="1" fillId="60" applyFill="1" borderId="0" applyAlignment="1">
      <alignment vertical="center"/>
    </xf>
    <xf numFmtId="0" fontId="34" applyFont="1" fillId="61" applyFill="1" borderId="0" applyAlignment="1">
      <alignment vertical="center"/>
    </xf>
    <xf numFmtId="0" fontId="34" applyFont="1" fillId="62" applyFill="1" borderId="0" applyAlignment="1">
      <alignment vertical="center"/>
    </xf>
    <xf numFmtId="0" fontId="34" applyFont="1" fillId="63" applyFill="1" borderId="0" applyAlignment="1">
      <alignment vertical="center"/>
    </xf>
    <xf numFmtId="0" fontId="34" applyFont="1" fillId="64" applyFill="1" borderId="0" applyAlignment="1">
      <alignment vertical="center"/>
    </xf>
    <xf numFmtId="0" fontId="34" applyFont="1" fillId="65" applyFill="1" borderId="0" applyAlignment="1">
      <alignment vertical="center"/>
    </xf>
    <xf numFmtId="0" fontId="34" applyFont="1" fillId="66" applyFill="1" borderId="0" applyAlignment="1">
      <alignment vertical="center"/>
    </xf>
    <xf numFmtId="176" applyNumberFormat="1" fontId="0" fillId="0" borderId="0" applyAlignment="1">
      <alignment vertical="center"/>
    </xf>
    <xf numFmtId="177" applyNumberFormat="1" fontId="0" fillId="0" borderId="0" applyAlignment="1">
      <alignment vertical="center"/>
    </xf>
    <xf numFmtId="178" applyNumberFormat="1" fontId="0" fillId="0" borderId="0" applyAlignment="1">
      <alignment vertical="center"/>
    </xf>
    <xf numFmtId="179" applyNumberFormat="1" fontId="0" fillId="0" borderId="0" applyAlignment="1">
      <alignment vertical="center"/>
    </xf>
    <xf numFmtId="181" applyNumberFormat="1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67" applyFill="1" borderId="0" applyAlignment="1">
      <alignment vertical="center"/>
    </xf>
    <xf numFmtId="0" fontId="2" applyFont="1" fillId="67" applyFill="1" borderId="33" applyBorder="1" applyAlignment="1">
      <alignment vertical="center" shrinkToFit="1"/>
    </xf>
    <xf numFmtId="0" fontId="2" applyFont="1" fillId="67" applyFill="1" borderId="34" applyBorder="1" applyAlignment="1"/>
    <xf numFmtId="0" fontId="0" fillId="67" applyFill="1" borderId="35" applyBorder="1" applyAlignment="1">
      <alignment horizontal="center" vertical="center"/>
    </xf>
    <xf numFmtId="0" fontId="0" fillId="0" borderId="16" applyBorder="1" applyAlignment="1">
      <alignment vertical="center"/>
    </xf>
    <xf numFmtId="0" fontId="35" applyFont="1" fillId="0" borderId="0" applyAlignment="1">
      <alignment horizontal="center" vertical="center" shrinkToFit="1"/>
    </xf>
    <xf numFmtId="0" fontId="35" applyFont="1" fillId="0" borderId="37" applyBorder="1" applyAlignment="1">
      <alignment horizontal="center" vertical="center" shrinkToFit="1"/>
    </xf>
    <xf numFmtId="0" fontId="35" applyFont="1" fillId="0" borderId="0" applyAlignment="1">
      <alignment vertical="center" shrinkToFit="1"/>
    </xf>
    <xf numFmtId="0" fontId="1" applyFont="1" fillId="0" borderId="0" applyAlignment="1">
      <alignment vertical="center"/>
    </xf>
    <xf numFmtId="0" fontId="2" applyFont="1" fillId="0" borderId="0" applyAlignment="1">
      <alignment vertical="center" shrinkToFit="1"/>
    </xf>
    <xf numFmtId="0" fontId="1" applyFont="1" fillId="0" borderId="0" applyAlignment="1">
      <alignment horizontal="center" vertical="center"/>
    </xf>
    <xf numFmtId="0" fontId="2" applyFont="1" fillId="0" borderId="0" applyAlignment="1">
      <alignment horizontal="center" vertical="center" shrinkToFit="1"/>
    </xf>
    <xf numFmtId="0" fontId="2" applyFont="1" fillId="0" borderId="38" applyBorder="1" applyAlignment="1">
      <alignment horizontal="center" vertical="center" shrinkToFit="1"/>
    </xf>
    <xf numFmtId="0" fontId="35" applyFont="1" fillId="0" borderId="39" applyBorder="1" applyAlignment="1">
      <alignment vertical="center" shrinkToFit="1"/>
    </xf>
    <xf numFmtId="0" fontId="2" applyFont="1" fillId="0" borderId="40" applyBorder="1" applyAlignment="1">
      <alignment vertical="center" shrinkToFit="1"/>
    </xf>
    <xf numFmtId="0" fontId="36" applyFont="1" fillId="0" borderId="41" applyBorder="1" applyAlignment="1">
      <alignment vertical="center" shrinkToFit="1"/>
    </xf>
    <xf numFmtId="0" fontId="35" applyFont="1" fillId="0" borderId="42" applyBorder="1" applyAlignment="1">
      <alignment horizontal="center" vertical="center" shrinkToFit="1"/>
    </xf>
    <xf numFmtId="0" fontId="37" applyFont="1" fillId="0" borderId="0" applyAlignment="1">
      <alignment vertical="center" shrinkToFit="1"/>
    </xf>
    <xf numFmtId="0" fontId="2" applyFont="1" fillId="0" borderId="43" applyBorder="1" applyAlignment="1">
      <alignment vertical="center" shrinkToFit="1"/>
    </xf>
    <xf numFmtId="0" fontId="36" applyFont="1" fillId="0" borderId="44" applyBorder="1" applyAlignment="1">
      <alignment vertical="center" shrinkToFit="1"/>
    </xf>
    <xf numFmtId="0" fontId="38" applyFont="1" fillId="0" borderId="0" applyAlignment="1">
      <alignment vertical="center"/>
    </xf>
    <xf numFmtId="0" fontId="39" applyFont="1" fillId="0" borderId="45" applyBorder="1" applyAlignment="1">
      <alignment horizontal="center" vertical="center" shrinkToFit="1"/>
    </xf>
    <xf numFmtId="0" fontId="40" applyFont="1" fillId="0" borderId="46" applyBorder="1" applyAlignment="1">
      <alignment horizontal="center" vertical="center" shrinkToFit="1"/>
    </xf>
    <xf numFmtId="0" fontId="41" applyFont="1" fillId="0" borderId="0" applyAlignment="1">
      <alignment vertical="center"/>
    </xf>
    <xf numFmtId="0" fontId="42" applyFont="1" fillId="0" borderId="47" applyBorder="1" applyAlignment="1">
      <alignment horizontal="center" vertical="center" shrinkToFit="1"/>
    </xf>
    <xf numFmtId="0" fontId="43" applyFont="1" fillId="0" borderId="48" applyBorder="1" applyAlignment="1">
      <alignment horizontal="center" vertical="center" shrinkToFit="1"/>
    </xf>
    <xf numFmtId="0" fontId="37" applyFont="1" fillId="0" borderId="0" applyAlignment="1">
      <alignment horizontal="center" vertical="center" shrinkToFit="1"/>
    </xf>
    <xf numFmtId="0" fontId="2" applyFont="1" fillId="0" borderId="49" applyBorder="1" applyAlignment="1">
      <alignment horizontal="center" vertical="center" shrinkToFit="1"/>
    </xf>
    <xf numFmtId="0" fontId="36" applyFont="1" fillId="0" borderId="50" applyBorder="1" applyAlignment="1">
      <alignment horizontal="center" vertical="center" shrinkToFit="1"/>
    </xf>
    <xf numFmtId="0" fontId="39" applyFont="1" fillId="0" borderId="51" applyBorder="1" applyAlignment="1">
      <alignment horizontal="center" vertical="center" shrinkToFit="1"/>
    </xf>
    <xf numFmtId="0" fontId="40" applyFont="1" fillId="0" borderId="52" applyBorder="1" applyAlignment="1">
      <alignment horizontal="center" vertical="center" shrinkToFit="1"/>
    </xf>
    <xf numFmtId="0" fontId="42" applyFont="1" fillId="0" borderId="53" applyBorder="1" applyAlignment="1">
      <alignment horizontal="center" vertical="center" shrinkToFit="1"/>
    </xf>
    <xf numFmtId="0" fontId="43" applyFont="1" fillId="0" borderId="54" applyBorder="1" applyAlignment="1">
      <alignment horizontal="center" vertical="center" shrinkToFit="1"/>
    </xf>
    <xf numFmtId="0" fontId="44" applyFont="1" fillId="0" borderId="0" applyAlignment="1">
      <alignment vertical="center"/>
    </xf>
    <xf numFmtId="0" fontId="45" applyFont="1" fillId="0" borderId="55" applyBorder="1" applyAlignment="1">
      <alignment horizontal="center" vertical="center" shrinkToFit="1"/>
    </xf>
    <xf numFmtId="0" fontId="46" applyFont="1" fillId="0" borderId="56" applyBorder="1" applyAlignment="1">
      <alignment horizontal="center" vertical="center" shrinkToFit="1"/>
    </xf>
    <xf numFmtId="0" fontId="47" applyFont="1" fillId="0" borderId="0" applyAlignment="1">
      <alignment vertical="center"/>
    </xf>
    <xf numFmtId="0" fontId="48" applyFont="1" fillId="0" borderId="57" applyBorder="1" applyAlignment="1">
      <alignment horizontal="center" vertical="center" shrinkToFit="1"/>
    </xf>
    <xf numFmtId="0" fontId="49" applyFont="1" fillId="0" borderId="58" applyBorder="1" applyAlignment="1">
      <alignment horizontal="center" vertical="center" shrinkToFit="1"/>
    </xf>
    <xf numFmtId="0" fontId="1" applyFont="1" fillId="0" borderId="0" applyAlignment="1">
      <alignment vertical="center"/>
    </xf>
    <xf numFmtId="0" fontId="1" applyFont="1" fillId="0" borderId="59" applyBorder="1" applyAlignment="1">
      <alignment horizontal="center" vertical="center" shrinkToFit="1"/>
    </xf>
    <xf numFmtId="0" fontId="50" applyFont="1" fillId="0" borderId="60" applyBorder="1" applyAlignment="1">
      <alignment horizontal="center" vertical="center" shrinkToFit="1"/>
    </xf>
    <xf numFmtId="0" fontId="51" applyFont="1" fillId="0" border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5.xml"/><Relationship Id="rId3" Type="http://schemas.openxmlformats.org/officeDocument/2006/relationships/sharedStrings" Target="sharedStrings.xml"/></Relationships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EX2333"/>
  <sheetViews>
    <sheetView tabSelected="1" zoomScaleNormal="100" topLeftCell="A1" workbookViewId="0">
      <selection activeCell="K4" activeCellId="0" sqref="K4"/>
    </sheetView>
  </sheetViews>
  <sheetFormatPr defaultRowHeight="13.95" customHeight="1" defaultColWidth="9.0" x14ac:dyDescent="0.15"/>
  <cols>
    <col min="1" max="1" width="9.75" customWidth="1" style="129"/>
    <col min="2" max="2" width="31.5" customWidth="1" style="129"/>
    <col min="3" max="3" width="12.125" customWidth="1" style="129"/>
    <col min="4" max="4" width="16.125" customWidth="1" style="129"/>
    <col min="5" max="5" width="11.125" customWidth="1" style="129"/>
    <col min="6" max="6" width="11.5" customWidth="1" style="129"/>
    <col min="7" max="7" width="13.875" customWidth="1" style="129"/>
    <col min="8" max="16378" width="9.0" style="6"/>
  </cols>
  <sheetData>
    <row r="1" spans="1:7" ht="50.249233" customHeight="1" x14ac:dyDescent="0.15">
      <c r="A1" s="153" t="s">
        <v>0</v>
      </c>
      <c r="B1" s="152"/>
      <c r="C1" s="152"/>
      <c r="D1" s="152"/>
      <c r="E1" s="152"/>
      <c r="F1" s="152"/>
      <c r="G1" s="152"/>
    </row>
    <row r="2" spans="1:7" s="4" customFormat="1" ht="40.499382" customHeight="1" x14ac:dyDescent="0.15">
      <c r="A2" s="155" t="s">
        <v>1</v>
      </c>
      <c r="B2" s="155" t="s">
        <v>2</v>
      </c>
      <c r="C2" s="155" t="s">
        <v>3</v>
      </c>
      <c r="D2" s="155" t="s">
        <v>4</v>
      </c>
      <c r="E2" s="156" t="s">
        <v>5</v>
      </c>
      <c r="F2" s="155" t="s">
        <v>6</v>
      </c>
      <c r="G2" s="156" t="s">
        <v>7</v>
      </c>
    </row>
    <row r="3" spans="1:7" ht="32.999496" customHeight="1" x14ac:dyDescent="0.15">
      <c r="A3" s="158">
        <v>1.0</v>
      </c>
      <c r="B3" s="158" t="s">
        <v>8</v>
      </c>
      <c r="C3" s="158" t="s">
        <f>"乔牧"</f>
        <v>9</v>
      </c>
      <c r="D3" s="158" t="s">
        <f>"15010110101"</f>
        <v>10</v>
      </c>
      <c r="E3" s="158">
        <v>73.67</v>
      </c>
      <c r="F3" s="159"/>
      <c r="G3" s="158">
        <v>73.67</v>
      </c>
    </row>
    <row r="4" spans="1:7" ht="32.999496" customHeight="1" x14ac:dyDescent="0.15">
      <c r="A4" s="158">
        <v>2.0</v>
      </c>
      <c r="B4" s="158" t="s">
        <v>8</v>
      </c>
      <c r="C4" s="158" t="s">
        <f>"高波"</f>
        <v>11</v>
      </c>
      <c r="D4" s="158" t="s">
        <f>"15010110102"</f>
        <v>12</v>
      </c>
      <c r="E4" s="158">
        <v>62.18</v>
      </c>
      <c r="F4" s="158"/>
      <c r="G4" s="158">
        <v>62.18</v>
      </c>
    </row>
    <row r="5" spans="1:7" ht="32.999496" customHeight="1" x14ac:dyDescent="0.15">
      <c r="A5" s="158">
        <v>3.0</v>
      </c>
      <c r="B5" s="158" t="s">
        <v>8</v>
      </c>
      <c r="C5" s="158" t="s">
        <f>"武悦函"</f>
        <v>13</v>
      </c>
      <c r="D5" s="158" t="s">
        <f>"15010110103"</f>
        <v>14</v>
      </c>
      <c r="E5" s="158" t="s">
        <v>15</v>
      </c>
      <c r="F5" s="158">
        <v>2.5</v>
      </c>
      <c r="G5" s="158" t="s">
        <v>15</v>
      </c>
    </row>
    <row r="6" spans="1:7" ht="32.999496" customHeight="1" x14ac:dyDescent="0.15">
      <c r="A6" s="158">
        <v>4.0</v>
      </c>
      <c r="B6" s="158" t="s">
        <v>8</v>
      </c>
      <c r="C6" s="158" t="s">
        <f>"王磊"</f>
        <v>16</v>
      </c>
      <c r="D6" s="158" t="s">
        <f>"15010110104"</f>
        <v>17</v>
      </c>
      <c r="E6" s="158">
        <v>52.24</v>
      </c>
      <c r="F6" s="158"/>
      <c r="G6" s="158">
        <v>52.24</v>
      </c>
    </row>
    <row r="7" spans="1:7" ht="32.999496" customHeight="1" x14ac:dyDescent="0.15">
      <c r="A7" s="158">
        <v>5.0</v>
      </c>
      <c r="B7" s="158" t="s">
        <v>8</v>
      </c>
      <c r="C7" s="158" t="s">
        <f>"李雪"</f>
        <v>18</v>
      </c>
      <c r="D7" s="158" t="s">
        <f>"15010110105"</f>
        <v>19</v>
      </c>
      <c r="E7" s="158">
        <v>65.31</v>
      </c>
      <c r="F7" s="158"/>
      <c r="G7" s="158">
        <v>65.31</v>
      </c>
    </row>
    <row r="8" spans="1:7" ht="32.999496" customHeight="1" x14ac:dyDescent="0.15">
      <c r="A8" s="158">
        <v>6.0</v>
      </c>
      <c r="B8" s="158" t="s">
        <v>8</v>
      </c>
      <c r="C8" s="158" t="s">
        <f>"高睿"</f>
        <v>20</v>
      </c>
      <c r="D8" s="158" t="s">
        <f>"15010110106"</f>
        <v>21</v>
      </c>
      <c r="E8" s="158">
        <v>63.95</v>
      </c>
      <c r="F8" s="158"/>
      <c r="G8" s="158">
        <v>63.95</v>
      </c>
    </row>
    <row r="9" spans="1:7" ht="32.999496" customHeight="1" x14ac:dyDescent="0.15">
      <c r="A9" s="158">
        <v>7.0</v>
      </c>
      <c r="B9" s="158" t="s">
        <v>8</v>
      </c>
      <c r="C9" s="158" t="s">
        <f>"贺龙"</f>
        <v>22</v>
      </c>
      <c r="D9" s="158" t="s">
        <f>"15010110107"</f>
        <v>23</v>
      </c>
      <c r="E9" s="158">
        <v>60.86</v>
      </c>
      <c r="F9" s="158"/>
      <c r="G9" s="158">
        <v>60.86</v>
      </c>
    </row>
    <row r="10" spans="1:7" ht="32.999496" customHeight="1" x14ac:dyDescent="0.15">
      <c r="A10" s="158">
        <v>8.0</v>
      </c>
      <c r="B10" s="158" t="s">
        <v>8</v>
      </c>
      <c r="C10" s="158" t="s">
        <f>"杨媛"</f>
        <v>24</v>
      </c>
      <c r="D10" s="158" t="s">
        <f>"15010110108"</f>
        <v>25</v>
      </c>
      <c r="E10" s="158">
        <v>56.41</v>
      </c>
      <c r="F10" s="158"/>
      <c r="G10" s="158">
        <v>56.41</v>
      </c>
    </row>
    <row r="11" spans="1:7" ht="32.999496" customHeight="1" x14ac:dyDescent="0.15">
      <c r="A11" s="158">
        <v>9.0</v>
      </c>
      <c r="B11" s="158" t="s">
        <v>8</v>
      </c>
      <c r="C11" s="158" t="s">
        <f>"郭慧"</f>
        <v>26</v>
      </c>
      <c r="D11" s="158" t="s">
        <f>"15010110109"</f>
        <v>27</v>
      </c>
      <c r="E11" s="158">
        <v>53.53</v>
      </c>
      <c r="F11" s="158"/>
      <c r="G11" s="158">
        <v>53.53</v>
      </c>
    </row>
    <row r="12" spans="1:7" ht="32.999496" customHeight="1" x14ac:dyDescent="0.15">
      <c r="A12" s="158">
        <v>10.0</v>
      </c>
      <c r="B12" s="158" t="s">
        <v>8</v>
      </c>
      <c r="C12" s="158" t="s">
        <f>"乔鹭"</f>
        <v>28</v>
      </c>
      <c r="D12" s="158" t="s">
        <f>"15010110110"</f>
        <v>29</v>
      </c>
      <c r="E12" s="158">
        <v>68.75999999999999</v>
      </c>
      <c r="F12" s="158"/>
      <c r="G12" s="158">
        <v>68.75999999999999</v>
      </c>
    </row>
    <row r="13" spans="1:7" ht="32.999496" customHeight="1" x14ac:dyDescent="0.15">
      <c r="A13" s="158">
        <v>11.0</v>
      </c>
      <c r="B13" s="158" t="s">
        <v>8</v>
      </c>
      <c r="C13" s="158" t="s">
        <f>"刘海龙"</f>
        <v>30</v>
      </c>
      <c r="D13" s="158" t="s">
        <f>"15010110111"</f>
        <v>31</v>
      </c>
      <c r="E13" s="158" t="s">
        <v>15</v>
      </c>
      <c r="F13" s="158"/>
      <c r="G13" s="158" t="s">
        <v>15</v>
      </c>
    </row>
    <row r="14" spans="1:7" ht="32.999496" customHeight="1" x14ac:dyDescent="0.15">
      <c r="A14" s="158">
        <v>12.0</v>
      </c>
      <c r="B14" s="158" t="s">
        <v>8</v>
      </c>
      <c r="C14" s="158" t="s">
        <f>"张娜"</f>
        <v>32</v>
      </c>
      <c r="D14" s="158" t="s">
        <f>"15010110112"</f>
        <v>33</v>
      </c>
      <c r="E14" s="158">
        <v>58.7</v>
      </c>
      <c r="F14" s="158"/>
      <c r="G14" s="158">
        <v>58.7</v>
      </c>
    </row>
    <row r="15" spans="1:7" ht="32.999496" customHeight="1" x14ac:dyDescent="0.15">
      <c r="A15" s="158">
        <v>13.0</v>
      </c>
      <c r="B15" s="158" t="s">
        <v>8</v>
      </c>
      <c r="C15" s="158" t="s">
        <f>"刘悦"</f>
        <v>34</v>
      </c>
      <c r="D15" s="158" t="s">
        <f>"15010110113"</f>
        <v>35</v>
      </c>
      <c r="E15" s="158">
        <v>64.18</v>
      </c>
      <c r="F15" s="158"/>
      <c r="G15" s="158">
        <v>64.18</v>
      </c>
    </row>
    <row r="16" spans="1:7" ht="32.999496" customHeight="1" x14ac:dyDescent="0.15">
      <c r="A16" s="158">
        <v>14.0</v>
      </c>
      <c r="B16" s="158" t="s">
        <v>8</v>
      </c>
      <c r="C16" s="158" t="s">
        <f>"党娅婷"</f>
        <v>36</v>
      </c>
      <c r="D16" s="158" t="s">
        <f>"15010110114"</f>
        <v>37</v>
      </c>
      <c r="E16" s="158">
        <v>65.91</v>
      </c>
      <c r="F16" s="158"/>
      <c r="G16" s="158">
        <v>65.91</v>
      </c>
    </row>
    <row r="17" spans="1:7" ht="32.999496" customHeight="1" x14ac:dyDescent="0.15">
      <c r="A17" s="158">
        <v>15.0</v>
      </c>
      <c r="B17" s="158" t="s">
        <v>8</v>
      </c>
      <c r="C17" s="158" t="s">
        <f>"张璐"</f>
        <v>38</v>
      </c>
      <c r="D17" s="158" t="s">
        <f>"15010110115"</f>
        <v>39</v>
      </c>
      <c r="E17" s="158">
        <v>57.7</v>
      </c>
      <c r="F17" s="158"/>
      <c r="G17" s="158">
        <v>57.7</v>
      </c>
    </row>
    <row r="18" spans="1:7" ht="32.999496" customHeight="1" x14ac:dyDescent="0.15">
      <c r="A18" s="158">
        <v>16.0</v>
      </c>
      <c r="B18" s="158" t="s">
        <v>8</v>
      </c>
      <c r="C18" s="158" t="s">
        <f>"赵洋"</f>
        <v>40</v>
      </c>
      <c r="D18" s="158" t="s">
        <f>"15010110116"</f>
        <v>41</v>
      </c>
      <c r="E18" s="158">
        <v>64.43</v>
      </c>
      <c r="F18" s="158"/>
      <c r="G18" s="158">
        <v>64.43</v>
      </c>
    </row>
    <row r="19" spans="1:7" ht="32.999496" customHeight="1" x14ac:dyDescent="0.15">
      <c r="A19" s="158">
        <v>17.0</v>
      </c>
      <c r="B19" s="158" t="s">
        <v>8</v>
      </c>
      <c r="C19" s="158" t="s">
        <f>"李惠芳"</f>
        <v>42</v>
      </c>
      <c r="D19" s="158" t="s">
        <f>"15010110117"</f>
        <v>43</v>
      </c>
      <c r="E19" s="158">
        <v>52.31</v>
      </c>
      <c r="F19" s="158"/>
      <c r="G19" s="158">
        <v>52.31</v>
      </c>
    </row>
    <row r="20" spans="1:7" ht="32.999496" customHeight="1" x14ac:dyDescent="0.15">
      <c r="A20" s="158">
        <v>18.0</v>
      </c>
      <c r="B20" s="158" t="s">
        <v>8</v>
      </c>
      <c r="C20" s="158" t="s">
        <f>"宋蓉"</f>
        <v>44</v>
      </c>
      <c r="D20" s="158" t="s">
        <f>"15010110118"</f>
        <v>45</v>
      </c>
      <c r="E20" s="158">
        <v>56.06</v>
      </c>
      <c r="F20" s="158"/>
      <c r="G20" s="158">
        <v>56.06</v>
      </c>
    </row>
    <row r="21" spans="1:7" ht="32.999496" customHeight="1" x14ac:dyDescent="0.15">
      <c r="A21" s="158">
        <v>19.0</v>
      </c>
      <c r="B21" s="158" t="s">
        <v>8</v>
      </c>
      <c r="C21" s="158" t="s">
        <f>"高娜"</f>
        <v>46</v>
      </c>
      <c r="D21" s="158" t="s">
        <f>"15010110119"</f>
        <v>47</v>
      </c>
      <c r="E21" s="158">
        <v>41.91</v>
      </c>
      <c r="F21" s="158"/>
      <c r="G21" s="158">
        <v>41.91</v>
      </c>
    </row>
    <row r="22" spans="1:7" ht="32.999496" customHeight="1" x14ac:dyDescent="0.15">
      <c r="A22" s="158">
        <v>20.0</v>
      </c>
      <c r="B22" s="158" t="s">
        <v>8</v>
      </c>
      <c r="C22" s="158" t="s">
        <f>"杨紫涵"</f>
        <v>48</v>
      </c>
      <c r="D22" s="158" t="s">
        <f>"15010110120"</f>
        <v>49</v>
      </c>
      <c r="E22" s="158">
        <v>63.04</v>
      </c>
      <c r="F22" s="158"/>
      <c r="G22" s="158">
        <v>63.04</v>
      </c>
    </row>
    <row r="23" spans="1:7" ht="32.999496" customHeight="1" x14ac:dyDescent="0.15">
      <c r="A23" s="158">
        <v>21.0</v>
      </c>
      <c r="B23" s="158" t="s">
        <v>8</v>
      </c>
      <c r="C23" s="158" t="s">
        <f>"马巧玲"</f>
        <v>50</v>
      </c>
      <c r="D23" s="158" t="s">
        <f>"15010110121"</f>
        <v>51</v>
      </c>
      <c r="E23" s="158" t="s">
        <v>15</v>
      </c>
      <c r="F23" s="158"/>
      <c r="G23" s="158" t="s">
        <v>15</v>
      </c>
    </row>
    <row r="24" spans="1:7" ht="32.999496" customHeight="1" x14ac:dyDescent="0.15">
      <c r="A24" s="158">
        <v>22.0</v>
      </c>
      <c r="B24" s="158" t="s">
        <v>8</v>
      </c>
      <c r="C24" s="158" t="s">
        <f>"王铁牛"</f>
        <v>52</v>
      </c>
      <c r="D24" s="158" t="s">
        <f>"15010110122"</f>
        <v>53</v>
      </c>
      <c r="E24" s="158">
        <v>43.260000000000005</v>
      </c>
      <c r="F24" s="158"/>
      <c r="G24" s="158">
        <v>43.260000000000005</v>
      </c>
    </row>
    <row r="25" spans="1:7" ht="32.999496" customHeight="1" x14ac:dyDescent="0.15">
      <c r="A25" s="158">
        <v>23.0</v>
      </c>
      <c r="B25" s="158" t="s">
        <v>8</v>
      </c>
      <c r="C25" s="158" t="s">
        <f>"郭艳"</f>
        <v>54</v>
      </c>
      <c r="D25" s="158" t="s">
        <f>"15010110123"</f>
        <v>55</v>
      </c>
      <c r="E25" s="158">
        <v>61.51</v>
      </c>
      <c r="F25" s="158"/>
      <c r="G25" s="158">
        <v>61.51</v>
      </c>
    </row>
    <row r="26" spans="1:7" ht="32.999496" customHeight="1" x14ac:dyDescent="0.15">
      <c r="A26" s="158">
        <v>24.0</v>
      </c>
      <c r="B26" s="158" t="s">
        <v>8</v>
      </c>
      <c r="C26" s="158" t="s">
        <f>"雷婷"</f>
        <v>56</v>
      </c>
      <c r="D26" s="158" t="s">
        <f>"15010110124"</f>
        <v>57</v>
      </c>
      <c r="E26" s="158">
        <v>57.07</v>
      </c>
      <c r="F26" s="158"/>
      <c r="G26" s="158">
        <v>57.07</v>
      </c>
    </row>
    <row r="27" spans="1:7" ht="32.999496" customHeight="1" x14ac:dyDescent="0.15">
      <c r="A27" s="158">
        <v>25.0</v>
      </c>
      <c r="B27" s="158" t="s">
        <v>8</v>
      </c>
      <c r="C27" s="158" t="s">
        <f>"刘丽"</f>
        <v>58</v>
      </c>
      <c r="D27" s="158" t="s">
        <f>"15010110125"</f>
        <v>59</v>
      </c>
      <c r="E27" s="158">
        <v>64.95</v>
      </c>
      <c r="F27" s="158"/>
      <c r="G27" s="158">
        <v>64.95</v>
      </c>
    </row>
    <row r="28" spans="1:7" ht="32.999496" customHeight="1" x14ac:dyDescent="0.15">
      <c r="A28" s="158">
        <v>26.0</v>
      </c>
      <c r="B28" s="158" t="s">
        <v>8</v>
      </c>
      <c r="C28" s="158" t="s">
        <f>"白雪"</f>
        <v>60</v>
      </c>
      <c r="D28" s="158" t="s">
        <f>"15010110126"</f>
        <v>61</v>
      </c>
      <c r="E28" s="158">
        <v>66.3</v>
      </c>
      <c r="F28" s="158">
        <v>2.5</v>
      </c>
      <c r="G28" s="158">
        <v>68.8</v>
      </c>
    </row>
    <row r="29" spans="1:7" ht="32.999496" customHeight="1" x14ac:dyDescent="0.15">
      <c r="A29" s="158">
        <v>27.0</v>
      </c>
      <c r="B29" s="158" t="s">
        <v>8</v>
      </c>
      <c r="C29" s="158" t="s">
        <f>"李治"</f>
        <v>62</v>
      </c>
      <c r="D29" s="158" t="s">
        <f>"15010110127"</f>
        <v>63</v>
      </c>
      <c r="E29" s="158">
        <v>46.34</v>
      </c>
      <c r="F29" s="158"/>
      <c r="G29" s="158">
        <v>46.34</v>
      </c>
    </row>
    <row r="30" spans="1:7" ht="32.999496" customHeight="1" x14ac:dyDescent="0.15">
      <c r="A30" s="158">
        <v>28.0</v>
      </c>
      <c r="B30" s="158" t="s">
        <v>8</v>
      </c>
      <c r="C30" s="158" t="s">
        <f>"朱子夜"</f>
        <v>64</v>
      </c>
      <c r="D30" s="158" t="s">
        <f>"15010110128"</f>
        <v>65</v>
      </c>
      <c r="E30" s="158">
        <v>55.79</v>
      </c>
      <c r="F30" s="158"/>
      <c r="G30" s="158">
        <v>55.79</v>
      </c>
    </row>
    <row r="31" spans="1:7" ht="32.999496" customHeight="1" x14ac:dyDescent="0.15">
      <c r="A31" s="158">
        <v>29.0</v>
      </c>
      <c r="B31" s="158" t="s">
        <v>8</v>
      </c>
      <c r="C31" s="158" t="s">
        <f>"金旭芬"</f>
        <v>66</v>
      </c>
      <c r="D31" s="158" t="s">
        <f>"15010110129"</f>
        <v>67</v>
      </c>
      <c r="E31" s="158">
        <v>52.36</v>
      </c>
      <c r="F31" s="158"/>
      <c r="G31" s="158">
        <v>52.36</v>
      </c>
    </row>
    <row r="32" spans="1:7" ht="32.999496" customHeight="1" x14ac:dyDescent="0.15">
      <c r="A32" s="158">
        <v>30.0</v>
      </c>
      <c r="B32" s="158" t="s">
        <v>8</v>
      </c>
      <c r="C32" s="158" t="s">
        <f>"乔倩"</f>
        <v>68</v>
      </c>
      <c r="D32" s="158" t="s">
        <f>"15010110130"</f>
        <v>69</v>
      </c>
      <c r="E32" s="158">
        <v>58.07</v>
      </c>
      <c r="F32" s="158"/>
      <c r="G32" s="158">
        <v>58.07</v>
      </c>
    </row>
    <row r="33" spans="1:7" ht="32.999496" customHeight="1" x14ac:dyDescent="0.15">
      <c r="A33" s="158">
        <v>31.0</v>
      </c>
      <c r="B33" s="158" t="s">
        <v>8</v>
      </c>
      <c r="C33" s="158" t="s">
        <f>"孙婷"</f>
        <v>70</v>
      </c>
      <c r="D33" s="158" t="s">
        <f>"15010110201"</f>
        <v>71</v>
      </c>
      <c r="E33" s="158">
        <v>55.91</v>
      </c>
      <c r="F33" s="158"/>
      <c r="G33" s="158">
        <v>55.91</v>
      </c>
    </row>
    <row r="34" spans="1:7" ht="32.999496" customHeight="1" x14ac:dyDescent="0.15">
      <c r="A34" s="158">
        <v>32.0</v>
      </c>
      <c r="B34" s="158" t="s">
        <v>8</v>
      </c>
      <c r="C34" s="158" t="s">
        <f>"袁伟"</f>
        <v>72</v>
      </c>
      <c r="D34" s="158" t="s">
        <f>"15010110202"</f>
        <v>73</v>
      </c>
      <c r="E34" s="158">
        <v>65.09</v>
      </c>
      <c r="F34" s="158"/>
      <c r="G34" s="158">
        <v>65.09</v>
      </c>
    </row>
    <row r="35" spans="1:7" ht="32.999496" customHeight="1" x14ac:dyDescent="0.15">
      <c r="A35" s="158">
        <v>33.0</v>
      </c>
      <c r="B35" s="158" t="s">
        <v>8</v>
      </c>
      <c r="C35" s="158" t="s">
        <f>"折志学"</f>
        <v>74</v>
      </c>
      <c r="D35" s="158" t="s">
        <f>"15010110203"</f>
        <v>75</v>
      </c>
      <c r="E35" s="158" t="s">
        <v>15</v>
      </c>
      <c r="F35" s="158"/>
      <c r="G35" s="158" t="s">
        <v>15</v>
      </c>
    </row>
    <row r="36" spans="1:7" ht="32.999496" customHeight="1" x14ac:dyDescent="0.15">
      <c r="A36" s="158">
        <v>34.0</v>
      </c>
      <c r="B36" s="158" t="s">
        <v>8</v>
      </c>
      <c r="C36" s="158" t="s">
        <f>"陈强"</f>
        <v>76</v>
      </c>
      <c r="D36" s="158" t="s">
        <f>"15010110204"</f>
        <v>77</v>
      </c>
      <c r="E36" s="158" t="s">
        <v>15</v>
      </c>
      <c r="F36" s="158"/>
      <c r="G36" s="158" t="s">
        <v>15</v>
      </c>
    </row>
    <row r="37" spans="1:7" ht="32.999496" customHeight="1" x14ac:dyDescent="0.15">
      <c r="A37" s="158">
        <v>35.0</v>
      </c>
      <c r="B37" s="158" t="s">
        <v>8</v>
      </c>
      <c r="C37" s="158" t="s">
        <f>"郭思瑶"</f>
        <v>78</v>
      </c>
      <c r="D37" s="158" t="s">
        <f>"15010110205"</f>
        <v>79</v>
      </c>
      <c r="E37" s="158">
        <v>63.8</v>
      </c>
      <c r="F37" s="158"/>
      <c r="G37" s="158">
        <v>63.8</v>
      </c>
    </row>
    <row r="38" spans="1:7" ht="32.999496" customHeight="1" x14ac:dyDescent="0.15">
      <c r="A38" s="158">
        <v>36.0</v>
      </c>
      <c r="B38" s="158" t="s">
        <v>8</v>
      </c>
      <c r="C38" s="158" t="s">
        <f>"郭艳女"</f>
        <v>80</v>
      </c>
      <c r="D38" s="158" t="s">
        <f>"15010110206"</f>
        <v>81</v>
      </c>
      <c r="E38" s="158">
        <v>50.5</v>
      </c>
      <c r="F38" s="158"/>
      <c r="G38" s="158">
        <v>50.5</v>
      </c>
    </row>
    <row r="39" spans="1:7" ht="32.999496" customHeight="1" x14ac:dyDescent="0.15">
      <c r="A39" s="158">
        <v>37.0</v>
      </c>
      <c r="B39" s="158" t="s">
        <v>8</v>
      </c>
      <c r="C39" s="158" t="s">
        <f>"奇雪薇"</f>
        <v>82</v>
      </c>
      <c r="D39" s="158" t="s">
        <f>"15010110207"</f>
        <v>83</v>
      </c>
      <c r="E39" s="158">
        <v>57.32</v>
      </c>
      <c r="F39" s="158">
        <v>2.5</v>
      </c>
      <c r="G39" s="158">
        <v>59.82</v>
      </c>
    </row>
    <row r="40" spans="1:7" ht="32.999496" customHeight="1" x14ac:dyDescent="0.15">
      <c r="A40" s="158">
        <v>38.0</v>
      </c>
      <c r="B40" s="158" t="s">
        <v>8</v>
      </c>
      <c r="C40" s="158" t="s">
        <f>"高慧"</f>
        <v>84</v>
      </c>
      <c r="D40" s="158" t="s">
        <f>"15010110208"</f>
        <v>85</v>
      </c>
      <c r="E40" s="158">
        <v>50.989999999999995</v>
      </c>
      <c r="F40" s="158"/>
      <c r="G40" s="158">
        <v>50.989999999999995</v>
      </c>
    </row>
    <row r="41" spans="1:7" ht="32.999496" customHeight="1" x14ac:dyDescent="0.15">
      <c r="A41" s="158">
        <v>39.0</v>
      </c>
      <c r="B41" s="158" t="s">
        <v>8</v>
      </c>
      <c r="C41" s="158" t="s">
        <f>"郝荣"</f>
        <v>86</v>
      </c>
      <c r="D41" s="158" t="s">
        <f>"15010110209"</f>
        <v>87</v>
      </c>
      <c r="E41" s="158">
        <v>49.07</v>
      </c>
      <c r="F41" s="158"/>
      <c r="G41" s="158">
        <v>49.07</v>
      </c>
    </row>
    <row r="42" spans="1:7" ht="32.999496" customHeight="1" x14ac:dyDescent="0.15">
      <c r="A42" s="158">
        <v>40.0</v>
      </c>
      <c r="B42" s="158" t="s">
        <v>8</v>
      </c>
      <c r="C42" s="158" t="s">
        <f>"王柏粤"</f>
        <v>88</v>
      </c>
      <c r="D42" s="158" t="s">
        <f>"15010110210"</f>
        <v>89</v>
      </c>
      <c r="E42" s="158">
        <v>72.12</v>
      </c>
      <c r="F42" s="158"/>
      <c r="G42" s="158">
        <v>72.12</v>
      </c>
    </row>
    <row r="43" spans="1:7" ht="32.999496" customHeight="1" x14ac:dyDescent="0.15">
      <c r="A43" s="158">
        <v>41.0</v>
      </c>
      <c r="B43" s="158" t="s">
        <v>8</v>
      </c>
      <c r="C43" s="158" t="s">
        <f>"张帅"</f>
        <v>90</v>
      </c>
      <c r="D43" s="158" t="s">
        <f>"15010110211"</f>
        <v>91</v>
      </c>
      <c r="E43" s="158">
        <v>58.88</v>
      </c>
      <c r="F43" s="158"/>
      <c r="G43" s="158">
        <v>58.88</v>
      </c>
    </row>
    <row r="44" spans="1:7" ht="32.999496" customHeight="1" x14ac:dyDescent="0.15">
      <c r="A44" s="158">
        <v>42.0</v>
      </c>
      <c r="B44" s="158" t="s">
        <v>8</v>
      </c>
      <c r="C44" s="158" t="s">
        <f>"张乐"</f>
        <v>92</v>
      </c>
      <c r="D44" s="158" t="s">
        <f>"15010110212"</f>
        <v>93</v>
      </c>
      <c r="E44" s="158">
        <v>56.66</v>
      </c>
      <c r="F44" s="158"/>
      <c r="G44" s="158">
        <v>56.66</v>
      </c>
    </row>
    <row r="45" spans="1:7" ht="32.999496" customHeight="1" x14ac:dyDescent="0.15">
      <c r="A45" s="158">
        <v>43.0</v>
      </c>
      <c r="B45" s="158" t="s">
        <v>8</v>
      </c>
      <c r="C45" s="158" t="s">
        <f>"杜贵荣"</f>
        <v>94</v>
      </c>
      <c r="D45" s="158" t="s">
        <f>"15010110213"</f>
        <v>95</v>
      </c>
      <c r="E45" s="158">
        <v>80.74000000000001</v>
      </c>
      <c r="F45" s="158"/>
      <c r="G45" s="158">
        <v>80.74000000000001</v>
      </c>
    </row>
    <row r="46" spans="1:7" ht="32.999496" customHeight="1" x14ac:dyDescent="0.15">
      <c r="A46" s="158">
        <v>44.0</v>
      </c>
      <c r="B46" s="158" t="s">
        <v>8</v>
      </c>
      <c r="C46" s="158" t="s">
        <f>"焦美娜"</f>
        <v>96</v>
      </c>
      <c r="D46" s="158" t="s">
        <f>"15010110214"</f>
        <v>97</v>
      </c>
      <c r="E46" s="158">
        <v>44.33</v>
      </c>
      <c r="F46" s="158">
        <v>2.5</v>
      </c>
      <c r="G46" s="158">
        <v>46.83</v>
      </c>
    </row>
    <row r="47" spans="1:7" ht="32.999496" customHeight="1" x14ac:dyDescent="0.15">
      <c r="A47" s="158">
        <v>45.0</v>
      </c>
      <c r="B47" s="158" t="s">
        <v>8</v>
      </c>
      <c r="C47" s="158" t="s">
        <f>"王慧芳"</f>
        <v>98</v>
      </c>
      <c r="D47" s="158" t="s">
        <f>"15010110215"</f>
        <v>99</v>
      </c>
      <c r="E47" s="158">
        <v>59.78</v>
      </c>
      <c r="F47" s="158"/>
      <c r="G47" s="158">
        <v>59.78</v>
      </c>
    </row>
    <row r="48" spans="1:7" ht="32.999496" customHeight="1" x14ac:dyDescent="0.15">
      <c r="A48" s="158">
        <v>46.0</v>
      </c>
      <c r="B48" s="158" t="s">
        <v>8</v>
      </c>
      <c r="C48" s="158" t="s">
        <f>"冯霞"</f>
        <v>100</v>
      </c>
      <c r="D48" s="158" t="s">
        <f>"15010110216"</f>
        <v>101</v>
      </c>
      <c r="E48" s="158">
        <v>65.47999999999999</v>
      </c>
      <c r="F48" s="158"/>
      <c r="G48" s="158">
        <v>65.47999999999999</v>
      </c>
    </row>
    <row r="49" spans="1:7" ht="32.999496" customHeight="1" x14ac:dyDescent="0.15">
      <c r="A49" s="158">
        <v>47.0</v>
      </c>
      <c r="B49" s="158" t="s">
        <v>8</v>
      </c>
      <c r="C49" s="158" t="s">
        <f>"高倩"</f>
        <v>102</v>
      </c>
      <c r="D49" s="158" t="s">
        <f>"15010110217"</f>
        <v>103</v>
      </c>
      <c r="E49" s="158">
        <v>62.37</v>
      </c>
      <c r="F49" s="158"/>
      <c r="G49" s="158">
        <v>62.37</v>
      </c>
    </row>
    <row r="50" spans="1:7" ht="32.999496" customHeight="1" x14ac:dyDescent="0.15">
      <c r="A50" s="158">
        <v>48.0</v>
      </c>
      <c r="B50" s="158" t="s">
        <v>8</v>
      </c>
      <c r="C50" s="158" t="s">
        <f>"赵慧婕"</f>
        <v>104</v>
      </c>
      <c r="D50" s="158" t="s">
        <f>"15010110218"</f>
        <v>105</v>
      </c>
      <c r="E50" s="158">
        <v>48.08</v>
      </c>
      <c r="F50" s="158"/>
      <c r="G50" s="158">
        <v>48.08</v>
      </c>
    </row>
    <row r="51" spans="1:7" ht="32.999496" customHeight="1" x14ac:dyDescent="0.15">
      <c r="A51" s="158">
        <v>49.0</v>
      </c>
      <c r="B51" s="158" t="s">
        <v>8</v>
      </c>
      <c r="C51" s="158" t="s">
        <f>"王娜"</f>
        <v>106</v>
      </c>
      <c r="D51" s="158" t="s">
        <f>"15010110219"</f>
        <v>107</v>
      </c>
      <c r="E51" s="158">
        <v>55.879999999999995</v>
      </c>
      <c r="F51" s="158"/>
      <c r="G51" s="158">
        <v>55.879999999999995</v>
      </c>
    </row>
    <row r="52" spans="1:7" ht="32.999496" customHeight="1" x14ac:dyDescent="0.15">
      <c r="A52" s="158">
        <v>50.0</v>
      </c>
      <c r="B52" s="158" t="s">
        <v>8</v>
      </c>
      <c r="C52" s="158" t="s">
        <f>"李艳霞"</f>
        <v>108</v>
      </c>
      <c r="D52" s="158" t="s">
        <f>"15010110220"</f>
        <v>109</v>
      </c>
      <c r="E52" s="158">
        <v>67.06</v>
      </c>
      <c r="F52" s="158"/>
      <c r="G52" s="158">
        <v>67.06</v>
      </c>
    </row>
    <row r="53" spans="1:7" ht="32.999496" customHeight="1" x14ac:dyDescent="0.15">
      <c r="A53" s="158">
        <v>51.0</v>
      </c>
      <c r="B53" s="158" t="s">
        <v>8</v>
      </c>
      <c r="C53" s="158" t="s">
        <f>"王艳蓉"</f>
        <v>110</v>
      </c>
      <c r="D53" s="158" t="s">
        <f>"15010110221"</f>
        <v>111</v>
      </c>
      <c r="E53" s="158">
        <v>54.730000000000004</v>
      </c>
      <c r="F53" s="158"/>
      <c r="G53" s="158">
        <v>54.730000000000004</v>
      </c>
    </row>
    <row r="54" spans="1:7" ht="32.999496" customHeight="1" x14ac:dyDescent="0.15">
      <c r="A54" s="158">
        <v>52.0</v>
      </c>
      <c r="B54" s="158" t="s">
        <v>8</v>
      </c>
      <c r="C54" s="158" t="s">
        <f>"钱欣玥"</f>
        <v>112</v>
      </c>
      <c r="D54" s="158" t="s">
        <f>"15010110222"</f>
        <v>113</v>
      </c>
      <c r="E54" s="158">
        <v>48.53</v>
      </c>
      <c r="F54" s="158">
        <v>2.5</v>
      </c>
      <c r="G54" s="158">
        <v>51.03</v>
      </c>
    </row>
    <row r="55" spans="1:7" ht="32.999496" customHeight="1" x14ac:dyDescent="0.15">
      <c r="A55" s="158">
        <v>53.0</v>
      </c>
      <c r="B55" s="158" t="s">
        <v>8</v>
      </c>
      <c r="C55" s="158" t="s">
        <f>"李东杰"</f>
        <v>114</v>
      </c>
      <c r="D55" s="158" t="s">
        <f>"15010110223"</f>
        <v>115</v>
      </c>
      <c r="E55" s="158">
        <v>62.99</v>
      </c>
      <c r="F55" s="158"/>
      <c r="G55" s="158">
        <v>62.99</v>
      </c>
    </row>
    <row r="56" spans="1:7" ht="32.999496" customHeight="1" x14ac:dyDescent="0.15">
      <c r="A56" s="158">
        <v>54.0</v>
      </c>
      <c r="B56" s="158" t="s">
        <v>8</v>
      </c>
      <c r="C56" s="158" t="s">
        <f>"高乐"</f>
        <v>116</v>
      </c>
      <c r="D56" s="158" t="s">
        <f>"15010110224"</f>
        <v>117</v>
      </c>
      <c r="E56" s="158" t="s">
        <v>15</v>
      </c>
      <c r="F56" s="158"/>
      <c r="G56" s="158" t="s">
        <v>15</v>
      </c>
    </row>
    <row r="57" spans="1:7" ht="32.999496" customHeight="1" x14ac:dyDescent="0.15">
      <c r="A57" s="158">
        <v>55.0</v>
      </c>
      <c r="B57" s="158" t="s">
        <v>8</v>
      </c>
      <c r="C57" s="158" t="s">
        <f>"薛海霞"</f>
        <v>118</v>
      </c>
      <c r="D57" s="158" t="s">
        <f>"15010110225"</f>
        <v>119</v>
      </c>
      <c r="E57" s="158">
        <v>52.980000000000004</v>
      </c>
      <c r="F57" s="158"/>
      <c r="G57" s="158">
        <v>52.980000000000004</v>
      </c>
    </row>
    <row r="58" spans="1:7" ht="32.999496" customHeight="1" x14ac:dyDescent="0.15">
      <c r="A58" s="158">
        <v>56.0</v>
      </c>
      <c r="B58" s="158" t="s">
        <v>8</v>
      </c>
      <c r="C58" s="158" t="s">
        <f>"张敏"</f>
        <v>120</v>
      </c>
      <c r="D58" s="158" t="s">
        <f>"15010110226"</f>
        <v>121</v>
      </c>
      <c r="E58" s="158">
        <v>63.73</v>
      </c>
      <c r="F58" s="158"/>
      <c r="G58" s="158">
        <v>63.73</v>
      </c>
    </row>
    <row r="59" spans="1:7" ht="32.999496" customHeight="1" x14ac:dyDescent="0.15">
      <c r="A59" s="158">
        <v>57.0</v>
      </c>
      <c r="B59" s="158" t="s">
        <v>8</v>
      </c>
      <c r="C59" s="158" t="s">
        <f>"李子雄"</f>
        <v>122</v>
      </c>
      <c r="D59" s="158" t="s">
        <f>"15010110227"</f>
        <v>123</v>
      </c>
      <c r="E59" s="158">
        <v>58.86</v>
      </c>
      <c r="F59" s="158"/>
      <c r="G59" s="158">
        <v>58.86</v>
      </c>
    </row>
    <row r="60" spans="1:7" ht="32.999496" customHeight="1" x14ac:dyDescent="0.15">
      <c r="A60" s="158">
        <v>58.0</v>
      </c>
      <c r="B60" s="158" t="s">
        <v>8</v>
      </c>
      <c r="C60" s="158" t="s">
        <f>"訾晓梅"</f>
        <v>124</v>
      </c>
      <c r="D60" s="158" t="s">
        <f>"15010110228"</f>
        <v>125</v>
      </c>
      <c r="E60" s="158">
        <v>46.769999999999996</v>
      </c>
      <c r="F60" s="158">
        <v>2.5</v>
      </c>
      <c r="G60" s="158">
        <v>49.269999999999996</v>
      </c>
    </row>
    <row r="61" spans="1:7" ht="32.999496" customHeight="1" x14ac:dyDescent="0.15">
      <c r="A61" s="158">
        <v>59.0</v>
      </c>
      <c r="B61" s="158" t="s">
        <v>8</v>
      </c>
      <c r="C61" s="158" t="s">
        <f>"尚婧"</f>
        <v>126</v>
      </c>
      <c r="D61" s="158" t="s">
        <f>"15010110229"</f>
        <v>127</v>
      </c>
      <c r="E61" s="158" t="s">
        <v>15</v>
      </c>
      <c r="F61" s="158"/>
      <c r="G61" s="158" t="s">
        <v>15</v>
      </c>
    </row>
    <row r="62" spans="1:7" ht="32.999496" customHeight="1" x14ac:dyDescent="0.15">
      <c r="A62" s="158">
        <v>60.0</v>
      </c>
      <c r="B62" s="158" t="s">
        <v>8</v>
      </c>
      <c r="C62" s="158" t="s">
        <f>"童晶"</f>
        <v>128</v>
      </c>
      <c r="D62" s="158" t="s">
        <f>"15010110230"</f>
        <v>129</v>
      </c>
      <c r="E62" s="158">
        <v>50.66</v>
      </c>
      <c r="F62" s="158"/>
      <c r="G62" s="158">
        <v>50.66</v>
      </c>
    </row>
    <row r="63" spans="1:7" ht="32.999496" customHeight="1" x14ac:dyDescent="0.15">
      <c r="A63" s="158">
        <v>61.0</v>
      </c>
      <c r="B63" s="158" t="s">
        <v>8</v>
      </c>
      <c r="C63" s="158" t="s">
        <f>"杜鑫浦"</f>
        <v>130</v>
      </c>
      <c r="D63" s="158" t="s">
        <f>"15010110301"</f>
        <v>131</v>
      </c>
      <c r="E63" s="158">
        <v>63.73</v>
      </c>
      <c r="F63" s="158"/>
      <c r="G63" s="158">
        <v>63.73</v>
      </c>
    </row>
    <row r="64" spans="1:7" ht="32.999496" customHeight="1" x14ac:dyDescent="0.15">
      <c r="A64" s="158">
        <v>62.0</v>
      </c>
      <c r="B64" s="158" t="s">
        <v>8</v>
      </c>
      <c r="C64" s="158" t="s">
        <f>"武鑫"</f>
        <v>132</v>
      </c>
      <c r="D64" s="158" t="s">
        <f>"15010110302"</f>
        <v>133</v>
      </c>
      <c r="E64" s="158">
        <v>64.11</v>
      </c>
      <c r="F64" s="158"/>
      <c r="G64" s="158">
        <v>64.11</v>
      </c>
    </row>
    <row r="65" spans="1:7" ht="32.999496" customHeight="1" x14ac:dyDescent="0.15">
      <c r="A65" s="158">
        <v>63.0</v>
      </c>
      <c r="B65" s="158" t="s">
        <v>8</v>
      </c>
      <c r="C65" s="158" t="s">
        <f>"王超"</f>
        <v>134</v>
      </c>
      <c r="D65" s="158" t="s">
        <f>"15010110303"</f>
        <v>135</v>
      </c>
      <c r="E65" s="158">
        <v>47.54</v>
      </c>
      <c r="F65" s="158"/>
      <c r="G65" s="158">
        <v>47.54</v>
      </c>
    </row>
    <row r="66" spans="1:7" ht="32.999496" customHeight="1" x14ac:dyDescent="0.15">
      <c r="A66" s="158">
        <v>64.0</v>
      </c>
      <c r="B66" s="158" t="s">
        <v>8</v>
      </c>
      <c r="C66" s="158" t="s">
        <f>"郝娜"</f>
        <v>136</v>
      </c>
      <c r="D66" s="158" t="s">
        <f>"15010110304"</f>
        <v>137</v>
      </c>
      <c r="E66" s="158">
        <v>63.62</v>
      </c>
      <c r="F66" s="158"/>
      <c r="G66" s="158">
        <v>63.62</v>
      </c>
    </row>
    <row r="67" spans="1:7" ht="32.999496" customHeight="1" x14ac:dyDescent="0.15">
      <c r="A67" s="158">
        <v>65.0</v>
      </c>
      <c r="B67" s="158" t="s">
        <v>8</v>
      </c>
      <c r="C67" s="158" t="s">
        <f>"郭呈如"</f>
        <v>138</v>
      </c>
      <c r="D67" s="158" t="s">
        <f>"15010110305"</f>
        <v>139</v>
      </c>
      <c r="E67" s="158">
        <v>51.65</v>
      </c>
      <c r="F67" s="158"/>
      <c r="G67" s="158">
        <v>51.65</v>
      </c>
    </row>
    <row r="68" spans="1:7" ht="32.999496" customHeight="1" x14ac:dyDescent="0.15">
      <c r="A68" s="158">
        <v>66.0</v>
      </c>
      <c r="B68" s="158" t="s">
        <v>8</v>
      </c>
      <c r="C68" s="158" t="s">
        <f>"黄淑"</f>
        <v>140</v>
      </c>
      <c r="D68" s="158" t="s">
        <f>"15010110306"</f>
        <v>141</v>
      </c>
      <c r="E68" s="158" t="s">
        <v>15</v>
      </c>
      <c r="F68" s="158"/>
      <c r="G68" s="158" t="s">
        <v>15</v>
      </c>
    </row>
    <row r="69" spans="1:7" ht="32.999496" customHeight="1" x14ac:dyDescent="0.15">
      <c r="A69" s="158">
        <v>67.0</v>
      </c>
      <c r="B69" s="158" t="s">
        <v>8</v>
      </c>
      <c r="C69" s="158" t="s">
        <f>"张东伟"</f>
        <v>142</v>
      </c>
      <c r="D69" s="158" t="s">
        <f>"15010110307"</f>
        <v>143</v>
      </c>
      <c r="E69" s="158">
        <v>57.95</v>
      </c>
      <c r="F69" s="158"/>
      <c r="G69" s="158">
        <v>57.95</v>
      </c>
    </row>
    <row r="70" spans="1:7" ht="32.999496" customHeight="1" x14ac:dyDescent="0.15">
      <c r="A70" s="158">
        <v>68.0</v>
      </c>
      <c r="B70" s="158" t="s">
        <v>8</v>
      </c>
      <c r="C70" s="158" t="s">
        <f>"王冠"</f>
        <v>144</v>
      </c>
      <c r="D70" s="158" t="s">
        <f>"15010110308"</f>
        <v>145</v>
      </c>
      <c r="E70" s="158">
        <v>63.5</v>
      </c>
      <c r="F70" s="158"/>
      <c r="G70" s="158">
        <v>63.5</v>
      </c>
    </row>
    <row r="71" spans="1:7" ht="32.999496" customHeight="1" x14ac:dyDescent="0.15">
      <c r="A71" s="158">
        <v>69.0</v>
      </c>
      <c r="B71" s="158" t="s">
        <v>8</v>
      </c>
      <c r="C71" s="158" t="s">
        <f>"王子录"</f>
        <v>146</v>
      </c>
      <c r="D71" s="158" t="s">
        <f>"15010110309"</f>
        <v>147</v>
      </c>
      <c r="E71" s="158">
        <v>50.870000000000005</v>
      </c>
      <c r="F71" s="158"/>
      <c r="G71" s="158">
        <v>50.870000000000005</v>
      </c>
    </row>
    <row r="72" spans="1:7" ht="32.999496" customHeight="1" x14ac:dyDescent="0.15">
      <c r="A72" s="158">
        <v>70.0</v>
      </c>
      <c r="B72" s="158" t="s">
        <v>8</v>
      </c>
      <c r="C72" s="158" t="s">
        <f>"乔璞"</f>
        <v>148</v>
      </c>
      <c r="D72" s="158" t="s">
        <f>"15010110310"</f>
        <v>149</v>
      </c>
      <c r="E72" s="158">
        <v>66.06</v>
      </c>
      <c r="F72" s="158"/>
      <c r="G72" s="158">
        <v>66.06</v>
      </c>
    </row>
    <row r="73" spans="1:7" ht="32.999496" customHeight="1" x14ac:dyDescent="0.15">
      <c r="A73" s="158">
        <v>71.0</v>
      </c>
      <c r="B73" s="158" t="s">
        <v>8</v>
      </c>
      <c r="C73" s="158" t="s">
        <f>"李璐"</f>
        <v>150</v>
      </c>
      <c r="D73" s="158" t="s">
        <f>"15010110311"</f>
        <v>151</v>
      </c>
      <c r="E73" s="158">
        <v>59.28</v>
      </c>
      <c r="F73" s="158"/>
      <c r="G73" s="158">
        <v>59.28</v>
      </c>
    </row>
    <row r="74" spans="1:7" ht="32.999496" customHeight="1" x14ac:dyDescent="0.15">
      <c r="A74" s="158">
        <v>72.0</v>
      </c>
      <c r="B74" s="158" t="s">
        <v>8</v>
      </c>
      <c r="C74" s="158" t="s">
        <f>"郝元莘"</f>
        <v>152</v>
      </c>
      <c r="D74" s="158" t="s">
        <f>"15010110312"</f>
        <v>153</v>
      </c>
      <c r="E74" s="158">
        <v>65.37</v>
      </c>
      <c r="F74" s="158"/>
      <c r="G74" s="158">
        <v>65.37</v>
      </c>
    </row>
    <row r="75" spans="1:7" ht="32.999496" customHeight="1" x14ac:dyDescent="0.15">
      <c r="A75" s="158">
        <v>73.0</v>
      </c>
      <c r="B75" s="158" t="s">
        <v>8</v>
      </c>
      <c r="C75" s="158" t="s">
        <f>"闫丽"</f>
        <v>154</v>
      </c>
      <c r="D75" s="158" t="s">
        <f>"15010110313"</f>
        <v>155</v>
      </c>
      <c r="E75" s="158">
        <v>57.84</v>
      </c>
      <c r="F75" s="158"/>
      <c r="G75" s="158">
        <v>57.84</v>
      </c>
    </row>
    <row r="76" spans="1:7" ht="32.999496" customHeight="1" x14ac:dyDescent="0.15">
      <c r="A76" s="158">
        <v>74.0</v>
      </c>
      <c r="B76" s="158" t="s">
        <v>8</v>
      </c>
      <c r="C76" s="158" t="s">
        <f>"王珂荣"</f>
        <v>156</v>
      </c>
      <c r="D76" s="158" t="s">
        <f>"15010110314"</f>
        <v>157</v>
      </c>
      <c r="E76" s="158">
        <v>51.56</v>
      </c>
      <c r="F76" s="158"/>
      <c r="G76" s="158">
        <v>51.56</v>
      </c>
    </row>
    <row r="77" spans="1:7" ht="32.999496" customHeight="1" x14ac:dyDescent="0.15">
      <c r="A77" s="158">
        <v>75.0</v>
      </c>
      <c r="B77" s="158" t="s">
        <v>8</v>
      </c>
      <c r="C77" s="158" t="s">
        <f>"呼伟"</f>
        <v>158</v>
      </c>
      <c r="D77" s="158" t="s">
        <f>"15010110315"</f>
        <v>159</v>
      </c>
      <c r="E77" s="158">
        <v>61.06</v>
      </c>
      <c r="F77" s="158"/>
      <c r="G77" s="158">
        <v>61.06</v>
      </c>
    </row>
    <row r="78" spans="1:7" ht="32.999496" customHeight="1" x14ac:dyDescent="0.15">
      <c r="A78" s="158">
        <v>76.0</v>
      </c>
      <c r="B78" s="158" t="s">
        <v>8</v>
      </c>
      <c r="C78" s="158" t="s">
        <f>"杨蓉"</f>
        <v>160</v>
      </c>
      <c r="D78" s="158" t="s">
        <f>"15010110316"</f>
        <v>161</v>
      </c>
      <c r="E78" s="158">
        <v>52.879999999999995</v>
      </c>
      <c r="F78" s="158"/>
      <c r="G78" s="158">
        <v>52.879999999999995</v>
      </c>
    </row>
    <row r="79" spans="1:7" ht="32.999496" customHeight="1" x14ac:dyDescent="0.15">
      <c r="A79" s="158">
        <v>77.0</v>
      </c>
      <c r="B79" s="158" t="s">
        <v>8</v>
      </c>
      <c r="C79" s="158" t="s">
        <f>"郭小峰"</f>
        <v>162</v>
      </c>
      <c r="D79" s="158" t="s">
        <f>"15010110317"</f>
        <v>163</v>
      </c>
      <c r="E79" s="158">
        <v>62.6</v>
      </c>
      <c r="F79" s="158"/>
      <c r="G79" s="158">
        <v>62.6</v>
      </c>
    </row>
    <row r="80" spans="1:7" ht="32.999496" customHeight="1" x14ac:dyDescent="0.15">
      <c r="A80" s="158">
        <v>78.0</v>
      </c>
      <c r="B80" s="158" t="s">
        <v>8</v>
      </c>
      <c r="C80" s="158" t="s">
        <f>"童丹蓉"</f>
        <v>164</v>
      </c>
      <c r="D80" s="158" t="s">
        <f>"15010110318"</f>
        <v>165</v>
      </c>
      <c r="E80" s="158">
        <v>58.06</v>
      </c>
      <c r="F80" s="158"/>
      <c r="G80" s="158">
        <v>58.06</v>
      </c>
    </row>
    <row r="81" spans="1:7" ht="32.999496" customHeight="1" x14ac:dyDescent="0.15">
      <c r="A81" s="158">
        <v>79.0</v>
      </c>
      <c r="B81" s="158" t="s">
        <v>8</v>
      </c>
      <c r="C81" s="158" t="s">
        <f>"王燕"</f>
        <v>166</v>
      </c>
      <c r="D81" s="158" t="s">
        <f>"15010110319"</f>
        <v>167</v>
      </c>
      <c r="E81" s="158">
        <v>58.22</v>
      </c>
      <c r="F81" s="158"/>
      <c r="G81" s="158">
        <v>58.22</v>
      </c>
    </row>
    <row r="82" spans="1:7" ht="32.999496" customHeight="1" x14ac:dyDescent="0.15">
      <c r="A82" s="158">
        <v>80.0</v>
      </c>
      <c r="B82" s="158" t="s">
        <v>8</v>
      </c>
      <c r="C82" s="158" t="s">
        <f>"李瑞博"</f>
        <v>168</v>
      </c>
      <c r="D82" s="158" t="s">
        <f>"15010110320"</f>
        <v>169</v>
      </c>
      <c r="E82" s="158">
        <v>60.48</v>
      </c>
      <c r="F82" s="158"/>
      <c r="G82" s="158">
        <v>60.48</v>
      </c>
    </row>
    <row r="83" spans="1:7" ht="32.999496" customHeight="1" x14ac:dyDescent="0.15">
      <c r="A83" s="158">
        <v>81.0</v>
      </c>
      <c r="B83" s="158" t="s">
        <v>8</v>
      </c>
      <c r="C83" s="158" t="s">
        <f>"高思宇"</f>
        <v>170</v>
      </c>
      <c r="D83" s="158" t="s">
        <f>"15010110321"</f>
        <v>171</v>
      </c>
      <c r="E83" s="158">
        <v>57.120000000000005</v>
      </c>
      <c r="F83" s="158"/>
      <c r="G83" s="158">
        <v>57.120000000000005</v>
      </c>
    </row>
    <row r="84" spans="1:7" ht="32.999496" customHeight="1" x14ac:dyDescent="0.15">
      <c r="A84" s="158">
        <v>82.0</v>
      </c>
      <c r="B84" s="158" t="s">
        <v>8</v>
      </c>
      <c r="C84" s="158" t="s">
        <f>"郭春艳"</f>
        <v>172</v>
      </c>
      <c r="D84" s="158" t="s">
        <f>"15010110322"</f>
        <v>173</v>
      </c>
      <c r="E84" s="158">
        <v>50.67</v>
      </c>
      <c r="F84" s="158"/>
      <c r="G84" s="158">
        <v>50.67</v>
      </c>
    </row>
    <row r="85" spans="1:7" ht="32.999496" customHeight="1" x14ac:dyDescent="0.15">
      <c r="A85" s="158">
        <v>83.0</v>
      </c>
      <c r="B85" s="158" t="s">
        <v>8</v>
      </c>
      <c r="C85" s="158" t="s">
        <f>"折益轩"</f>
        <v>174</v>
      </c>
      <c r="D85" s="158" t="s">
        <f>"15010110323"</f>
        <v>175</v>
      </c>
      <c r="E85" s="158">
        <v>48.32</v>
      </c>
      <c r="F85" s="158"/>
      <c r="G85" s="158">
        <v>48.32</v>
      </c>
    </row>
    <row r="86" spans="1:7" ht="32.999496" customHeight="1" x14ac:dyDescent="0.15">
      <c r="A86" s="158">
        <v>84.0</v>
      </c>
      <c r="B86" s="158" t="s">
        <v>8</v>
      </c>
      <c r="C86" s="158" t="s">
        <f>"苏亚洁"</f>
        <v>176</v>
      </c>
      <c r="D86" s="158" t="s">
        <f>"15010110324"</f>
        <v>177</v>
      </c>
      <c r="E86" s="158">
        <v>54.489999999999995</v>
      </c>
      <c r="F86" s="158"/>
      <c r="G86" s="158">
        <v>54.489999999999995</v>
      </c>
    </row>
    <row r="87" spans="1:7" ht="32.999496" customHeight="1" x14ac:dyDescent="0.15">
      <c r="A87" s="158">
        <v>85.0</v>
      </c>
      <c r="B87" s="158" t="s">
        <v>8</v>
      </c>
      <c r="C87" s="158" t="s">
        <f>"何金莉"</f>
        <v>178</v>
      </c>
      <c r="D87" s="158" t="s">
        <f>"15010110325"</f>
        <v>179</v>
      </c>
      <c r="E87" s="158" t="s">
        <v>15</v>
      </c>
      <c r="F87" s="158"/>
      <c r="G87" s="158" t="s">
        <v>15</v>
      </c>
    </row>
    <row r="88" spans="1:7" ht="32.999496" customHeight="1" x14ac:dyDescent="0.15">
      <c r="A88" s="158">
        <v>86.0</v>
      </c>
      <c r="B88" s="158" t="s">
        <v>8</v>
      </c>
      <c r="C88" s="158" t="s">
        <f>"王慧"</f>
        <v>180</v>
      </c>
      <c r="D88" s="158" t="s">
        <f>"15010110326"</f>
        <v>181</v>
      </c>
      <c r="E88" s="158">
        <v>46.61</v>
      </c>
      <c r="F88" s="158"/>
      <c r="G88" s="158">
        <v>46.61</v>
      </c>
    </row>
    <row r="89" spans="1:7" ht="32.999496" customHeight="1" x14ac:dyDescent="0.15">
      <c r="A89" s="158">
        <v>87.0</v>
      </c>
      <c r="B89" s="158" t="s">
        <v>8</v>
      </c>
      <c r="C89" s="158" t="s">
        <f>"黎晓东"</f>
        <v>182</v>
      </c>
      <c r="D89" s="158" t="s">
        <f>"15010110327"</f>
        <v>183</v>
      </c>
      <c r="E89" s="158">
        <v>66.72999999999999</v>
      </c>
      <c r="F89" s="158"/>
      <c r="G89" s="158">
        <v>66.72999999999999</v>
      </c>
    </row>
    <row r="90" spans="1:7" ht="32.999496" customHeight="1" x14ac:dyDescent="0.15">
      <c r="A90" s="158">
        <v>88.0</v>
      </c>
      <c r="B90" s="158" t="s">
        <v>8</v>
      </c>
      <c r="C90" s="158" t="s">
        <f>"杨璐"</f>
        <v>184</v>
      </c>
      <c r="D90" s="158" t="s">
        <f>"15010110328"</f>
        <v>185</v>
      </c>
      <c r="E90" s="158">
        <v>52.629999999999995</v>
      </c>
      <c r="F90" s="158"/>
      <c r="G90" s="158">
        <v>52.629999999999995</v>
      </c>
    </row>
    <row r="91" spans="1:7" ht="32.999496" customHeight="1" x14ac:dyDescent="0.15">
      <c r="A91" s="158">
        <v>89.0</v>
      </c>
      <c r="B91" s="158" t="s">
        <v>8</v>
      </c>
      <c r="C91" s="158" t="s">
        <f>"杨晶"</f>
        <v>186</v>
      </c>
      <c r="D91" s="158" t="s">
        <f>"15010110329"</f>
        <v>187</v>
      </c>
      <c r="E91" s="158">
        <v>36.870000000000005</v>
      </c>
      <c r="F91" s="158">
        <v>2.5</v>
      </c>
      <c r="G91" s="158">
        <v>39.370000000000005</v>
      </c>
    </row>
    <row r="92" spans="1:7" ht="32.999496" customHeight="1" x14ac:dyDescent="0.15">
      <c r="A92" s="158">
        <v>90.0</v>
      </c>
      <c r="B92" s="158" t="s">
        <v>8</v>
      </c>
      <c r="C92" s="158" t="s">
        <f>"武小丽"</f>
        <v>188</v>
      </c>
      <c r="D92" s="158" t="s">
        <f>"15010110330"</f>
        <v>189</v>
      </c>
      <c r="E92" s="158">
        <v>71.9</v>
      </c>
      <c r="F92" s="158"/>
      <c r="G92" s="158">
        <v>71.9</v>
      </c>
    </row>
    <row r="93" spans="1:7" ht="32.999496" customHeight="1" x14ac:dyDescent="0.15">
      <c r="A93" s="158">
        <v>91.0</v>
      </c>
      <c r="B93" s="158" t="s">
        <v>8</v>
      </c>
      <c r="C93" s="158" t="s">
        <f>"王慧"</f>
        <v>180</v>
      </c>
      <c r="D93" s="158" t="s">
        <f>"15010110401"</f>
        <v>190</v>
      </c>
      <c r="E93" s="158">
        <v>64.28999999999999</v>
      </c>
      <c r="F93" s="158"/>
      <c r="G93" s="158">
        <v>64.28999999999999</v>
      </c>
    </row>
    <row r="94" spans="1:7" ht="32.999496" customHeight="1" x14ac:dyDescent="0.15">
      <c r="A94" s="158">
        <v>92.0</v>
      </c>
      <c r="B94" s="158" t="s">
        <v>8</v>
      </c>
      <c r="C94" s="158" t="s">
        <f>"刘洁"</f>
        <v>191</v>
      </c>
      <c r="D94" s="158" t="s">
        <f>"15010110402"</f>
        <v>192</v>
      </c>
      <c r="E94" s="158">
        <v>54.97</v>
      </c>
      <c r="F94" s="158"/>
      <c r="G94" s="158">
        <v>54.97</v>
      </c>
    </row>
    <row r="95" spans="1:7" ht="32.999496" customHeight="1" x14ac:dyDescent="0.15">
      <c r="A95" s="158">
        <v>93.0</v>
      </c>
      <c r="B95" s="158" t="s">
        <v>8</v>
      </c>
      <c r="C95" s="158" t="s">
        <f>"巴格纳"</f>
        <v>193</v>
      </c>
      <c r="D95" s="158" t="s">
        <f>"15010110403"</f>
        <v>194</v>
      </c>
      <c r="E95" s="158">
        <v>54.46</v>
      </c>
      <c r="F95" s="158">
        <v>2.5</v>
      </c>
      <c r="G95" s="158">
        <v>56.96</v>
      </c>
    </row>
    <row r="96" spans="1:7" ht="32.999496" customHeight="1" x14ac:dyDescent="0.15">
      <c r="A96" s="158">
        <v>94.0</v>
      </c>
      <c r="B96" s="158" t="s">
        <v>8</v>
      </c>
      <c r="C96" s="158" t="s">
        <f>"王艳"</f>
        <v>195</v>
      </c>
      <c r="D96" s="158" t="s">
        <f>"15010110404"</f>
        <v>196</v>
      </c>
      <c r="E96" s="158">
        <v>53.9</v>
      </c>
      <c r="F96" s="158"/>
      <c r="G96" s="158">
        <v>53.9</v>
      </c>
    </row>
    <row r="97" spans="1:7" ht="32.999496" customHeight="1" x14ac:dyDescent="0.15">
      <c r="A97" s="158">
        <v>95.0</v>
      </c>
      <c r="B97" s="158" t="s">
        <v>8</v>
      </c>
      <c r="C97" s="158" t="s">
        <f>"白白"</f>
        <v>197</v>
      </c>
      <c r="D97" s="158" t="s">
        <f>"15010110405"</f>
        <v>198</v>
      </c>
      <c r="E97" s="158">
        <v>60.73</v>
      </c>
      <c r="F97" s="158"/>
      <c r="G97" s="158">
        <v>60.73</v>
      </c>
    </row>
    <row r="98" spans="1:7" ht="32.999496" customHeight="1" x14ac:dyDescent="0.15">
      <c r="A98" s="158">
        <v>96.0</v>
      </c>
      <c r="B98" s="158" t="s">
        <v>8</v>
      </c>
      <c r="C98" s="158" t="s">
        <f>"张艳"</f>
        <v>199</v>
      </c>
      <c r="D98" s="158" t="s">
        <f>"15010110406"</f>
        <v>200</v>
      </c>
      <c r="E98" s="158" t="s">
        <v>15</v>
      </c>
      <c r="F98" s="158"/>
      <c r="G98" s="158" t="s">
        <v>15</v>
      </c>
    </row>
    <row r="99" spans="1:7" ht="32.999496" customHeight="1" x14ac:dyDescent="0.15">
      <c r="A99" s="158">
        <v>97.0</v>
      </c>
      <c r="B99" s="158" t="s">
        <v>8</v>
      </c>
      <c r="C99" s="158" t="s">
        <f>"方慧"</f>
        <v>201</v>
      </c>
      <c r="D99" s="158" t="s">
        <f>"15010110407"</f>
        <v>202</v>
      </c>
      <c r="E99" s="158">
        <v>54.239999999999995</v>
      </c>
      <c r="F99" s="158"/>
      <c r="G99" s="158">
        <v>54.239999999999995</v>
      </c>
    </row>
    <row r="100" spans="1:7" ht="32.999496" customHeight="1" x14ac:dyDescent="0.15">
      <c r="A100" s="158">
        <v>98.0</v>
      </c>
      <c r="B100" s="158" t="s">
        <v>8</v>
      </c>
      <c r="C100" s="158" t="s">
        <f>"刘慧强"</f>
        <v>203</v>
      </c>
      <c r="D100" s="158" t="s">
        <f>"15010110408"</f>
        <v>204</v>
      </c>
      <c r="E100" s="158" t="s">
        <v>15</v>
      </c>
      <c r="F100" s="158"/>
      <c r="G100" s="158" t="s">
        <v>15</v>
      </c>
    </row>
    <row r="101" spans="1:7" ht="32.999496" customHeight="1" x14ac:dyDescent="0.15">
      <c r="A101" s="158">
        <v>99.0</v>
      </c>
      <c r="B101" s="158" t="s">
        <v>8</v>
      </c>
      <c r="C101" s="158" t="s">
        <f>"郝亮"</f>
        <v>205</v>
      </c>
      <c r="D101" s="158" t="s">
        <f>"15010110409"</f>
        <v>206</v>
      </c>
      <c r="E101" s="158">
        <v>61.01</v>
      </c>
      <c r="F101" s="158"/>
      <c r="G101" s="158">
        <v>61.01</v>
      </c>
    </row>
    <row r="102" spans="1:7" ht="32.999496" customHeight="1" x14ac:dyDescent="0.15">
      <c r="A102" s="158">
        <v>100.0</v>
      </c>
      <c r="B102" s="158" t="s">
        <v>8</v>
      </c>
      <c r="C102" s="158" t="s">
        <f>"王媛"</f>
        <v>207</v>
      </c>
      <c r="D102" s="158" t="s">
        <f>"15010110410"</f>
        <v>208</v>
      </c>
      <c r="E102" s="158">
        <v>64</v>
      </c>
      <c r="F102" s="158"/>
      <c r="G102" s="158">
        <v>64</v>
      </c>
    </row>
    <row r="103" spans="1:7" ht="32.999496" customHeight="1" x14ac:dyDescent="0.15">
      <c r="A103" s="158">
        <v>101.0</v>
      </c>
      <c r="B103" s="158" t="s">
        <v>8</v>
      </c>
      <c r="C103" s="158" t="s">
        <f>"刘凯"</f>
        <v>209</v>
      </c>
      <c r="D103" s="158" t="s">
        <f>"15010110411"</f>
        <v>210</v>
      </c>
      <c r="E103" s="158" t="s">
        <v>15</v>
      </c>
      <c r="F103" s="158"/>
      <c r="G103" s="158" t="s">
        <v>15</v>
      </c>
    </row>
    <row r="104" spans="1:7" ht="32.999496" customHeight="1" x14ac:dyDescent="0.15">
      <c r="A104" s="158">
        <v>102.0</v>
      </c>
      <c r="B104" s="158" t="s">
        <v>8</v>
      </c>
      <c r="C104" s="158" t="s">
        <f>"高慧"</f>
        <v>84</v>
      </c>
      <c r="D104" s="158" t="s">
        <f>"15010110412"</f>
        <v>211</v>
      </c>
      <c r="E104" s="158">
        <v>43.66</v>
      </c>
      <c r="F104" s="158"/>
      <c r="G104" s="158">
        <v>43.66</v>
      </c>
    </row>
    <row r="105" spans="1:7" ht="32.999496" customHeight="1" x14ac:dyDescent="0.15">
      <c r="A105" s="158">
        <v>103.0</v>
      </c>
      <c r="B105" s="158" t="s">
        <v>8</v>
      </c>
      <c r="C105" s="158" t="s">
        <f>"高瑞"</f>
        <v>212</v>
      </c>
      <c r="D105" s="158" t="s">
        <f>"15010110413"</f>
        <v>213</v>
      </c>
      <c r="E105" s="158">
        <v>42.66</v>
      </c>
      <c r="F105" s="158"/>
      <c r="G105" s="158">
        <v>42.66</v>
      </c>
    </row>
    <row r="106" spans="1:7" ht="32.999496" customHeight="1" x14ac:dyDescent="0.15">
      <c r="A106" s="158">
        <v>104.0</v>
      </c>
      <c r="B106" s="158" t="s">
        <v>8</v>
      </c>
      <c r="C106" s="158" t="s">
        <f>"曾敏"</f>
        <v>214</v>
      </c>
      <c r="D106" s="158" t="s">
        <f>"15010110414"</f>
        <v>215</v>
      </c>
      <c r="E106" s="158" t="s">
        <v>15</v>
      </c>
      <c r="F106" s="158"/>
      <c r="G106" s="158" t="s">
        <v>15</v>
      </c>
    </row>
    <row r="107" spans="1:7" ht="32.999496" customHeight="1" x14ac:dyDescent="0.15">
      <c r="A107" s="158">
        <v>105.0</v>
      </c>
      <c r="B107" s="158" t="s">
        <v>8</v>
      </c>
      <c r="C107" s="158" t="s">
        <f>"边鹏"</f>
        <v>216</v>
      </c>
      <c r="D107" s="158" t="s">
        <f>"15010110415"</f>
        <v>217</v>
      </c>
      <c r="E107" s="158">
        <v>50.95</v>
      </c>
      <c r="F107" s="158"/>
      <c r="G107" s="158">
        <v>50.95</v>
      </c>
    </row>
    <row r="108" spans="1:7" ht="32.999496" customHeight="1" x14ac:dyDescent="0.15">
      <c r="A108" s="158">
        <v>106.0</v>
      </c>
      <c r="B108" s="158" t="s">
        <v>8</v>
      </c>
      <c r="C108" s="158" t="s">
        <f>"张一博"</f>
        <v>218</v>
      </c>
      <c r="D108" s="158" t="s">
        <f>"15010110416"</f>
        <v>219</v>
      </c>
      <c r="E108" s="158">
        <v>59.52</v>
      </c>
      <c r="F108" s="158"/>
      <c r="G108" s="158">
        <v>59.52</v>
      </c>
    </row>
    <row r="109" spans="1:7" ht="32.999496" customHeight="1" x14ac:dyDescent="0.15">
      <c r="A109" s="158">
        <v>107.0</v>
      </c>
      <c r="B109" s="158" t="s">
        <v>8</v>
      </c>
      <c r="C109" s="158" t="s">
        <f>"徐小平"</f>
        <v>220</v>
      </c>
      <c r="D109" s="158" t="s">
        <f>"15010110417"</f>
        <v>221</v>
      </c>
      <c r="E109" s="158">
        <v>52.269999999999996</v>
      </c>
      <c r="F109" s="158"/>
      <c r="G109" s="158">
        <v>52.269999999999996</v>
      </c>
    </row>
    <row r="110" spans="1:7" ht="32.999496" customHeight="1" x14ac:dyDescent="0.15">
      <c r="A110" s="158">
        <v>108.0</v>
      </c>
      <c r="B110" s="158" t="s">
        <v>8</v>
      </c>
      <c r="C110" s="158" t="s">
        <f>"李鑫"</f>
        <v>222</v>
      </c>
      <c r="D110" s="158" t="s">
        <f>"15010110418"</f>
        <v>223</v>
      </c>
      <c r="E110" s="158">
        <v>56.16</v>
      </c>
      <c r="F110" s="158"/>
      <c r="G110" s="158">
        <v>56.16</v>
      </c>
    </row>
    <row r="111" spans="1:7" ht="32.999496" customHeight="1" x14ac:dyDescent="0.15">
      <c r="A111" s="158">
        <v>109.0</v>
      </c>
      <c r="B111" s="158" t="s">
        <v>8</v>
      </c>
      <c r="C111" s="158" t="s">
        <f>"刘媛媛"</f>
        <v>224</v>
      </c>
      <c r="D111" s="158" t="s">
        <f>"15010110419"</f>
        <v>225</v>
      </c>
      <c r="E111" s="158">
        <v>44.989999999999995</v>
      </c>
      <c r="F111" s="158"/>
      <c r="G111" s="158">
        <v>44.989999999999995</v>
      </c>
    </row>
    <row r="112" spans="1:7" ht="32.999496" customHeight="1" x14ac:dyDescent="0.15">
      <c r="A112" s="158">
        <v>110.0</v>
      </c>
      <c r="B112" s="158" t="s">
        <v>8</v>
      </c>
      <c r="C112" s="158" t="s">
        <f>"赵丽"</f>
        <v>226</v>
      </c>
      <c r="D112" s="158" t="s">
        <f>"15010110420"</f>
        <v>227</v>
      </c>
      <c r="E112" s="158">
        <v>58.97</v>
      </c>
      <c r="F112" s="158"/>
      <c r="G112" s="158">
        <v>58.97</v>
      </c>
    </row>
    <row r="113" spans="1:7" ht="32.999496" customHeight="1" x14ac:dyDescent="0.15">
      <c r="A113" s="158">
        <v>111.0</v>
      </c>
      <c r="B113" s="158" t="s">
        <v>8</v>
      </c>
      <c r="C113" s="158" t="s">
        <f>"刘智"</f>
        <v>228</v>
      </c>
      <c r="D113" s="158" t="s">
        <f>"15010110421"</f>
        <v>229</v>
      </c>
      <c r="E113" s="158">
        <v>72.78999999999999</v>
      </c>
      <c r="F113" s="158"/>
      <c r="G113" s="158">
        <v>72.78999999999999</v>
      </c>
    </row>
    <row r="114" spans="1:7" ht="32.999496" customHeight="1" x14ac:dyDescent="0.15">
      <c r="A114" s="158">
        <v>112.0</v>
      </c>
      <c r="B114" s="158" t="s">
        <v>8</v>
      </c>
      <c r="C114" s="158" t="s">
        <f>"贾乐"</f>
        <v>230</v>
      </c>
      <c r="D114" s="158" t="s">
        <f>"15010110422"</f>
        <v>231</v>
      </c>
      <c r="E114" s="158">
        <v>60.68</v>
      </c>
      <c r="F114" s="158"/>
      <c r="G114" s="158">
        <v>60.68</v>
      </c>
    </row>
    <row r="115" spans="1:7" ht="32.999496" customHeight="1" x14ac:dyDescent="0.15">
      <c r="A115" s="158">
        <v>113.0</v>
      </c>
      <c r="B115" s="158" t="s">
        <v>8</v>
      </c>
      <c r="C115" s="158" t="s">
        <f>"丁亮"</f>
        <v>232</v>
      </c>
      <c r="D115" s="158" t="s">
        <f>"15010110423"</f>
        <v>233</v>
      </c>
      <c r="E115" s="158">
        <v>57.1</v>
      </c>
      <c r="F115" s="158"/>
      <c r="G115" s="158">
        <v>57.1</v>
      </c>
    </row>
    <row r="116" spans="1:7" ht="32.999496" customHeight="1" x14ac:dyDescent="0.15">
      <c r="A116" s="158">
        <v>114.0</v>
      </c>
      <c r="B116" s="158" t="s">
        <v>8</v>
      </c>
      <c r="C116" s="158" t="s">
        <f>"张可昉"</f>
        <v>234</v>
      </c>
      <c r="D116" s="158" t="s">
        <f>"15010110424"</f>
        <v>235</v>
      </c>
      <c r="E116" s="158" t="s">
        <v>15</v>
      </c>
      <c r="F116" s="158"/>
      <c r="G116" s="158" t="s">
        <v>15</v>
      </c>
    </row>
    <row r="117" spans="1:7" ht="32.999496" customHeight="1" x14ac:dyDescent="0.15">
      <c r="A117" s="158">
        <v>115.0</v>
      </c>
      <c r="B117" s="158" t="s">
        <v>8</v>
      </c>
      <c r="C117" s="158" t="s">
        <f>"陈毅"</f>
        <v>236</v>
      </c>
      <c r="D117" s="158" t="s">
        <f>"15010110425"</f>
        <v>237</v>
      </c>
      <c r="E117" s="158">
        <v>64.83</v>
      </c>
      <c r="F117" s="158"/>
      <c r="G117" s="158">
        <v>64.83</v>
      </c>
    </row>
    <row r="118" spans="1:7" ht="32.999496" customHeight="1" x14ac:dyDescent="0.15">
      <c r="A118" s="158">
        <v>116.0</v>
      </c>
      <c r="B118" s="158" t="s">
        <v>8</v>
      </c>
      <c r="C118" s="158" t="s">
        <f>"姜浩"</f>
        <v>238</v>
      </c>
      <c r="D118" s="158" t="s">
        <f>"15010110426"</f>
        <v>239</v>
      </c>
      <c r="E118" s="158">
        <v>63.55</v>
      </c>
      <c r="F118" s="158"/>
      <c r="G118" s="158">
        <v>63.55</v>
      </c>
    </row>
    <row r="119" spans="1:7" ht="32.999496" customHeight="1" x14ac:dyDescent="0.15">
      <c r="A119" s="158">
        <v>117.0</v>
      </c>
      <c r="B119" s="158" t="s">
        <v>8</v>
      </c>
      <c r="C119" s="158" t="s">
        <f>"康慧"</f>
        <v>240</v>
      </c>
      <c r="D119" s="158" t="s">
        <f>"15010110427"</f>
        <v>241</v>
      </c>
      <c r="E119" s="158" t="s">
        <v>15</v>
      </c>
      <c r="F119" s="158"/>
      <c r="G119" s="158" t="s">
        <v>15</v>
      </c>
    </row>
    <row r="120" spans="1:7" ht="32.999496" customHeight="1" x14ac:dyDescent="0.15">
      <c r="A120" s="158">
        <v>118.0</v>
      </c>
      <c r="B120" s="158" t="s">
        <v>8</v>
      </c>
      <c r="C120" s="158" t="s">
        <f>"倪玥"</f>
        <v>242</v>
      </c>
      <c r="D120" s="158" t="s">
        <f>"15010110428"</f>
        <v>243</v>
      </c>
      <c r="E120" s="158" t="s">
        <v>15</v>
      </c>
      <c r="F120" s="158"/>
      <c r="G120" s="158" t="s">
        <v>15</v>
      </c>
    </row>
    <row r="121" spans="1:7" ht="32.999496" customHeight="1" x14ac:dyDescent="0.15">
      <c r="A121" s="158">
        <v>119.0</v>
      </c>
      <c r="B121" s="158" t="s">
        <v>8</v>
      </c>
      <c r="C121" s="158" t="s">
        <f>"白静"</f>
        <v>244</v>
      </c>
      <c r="D121" s="158" t="s">
        <f>"15010110429"</f>
        <v>245</v>
      </c>
      <c r="E121" s="158">
        <v>55.39</v>
      </c>
      <c r="F121" s="158"/>
      <c r="G121" s="158">
        <v>55.39</v>
      </c>
    </row>
    <row r="122" spans="1:7" ht="32.999496" customHeight="1" x14ac:dyDescent="0.15">
      <c r="A122" s="158">
        <v>120.0</v>
      </c>
      <c r="B122" s="158" t="s">
        <v>8</v>
      </c>
      <c r="C122" s="158" t="s">
        <f>"曹馨午"</f>
        <v>246</v>
      </c>
      <c r="D122" s="158" t="s">
        <f>"15010110430"</f>
        <v>247</v>
      </c>
      <c r="E122" s="158" t="s">
        <v>15</v>
      </c>
      <c r="F122" s="158"/>
      <c r="G122" s="158" t="s">
        <v>15</v>
      </c>
    </row>
    <row r="123" spans="1:7" ht="32.999496" customHeight="1" x14ac:dyDescent="0.15">
      <c r="A123" s="158">
        <v>121.0</v>
      </c>
      <c r="B123" s="158" t="s">
        <v>8</v>
      </c>
      <c r="C123" s="158" t="s">
        <f>"刘娅妮"</f>
        <v>248</v>
      </c>
      <c r="D123" s="158" t="s">
        <f>"15010110501"</f>
        <v>249</v>
      </c>
      <c r="E123" s="158" t="s">
        <v>15</v>
      </c>
      <c r="F123" s="158"/>
      <c r="G123" s="158" t="s">
        <v>15</v>
      </c>
    </row>
    <row r="124" spans="1:7" ht="32.999496" customHeight="1" x14ac:dyDescent="0.15">
      <c r="A124" s="158">
        <v>122.0</v>
      </c>
      <c r="B124" s="158" t="s">
        <v>8</v>
      </c>
      <c r="C124" s="158" t="s">
        <f>"张鑫"</f>
        <v>250</v>
      </c>
      <c r="D124" s="158" t="s">
        <f>"15010110502"</f>
        <v>251</v>
      </c>
      <c r="E124" s="158">
        <v>66.92</v>
      </c>
      <c r="F124" s="158"/>
      <c r="G124" s="158">
        <v>66.92</v>
      </c>
    </row>
    <row r="125" spans="1:7" ht="32.999496" customHeight="1" x14ac:dyDescent="0.15">
      <c r="A125" s="158">
        <v>123.0</v>
      </c>
      <c r="B125" s="158" t="s">
        <v>8</v>
      </c>
      <c r="C125" s="158" t="s">
        <f>"尚慧龙"</f>
        <v>252</v>
      </c>
      <c r="D125" s="158" t="s">
        <f>"15010110503"</f>
        <v>253</v>
      </c>
      <c r="E125" s="158">
        <v>60.3</v>
      </c>
      <c r="F125" s="158"/>
      <c r="G125" s="158">
        <v>60.3</v>
      </c>
    </row>
    <row r="126" spans="1:7" ht="32.999496" customHeight="1" x14ac:dyDescent="0.15">
      <c r="A126" s="158">
        <v>124.0</v>
      </c>
      <c r="B126" s="158" t="s">
        <v>8</v>
      </c>
      <c r="C126" s="158" t="s">
        <f>"王佳乐"</f>
        <v>254</v>
      </c>
      <c r="D126" s="158" t="s">
        <f>"15010110504"</f>
        <v>255</v>
      </c>
      <c r="E126" s="158">
        <v>66.38</v>
      </c>
      <c r="F126" s="158"/>
      <c r="G126" s="158">
        <v>66.38</v>
      </c>
    </row>
    <row r="127" spans="1:7" ht="32.999496" customHeight="1" x14ac:dyDescent="0.15">
      <c r="A127" s="158">
        <v>125.0</v>
      </c>
      <c r="B127" s="158" t="s">
        <v>8</v>
      </c>
      <c r="C127" s="158" t="s">
        <f>"高聚繁"</f>
        <v>256</v>
      </c>
      <c r="D127" s="158" t="s">
        <f>"15010110505"</f>
        <v>257</v>
      </c>
      <c r="E127" s="158" t="s">
        <v>15</v>
      </c>
      <c r="F127" s="158"/>
      <c r="G127" s="158" t="s">
        <v>15</v>
      </c>
    </row>
    <row r="128" spans="1:7" ht="32.999496" customHeight="1" x14ac:dyDescent="0.15">
      <c r="A128" s="158">
        <v>126.0</v>
      </c>
      <c r="B128" s="158" t="s">
        <v>8</v>
      </c>
      <c r="C128" s="158" t="s">
        <f>"兰拴霞"</f>
        <v>258</v>
      </c>
      <c r="D128" s="158" t="s">
        <f>"15010110506"</f>
        <v>259</v>
      </c>
      <c r="E128" s="158">
        <v>59.79</v>
      </c>
      <c r="F128" s="158"/>
      <c r="G128" s="158">
        <v>59.79</v>
      </c>
    </row>
    <row r="129" spans="1:7" ht="32.999496" customHeight="1" x14ac:dyDescent="0.15">
      <c r="A129" s="158">
        <v>127.0</v>
      </c>
      <c r="B129" s="158" t="s">
        <v>8</v>
      </c>
      <c r="C129" s="158" t="s">
        <f>"张恒"</f>
        <v>260</v>
      </c>
      <c r="D129" s="158" t="s">
        <f>"15010110507"</f>
        <v>261</v>
      </c>
      <c r="E129" s="158">
        <v>65.56</v>
      </c>
      <c r="F129" s="158"/>
      <c r="G129" s="158">
        <v>65.56</v>
      </c>
    </row>
    <row r="130" spans="1:7" ht="32.999496" customHeight="1" x14ac:dyDescent="0.15">
      <c r="A130" s="158">
        <v>128.0</v>
      </c>
      <c r="B130" s="158" t="s">
        <v>8</v>
      </c>
      <c r="C130" s="158" t="s">
        <f>"刘海艳"</f>
        <v>262</v>
      </c>
      <c r="D130" s="158" t="s">
        <f>"15010110508"</f>
        <v>263</v>
      </c>
      <c r="E130" s="158">
        <v>49.18</v>
      </c>
      <c r="F130" s="158"/>
      <c r="G130" s="158">
        <v>49.18</v>
      </c>
    </row>
    <row r="131" spans="1:7" ht="32.999496" customHeight="1" x14ac:dyDescent="0.15">
      <c r="A131" s="158">
        <v>129.0</v>
      </c>
      <c r="B131" s="158" t="s">
        <v>8</v>
      </c>
      <c r="C131" s="158" t="s">
        <f>"温鑫"</f>
        <v>264</v>
      </c>
      <c r="D131" s="158" t="s">
        <f>"15010110509"</f>
        <v>265</v>
      </c>
      <c r="E131" s="158" t="s">
        <v>15</v>
      </c>
      <c r="F131" s="158"/>
      <c r="G131" s="158" t="s">
        <v>15</v>
      </c>
    </row>
    <row r="132" spans="1:7" ht="32.999496" customHeight="1" x14ac:dyDescent="0.15">
      <c r="A132" s="158">
        <v>130.0</v>
      </c>
      <c r="B132" s="158" t="s">
        <v>8</v>
      </c>
      <c r="C132" s="158" t="s">
        <f>"张雨薇"</f>
        <v>266</v>
      </c>
      <c r="D132" s="158" t="s">
        <f>"15010110510"</f>
        <v>267</v>
      </c>
      <c r="E132" s="158">
        <v>58.61</v>
      </c>
      <c r="F132" s="158"/>
      <c r="G132" s="158">
        <v>58.61</v>
      </c>
    </row>
    <row r="133" spans="1:7" ht="32.999496" customHeight="1" x14ac:dyDescent="0.15">
      <c r="A133" s="158">
        <v>131.0</v>
      </c>
      <c r="B133" s="158" t="s">
        <v>8</v>
      </c>
      <c r="C133" s="158" t="s">
        <f>"温晴"</f>
        <v>268</v>
      </c>
      <c r="D133" s="158" t="s">
        <f>"15010110511"</f>
        <v>269</v>
      </c>
      <c r="E133" s="158">
        <v>67.83</v>
      </c>
      <c r="F133" s="158">
        <v>2.5</v>
      </c>
      <c r="G133" s="158">
        <v>70.33</v>
      </c>
    </row>
    <row r="134" spans="1:7" ht="32.999496" customHeight="1" x14ac:dyDescent="0.15">
      <c r="A134" s="158">
        <v>132.0</v>
      </c>
      <c r="B134" s="158" t="s">
        <v>8</v>
      </c>
      <c r="C134" s="158" t="s">
        <f>"高杨"</f>
        <v>270</v>
      </c>
      <c r="D134" s="158" t="s">
        <f>"15010110512"</f>
        <v>271</v>
      </c>
      <c r="E134" s="158">
        <v>51.89</v>
      </c>
      <c r="F134" s="158"/>
      <c r="G134" s="158">
        <v>51.89</v>
      </c>
    </row>
    <row r="135" spans="1:7" ht="32.999496" customHeight="1" x14ac:dyDescent="0.15">
      <c r="A135" s="158">
        <v>133.0</v>
      </c>
      <c r="B135" s="158" t="s">
        <v>8</v>
      </c>
      <c r="C135" s="158" t="s">
        <f>"赵丽倩"</f>
        <v>272</v>
      </c>
      <c r="D135" s="158" t="s">
        <f>"15010110513"</f>
        <v>273</v>
      </c>
      <c r="E135" s="158">
        <v>70.50999999999999</v>
      </c>
      <c r="F135" s="158"/>
      <c r="G135" s="158">
        <v>70.50999999999999</v>
      </c>
    </row>
    <row r="136" spans="1:7" ht="32.999496" customHeight="1" x14ac:dyDescent="0.15">
      <c r="A136" s="158">
        <v>134.0</v>
      </c>
      <c r="B136" s="158" t="s">
        <v>8</v>
      </c>
      <c r="C136" s="158" t="s">
        <f>"袁乐"</f>
        <v>274</v>
      </c>
      <c r="D136" s="158" t="s">
        <f>"15010110514"</f>
        <v>275</v>
      </c>
      <c r="E136" s="158">
        <v>52.47</v>
      </c>
      <c r="F136" s="158"/>
      <c r="G136" s="158">
        <v>52.47</v>
      </c>
    </row>
    <row r="137" spans="1:7" ht="32.999496" customHeight="1" x14ac:dyDescent="0.15">
      <c r="A137" s="158">
        <v>135.0</v>
      </c>
      <c r="B137" s="158" t="s">
        <v>8</v>
      </c>
      <c r="C137" s="158" t="s">
        <f>"白燕妮"</f>
        <v>276</v>
      </c>
      <c r="D137" s="158" t="s">
        <f>"15010110515"</f>
        <v>277</v>
      </c>
      <c r="E137" s="158">
        <v>60.54</v>
      </c>
      <c r="F137" s="158">
        <v>2.5</v>
      </c>
      <c r="G137" s="158">
        <v>63.04</v>
      </c>
    </row>
    <row r="138" spans="1:7" ht="32.999496" customHeight="1" x14ac:dyDescent="0.15">
      <c r="A138" s="158">
        <v>136.0</v>
      </c>
      <c r="B138" s="158" t="s">
        <v>8</v>
      </c>
      <c r="C138" s="158" t="s">
        <f>"刘霞"</f>
        <v>278</v>
      </c>
      <c r="D138" s="158" t="s">
        <f>"15010110516"</f>
        <v>279</v>
      </c>
      <c r="E138" s="158">
        <v>70.8</v>
      </c>
      <c r="F138" s="158"/>
      <c r="G138" s="158">
        <v>70.8</v>
      </c>
    </row>
    <row r="139" spans="1:7" ht="32.999496" customHeight="1" x14ac:dyDescent="0.15">
      <c r="A139" s="158">
        <v>137.0</v>
      </c>
      <c r="B139" s="158" t="s">
        <v>8</v>
      </c>
      <c r="C139" s="158" t="s">
        <f>"何瑞"</f>
        <v>280</v>
      </c>
      <c r="D139" s="158" t="s">
        <f>"15010110517"</f>
        <v>281</v>
      </c>
      <c r="E139" s="158">
        <v>45.09</v>
      </c>
      <c r="F139" s="158"/>
      <c r="G139" s="158">
        <v>45.09</v>
      </c>
    </row>
    <row r="140" spans="1:7" ht="32.999496" customHeight="1" x14ac:dyDescent="0.15">
      <c r="A140" s="158">
        <v>138.0</v>
      </c>
      <c r="B140" s="158" t="s">
        <v>8</v>
      </c>
      <c r="C140" s="158" t="s">
        <f>"边科"</f>
        <v>282</v>
      </c>
      <c r="D140" s="158" t="s">
        <f>"15010110518"</f>
        <v>283</v>
      </c>
      <c r="E140" s="158">
        <v>65.58</v>
      </c>
      <c r="F140" s="158"/>
      <c r="G140" s="158">
        <v>65.58</v>
      </c>
    </row>
    <row r="141" spans="1:7" ht="32.999496" customHeight="1" x14ac:dyDescent="0.15">
      <c r="A141" s="158">
        <v>139.0</v>
      </c>
      <c r="B141" s="158" t="s">
        <v>8</v>
      </c>
      <c r="C141" s="158" t="s">
        <f>"苏晓红"</f>
        <v>284</v>
      </c>
      <c r="D141" s="158" t="s">
        <f>"15010110519"</f>
        <v>285</v>
      </c>
      <c r="E141" s="158">
        <v>56.69</v>
      </c>
      <c r="F141" s="158"/>
      <c r="G141" s="158">
        <v>56.69</v>
      </c>
    </row>
    <row r="142" spans="1:7" ht="32.999496" customHeight="1" x14ac:dyDescent="0.15">
      <c r="A142" s="158">
        <v>140.0</v>
      </c>
      <c r="B142" s="158" t="s">
        <v>8</v>
      </c>
      <c r="C142" s="158" t="s">
        <f>"戴仙"</f>
        <v>286</v>
      </c>
      <c r="D142" s="158" t="s">
        <f>"15010110520"</f>
        <v>287</v>
      </c>
      <c r="E142" s="158" t="s">
        <v>15</v>
      </c>
      <c r="F142" s="158"/>
      <c r="G142" s="158" t="s">
        <v>15</v>
      </c>
    </row>
    <row r="143" spans="1:7" ht="32.999496" customHeight="1" x14ac:dyDescent="0.15">
      <c r="A143" s="158">
        <v>141.0</v>
      </c>
      <c r="B143" s="158" t="s">
        <v>8</v>
      </c>
      <c r="C143" s="158" t="s">
        <f>"呼可舒"</f>
        <v>288</v>
      </c>
      <c r="D143" s="158" t="s">
        <f>"15010110521"</f>
        <v>289</v>
      </c>
      <c r="E143" s="158">
        <v>75.69</v>
      </c>
      <c r="F143" s="158"/>
      <c r="G143" s="158">
        <v>75.69</v>
      </c>
    </row>
    <row r="144" spans="1:7" ht="32.999496" customHeight="1" x14ac:dyDescent="0.15">
      <c r="A144" s="158">
        <v>142.0</v>
      </c>
      <c r="B144" s="158" t="s">
        <v>8</v>
      </c>
      <c r="C144" s="158" t="s">
        <f>"杨柳"</f>
        <v>290</v>
      </c>
      <c r="D144" s="158" t="s">
        <f>"15010110522"</f>
        <v>291</v>
      </c>
      <c r="E144" s="158">
        <v>54.21</v>
      </c>
      <c r="F144" s="158"/>
      <c r="G144" s="158">
        <v>54.21</v>
      </c>
    </row>
    <row r="145" spans="1:7" ht="32.999496" customHeight="1" x14ac:dyDescent="0.15">
      <c r="A145" s="158">
        <v>143.0</v>
      </c>
      <c r="B145" s="158" t="s">
        <v>8</v>
      </c>
      <c r="C145" s="158" t="s">
        <f>"刘晓慧"</f>
        <v>292</v>
      </c>
      <c r="D145" s="158" t="s">
        <f>"15010110523"</f>
        <v>293</v>
      </c>
      <c r="E145" s="158" t="s">
        <v>15</v>
      </c>
      <c r="F145" s="158"/>
      <c r="G145" s="158" t="s">
        <v>15</v>
      </c>
    </row>
    <row r="146" spans="1:7" ht="32.999496" customHeight="1" x14ac:dyDescent="0.15">
      <c r="A146" s="158">
        <v>144.0</v>
      </c>
      <c r="B146" s="158" t="s">
        <v>8</v>
      </c>
      <c r="C146" s="158" t="s">
        <f>"何丽"</f>
        <v>294</v>
      </c>
      <c r="D146" s="158" t="s">
        <f>"15010110524"</f>
        <v>295</v>
      </c>
      <c r="E146" s="158">
        <v>71.65</v>
      </c>
      <c r="F146" s="158"/>
      <c r="G146" s="158">
        <v>71.65</v>
      </c>
    </row>
    <row r="147" spans="1:7" ht="32.999496" customHeight="1" x14ac:dyDescent="0.15">
      <c r="A147" s="158">
        <v>145.0</v>
      </c>
      <c r="B147" s="158" t="s">
        <v>8</v>
      </c>
      <c r="C147" s="158" t="s">
        <f>"王宇"</f>
        <v>296</v>
      </c>
      <c r="D147" s="158" t="s">
        <f>"15010110525"</f>
        <v>297</v>
      </c>
      <c r="E147" s="158">
        <v>61.22</v>
      </c>
      <c r="F147" s="158"/>
      <c r="G147" s="158">
        <v>61.22</v>
      </c>
    </row>
    <row r="148" spans="1:7" ht="32.999496" customHeight="1" x14ac:dyDescent="0.15">
      <c r="A148" s="158">
        <v>146.0</v>
      </c>
      <c r="B148" s="158" t="s">
        <v>8</v>
      </c>
      <c r="C148" s="158" t="s">
        <f>"李静"</f>
        <v>298</v>
      </c>
      <c r="D148" s="158" t="s">
        <f>"15010110526"</f>
        <v>299</v>
      </c>
      <c r="E148" s="158">
        <v>68.27000000000001</v>
      </c>
      <c r="F148" s="158"/>
      <c r="G148" s="158">
        <v>68.27000000000001</v>
      </c>
    </row>
    <row r="149" spans="1:7" ht="32.999496" customHeight="1" x14ac:dyDescent="0.15">
      <c r="A149" s="158">
        <v>147.0</v>
      </c>
      <c r="B149" s="158" t="s">
        <v>8</v>
      </c>
      <c r="C149" s="158" t="s">
        <f>"郭荣荣"</f>
        <v>300</v>
      </c>
      <c r="D149" s="158" t="s">
        <f>"15010110527"</f>
        <v>301</v>
      </c>
      <c r="E149" s="158" t="s">
        <v>15</v>
      </c>
      <c r="F149" s="158">
        <v>2.5</v>
      </c>
      <c r="G149" s="158" t="s">
        <v>15</v>
      </c>
    </row>
    <row r="150" spans="1:7" ht="32.999496" customHeight="1" x14ac:dyDescent="0.15">
      <c r="A150" s="158">
        <v>148.0</v>
      </c>
      <c r="B150" s="158" t="s">
        <v>8</v>
      </c>
      <c r="C150" s="158" t="s">
        <f>"曹伟"</f>
        <v>302</v>
      </c>
      <c r="D150" s="158" t="s">
        <f>"15010110528"</f>
        <v>303</v>
      </c>
      <c r="E150" s="158" t="s">
        <v>15</v>
      </c>
      <c r="F150" s="158"/>
      <c r="G150" s="158" t="s">
        <v>15</v>
      </c>
    </row>
    <row r="151" spans="1:7" ht="32.999496" customHeight="1" x14ac:dyDescent="0.15">
      <c r="A151" s="158">
        <v>149.0</v>
      </c>
      <c r="B151" s="158" t="s">
        <v>8</v>
      </c>
      <c r="C151" s="158" t="s">
        <f>"苏波"</f>
        <v>304</v>
      </c>
      <c r="D151" s="158" t="s">
        <f>"15010110529"</f>
        <v>305</v>
      </c>
      <c r="E151" s="158">
        <v>51.8</v>
      </c>
      <c r="F151" s="158"/>
      <c r="G151" s="158">
        <v>51.8</v>
      </c>
    </row>
    <row r="152" spans="1:7" ht="32.999496" customHeight="1" x14ac:dyDescent="0.15">
      <c r="A152" s="158">
        <v>150.0</v>
      </c>
      <c r="B152" s="158" t="s">
        <v>8</v>
      </c>
      <c r="C152" s="158" t="s">
        <f>"温露"</f>
        <v>306</v>
      </c>
      <c r="D152" s="158" t="s">
        <f>"15010110530"</f>
        <v>307</v>
      </c>
      <c r="E152" s="158">
        <v>60.13</v>
      </c>
      <c r="F152" s="158"/>
      <c r="G152" s="158">
        <v>60.13</v>
      </c>
    </row>
    <row r="153" spans="1:7" ht="32.999496" customHeight="1" x14ac:dyDescent="0.15">
      <c r="A153" s="158">
        <v>151.0</v>
      </c>
      <c r="B153" s="158" t="s">
        <v>8</v>
      </c>
      <c r="C153" s="158" t="s">
        <f>"温晨"</f>
        <v>308</v>
      </c>
      <c r="D153" s="158" t="s">
        <f>"15010110601"</f>
        <v>309</v>
      </c>
      <c r="E153" s="158" t="s">
        <v>15</v>
      </c>
      <c r="F153" s="158"/>
      <c r="G153" s="158" t="s">
        <v>15</v>
      </c>
    </row>
    <row r="154" spans="1:7" ht="32.999496" customHeight="1" x14ac:dyDescent="0.15">
      <c r="A154" s="158">
        <v>152.0</v>
      </c>
      <c r="B154" s="158" t="s">
        <v>8</v>
      </c>
      <c r="C154" s="158" t="s">
        <f>"武艳春"</f>
        <v>310</v>
      </c>
      <c r="D154" s="158" t="s">
        <f>"15010110602"</f>
        <v>311</v>
      </c>
      <c r="E154" s="158">
        <v>65.55</v>
      </c>
      <c r="F154" s="158"/>
      <c r="G154" s="158">
        <v>65.55</v>
      </c>
    </row>
    <row r="155" spans="1:7" ht="32.999496" customHeight="1" x14ac:dyDescent="0.15">
      <c r="A155" s="158">
        <v>153.0</v>
      </c>
      <c r="B155" s="158" t="s">
        <v>8</v>
      </c>
      <c r="C155" s="158" t="s">
        <f>"苗雅楠"</f>
        <v>312</v>
      </c>
      <c r="D155" s="158" t="s">
        <f>"15010110603"</f>
        <v>313</v>
      </c>
      <c r="E155" s="158">
        <v>63.94</v>
      </c>
      <c r="F155" s="158"/>
      <c r="G155" s="158">
        <v>63.94</v>
      </c>
    </row>
    <row r="156" spans="1:7" ht="32.999496" customHeight="1" x14ac:dyDescent="0.15">
      <c r="A156" s="158">
        <v>154.0</v>
      </c>
      <c r="B156" s="158" t="s">
        <v>8</v>
      </c>
      <c r="C156" s="158" t="s">
        <f>"李凌青"</f>
        <v>314</v>
      </c>
      <c r="D156" s="158" t="s">
        <f>"15010110604"</f>
        <v>315</v>
      </c>
      <c r="E156" s="158">
        <v>72.61</v>
      </c>
      <c r="F156" s="158">
        <v>2.5</v>
      </c>
      <c r="G156" s="158">
        <v>75.11</v>
      </c>
    </row>
    <row r="157" spans="1:7" ht="32.999496" customHeight="1" x14ac:dyDescent="0.15">
      <c r="A157" s="158">
        <v>155.0</v>
      </c>
      <c r="B157" s="158" t="s">
        <v>8</v>
      </c>
      <c r="C157" s="158" t="s">
        <f>"黄瑶"</f>
        <v>316</v>
      </c>
      <c r="D157" s="158" t="s">
        <f>"15010110605"</f>
        <v>317</v>
      </c>
      <c r="E157" s="158">
        <v>54.33</v>
      </c>
      <c r="F157" s="158"/>
      <c r="G157" s="158">
        <v>54.33</v>
      </c>
    </row>
    <row r="158" spans="1:7" ht="32.999496" customHeight="1" x14ac:dyDescent="0.15">
      <c r="A158" s="158">
        <v>156.0</v>
      </c>
      <c r="B158" s="158" t="s">
        <v>8</v>
      </c>
      <c r="C158" s="158" t="s">
        <f>"张轩"</f>
        <v>318</v>
      </c>
      <c r="D158" s="158" t="s">
        <f>"15010110606"</f>
        <v>319</v>
      </c>
      <c r="E158" s="158">
        <v>52.41</v>
      </c>
      <c r="F158" s="158"/>
      <c r="G158" s="158">
        <v>52.41</v>
      </c>
    </row>
    <row r="159" spans="1:7" ht="32.999496" customHeight="1" x14ac:dyDescent="0.15">
      <c r="A159" s="158">
        <v>157.0</v>
      </c>
      <c r="B159" s="158" t="s">
        <v>8</v>
      </c>
      <c r="C159" s="158" t="s">
        <f>"康欣"</f>
        <v>320</v>
      </c>
      <c r="D159" s="158" t="s">
        <f>"15010110607"</f>
        <v>321</v>
      </c>
      <c r="E159" s="158">
        <v>58.11</v>
      </c>
      <c r="F159" s="158"/>
      <c r="G159" s="158">
        <v>58.11</v>
      </c>
    </row>
    <row r="160" spans="1:7" ht="32.999496" customHeight="1" x14ac:dyDescent="0.15">
      <c r="A160" s="158">
        <v>158.0</v>
      </c>
      <c r="B160" s="158" t="s">
        <v>8</v>
      </c>
      <c r="C160" s="158" t="s">
        <f>"兰斌"</f>
        <v>322</v>
      </c>
      <c r="D160" s="158" t="s">
        <f>"15010110608"</f>
        <v>323</v>
      </c>
      <c r="E160" s="158">
        <v>50.97</v>
      </c>
      <c r="F160" s="158"/>
      <c r="G160" s="158">
        <v>50.97</v>
      </c>
    </row>
    <row r="161" spans="1:7" ht="32.999496" customHeight="1" x14ac:dyDescent="0.15">
      <c r="A161" s="158">
        <v>159.0</v>
      </c>
      <c r="B161" s="158" t="s">
        <v>8</v>
      </c>
      <c r="C161" s="158" t="s">
        <f>"张哲"</f>
        <v>324</v>
      </c>
      <c r="D161" s="158" t="s">
        <f>"15010110609"</f>
        <v>325</v>
      </c>
      <c r="E161" s="158">
        <v>59.01</v>
      </c>
      <c r="F161" s="158"/>
      <c r="G161" s="158">
        <v>59.01</v>
      </c>
    </row>
    <row r="162" spans="1:7" ht="32.999496" customHeight="1" x14ac:dyDescent="0.15">
      <c r="A162" s="158">
        <v>160.0</v>
      </c>
      <c r="B162" s="158" t="s">
        <v>8</v>
      </c>
      <c r="C162" s="158" t="s">
        <f>"朱琳"</f>
        <v>326</v>
      </c>
      <c r="D162" s="158" t="s">
        <f>"15010110610"</f>
        <v>327</v>
      </c>
      <c r="E162" s="158" t="s">
        <v>15</v>
      </c>
      <c r="F162" s="158"/>
      <c r="G162" s="158" t="s">
        <v>15</v>
      </c>
    </row>
    <row r="163" spans="1:7" ht="32.999496" customHeight="1" x14ac:dyDescent="0.15">
      <c r="A163" s="158">
        <v>161.0</v>
      </c>
      <c r="B163" s="158" t="s">
        <v>8</v>
      </c>
      <c r="C163" s="158" t="s">
        <f>"张月娇"</f>
        <v>328</v>
      </c>
      <c r="D163" s="158" t="s">
        <f>"15010110611"</f>
        <v>329</v>
      </c>
      <c r="E163" s="158">
        <v>52.58</v>
      </c>
      <c r="F163" s="158"/>
      <c r="G163" s="158">
        <v>52.58</v>
      </c>
    </row>
    <row r="164" spans="1:7" ht="32.999496" customHeight="1" x14ac:dyDescent="0.15">
      <c r="A164" s="158">
        <v>162.0</v>
      </c>
      <c r="B164" s="158" t="s">
        <v>8</v>
      </c>
      <c r="C164" s="158" t="s">
        <f>"王镇"</f>
        <v>330</v>
      </c>
      <c r="D164" s="158" t="s">
        <f>"15010110612"</f>
        <v>331</v>
      </c>
      <c r="E164" s="158" t="s">
        <v>15</v>
      </c>
      <c r="F164" s="158"/>
      <c r="G164" s="158" t="s">
        <v>15</v>
      </c>
    </row>
    <row r="165" spans="1:7" ht="32.999496" customHeight="1" x14ac:dyDescent="0.15">
      <c r="A165" s="158">
        <v>163.0</v>
      </c>
      <c r="B165" s="158" t="s">
        <v>8</v>
      </c>
      <c r="C165" s="158" t="s">
        <f>"赵宁"</f>
        <v>332</v>
      </c>
      <c r="D165" s="158" t="s">
        <f>"15010110613"</f>
        <v>333</v>
      </c>
      <c r="E165" s="158">
        <v>59.61</v>
      </c>
      <c r="F165" s="158"/>
      <c r="G165" s="158">
        <v>59.61</v>
      </c>
    </row>
    <row r="166" spans="1:7" ht="32.999496" customHeight="1" x14ac:dyDescent="0.15">
      <c r="A166" s="158">
        <v>164.0</v>
      </c>
      <c r="B166" s="158" t="s">
        <v>8</v>
      </c>
      <c r="C166" s="158" t="s">
        <f>"刘浩"</f>
        <v>334</v>
      </c>
      <c r="D166" s="158" t="s">
        <f>"15010110614"</f>
        <v>335</v>
      </c>
      <c r="E166" s="158" t="s">
        <v>15</v>
      </c>
      <c r="F166" s="158"/>
      <c r="G166" s="158" t="s">
        <v>15</v>
      </c>
    </row>
    <row r="167" spans="1:7" ht="32.999496" customHeight="1" x14ac:dyDescent="0.15">
      <c r="A167" s="158">
        <v>165.0</v>
      </c>
      <c r="B167" s="158" t="s">
        <v>8</v>
      </c>
      <c r="C167" s="158" t="s">
        <f>"赵啟邦"</f>
        <v>336</v>
      </c>
      <c r="D167" s="158" t="s">
        <f>"15010110615"</f>
        <v>337</v>
      </c>
      <c r="E167" s="158">
        <v>68.84</v>
      </c>
      <c r="F167" s="158"/>
      <c r="G167" s="158">
        <v>68.84</v>
      </c>
    </row>
    <row r="168" spans="1:7" ht="32.999496" customHeight="1" x14ac:dyDescent="0.15">
      <c r="A168" s="158">
        <v>166.0</v>
      </c>
      <c r="B168" s="158" t="s">
        <v>8</v>
      </c>
      <c r="C168" s="158" t="s">
        <f>"郭皓"</f>
        <v>338</v>
      </c>
      <c r="D168" s="158" t="s">
        <f>"15010110616"</f>
        <v>339</v>
      </c>
      <c r="E168" s="158" t="s">
        <v>15</v>
      </c>
      <c r="F168" s="158"/>
      <c r="G168" s="158" t="s">
        <v>15</v>
      </c>
    </row>
    <row r="169" spans="1:7" ht="32.999496" customHeight="1" x14ac:dyDescent="0.15">
      <c r="A169" s="158">
        <v>167.0</v>
      </c>
      <c r="B169" s="158" t="s">
        <v>8</v>
      </c>
      <c r="C169" s="158" t="s">
        <f>"边娜"</f>
        <v>340</v>
      </c>
      <c r="D169" s="158" t="s">
        <f>"15010110617"</f>
        <v>341</v>
      </c>
      <c r="E169" s="158">
        <v>37.68</v>
      </c>
      <c r="F169" s="158"/>
      <c r="G169" s="158">
        <v>37.68</v>
      </c>
    </row>
    <row r="170" spans="1:7" ht="32.999496" customHeight="1" x14ac:dyDescent="0.15">
      <c r="A170" s="158">
        <v>168.0</v>
      </c>
      <c r="B170" s="158" t="s">
        <v>8</v>
      </c>
      <c r="C170" s="158" t="s">
        <f>"张鑫宇"</f>
        <v>342</v>
      </c>
      <c r="D170" s="158" t="s">
        <f>"15010110618"</f>
        <v>343</v>
      </c>
      <c r="E170" s="158">
        <v>57.24</v>
      </c>
      <c r="F170" s="158"/>
      <c r="G170" s="158">
        <v>57.24</v>
      </c>
    </row>
    <row r="171" spans="1:7" ht="32.999496" customHeight="1" x14ac:dyDescent="0.15">
      <c r="A171" s="158">
        <v>169.0</v>
      </c>
      <c r="B171" s="158" t="s">
        <v>8</v>
      </c>
      <c r="C171" s="158" t="s">
        <f>"张赟霞"</f>
        <v>344</v>
      </c>
      <c r="D171" s="158" t="s">
        <f>"15010110619"</f>
        <v>345</v>
      </c>
      <c r="E171" s="158">
        <v>70.07</v>
      </c>
      <c r="F171" s="158"/>
      <c r="G171" s="158">
        <v>70.07</v>
      </c>
    </row>
    <row r="172" spans="1:7" ht="32.999496" customHeight="1" x14ac:dyDescent="0.15">
      <c r="A172" s="158">
        <v>170.0</v>
      </c>
      <c r="B172" s="158" t="s">
        <v>8</v>
      </c>
      <c r="C172" s="158" t="s">
        <f>"张呈如"</f>
        <v>346</v>
      </c>
      <c r="D172" s="158" t="s">
        <f>"15010110620"</f>
        <v>347</v>
      </c>
      <c r="E172" s="158">
        <v>61.17</v>
      </c>
      <c r="F172" s="158"/>
      <c r="G172" s="158">
        <v>61.17</v>
      </c>
    </row>
    <row r="173" spans="1:7" ht="32.999496" customHeight="1" x14ac:dyDescent="0.15">
      <c r="A173" s="158">
        <v>171.0</v>
      </c>
      <c r="B173" s="158" t="s">
        <v>8</v>
      </c>
      <c r="C173" s="158" t="s">
        <f>"解春宇"</f>
        <v>348</v>
      </c>
      <c r="D173" s="158" t="s">
        <f>"15010110621"</f>
        <v>349</v>
      </c>
      <c r="E173" s="158">
        <v>53.15</v>
      </c>
      <c r="F173" s="158"/>
      <c r="G173" s="158">
        <v>53.15</v>
      </c>
    </row>
    <row r="174" spans="1:7" ht="32.999496" customHeight="1" x14ac:dyDescent="0.15">
      <c r="A174" s="158">
        <v>172.0</v>
      </c>
      <c r="B174" s="158" t="s">
        <v>8</v>
      </c>
      <c r="C174" s="158" t="s">
        <f>"朱亭"</f>
        <v>350</v>
      </c>
      <c r="D174" s="158" t="s">
        <f>"15010110622"</f>
        <v>351</v>
      </c>
      <c r="E174" s="158">
        <v>57.11</v>
      </c>
      <c r="F174" s="158"/>
      <c r="G174" s="158">
        <v>57.11</v>
      </c>
    </row>
    <row r="175" spans="1:7" ht="32.999496" customHeight="1" x14ac:dyDescent="0.15">
      <c r="A175" s="158">
        <v>173.0</v>
      </c>
      <c r="B175" s="158" t="s">
        <v>8</v>
      </c>
      <c r="C175" s="158" t="s">
        <f>"解倩"</f>
        <v>352</v>
      </c>
      <c r="D175" s="158" t="s">
        <f>"15010110623"</f>
        <v>353</v>
      </c>
      <c r="E175" s="158" t="s">
        <v>15</v>
      </c>
      <c r="F175" s="158"/>
      <c r="G175" s="158" t="s">
        <v>15</v>
      </c>
    </row>
    <row r="176" spans="1:7" ht="32.999496" customHeight="1" x14ac:dyDescent="0.15">
      <c r="A176" s="158">
        <v>174.0</v>
      </c>
      <c r="B176" s="158" t="s">
        <v>8</v>
      </c>
      <c r="C176" s="158" t="s">
        <f>"高欣月"</f>
        <v>354</v>
      </c>
      <c r="D176" s="158" t="s">
        <f>"15010110624"</f>
        <v>355</v>
      </c>
      <c r="E176" s="158">
        <v>50.010000000000005</v>
      </c>
      <c r="F176" s="158"/>
      <c r="G176" s="158">
        <v>50.010000000000005</v>
      </c>
    </row>
    <row r="177" spans="1:7" ht="32.999496" customHeight="1" x14ac:dyDescent="0.15">
      <c r="A177" s="158">
        <v>175.0</v>
      </c>
      <c r="B177" s="158" t="s">
        <v>8</v>
      </c>
      <c r="C177" s="158" t="s">
        <f>"王浩"</f>
        <v>356</v>
      </c>
      <c r="D177" s="158" t="s">
        <f>"15010110625"</f>
        <v>357</v>
      </c>
      <c r="E177" s="158" t="s">
        <v>15</v>
      </c>
      <c r="F177" s="158"/>
      <c r="G177" s="158" t="s">
        <v>15</v>
      </c>
    </row>
    <row r="178" spans="1:7" ht="32.999496" customHeight="1" x14ac:dyDescent="0.15">
      <c r="A178" s="158">
        <v>176.0</v>
      </c>
      <c r="B178" s="158" t="s">
        <v>8</v>
      </c>
      <c r="C178" s="158" t="s">
        <f>"王璐"</f>
        <v>358</v>
      </c>
      <c r="D178" s="158" t="s">
        <f>"15010110626"</f>
        <v>359</v>
      </c>
      <c r="E178" s="158">
        <v>62.19</v>
      </c>
      <c r="F178" s="158"/>
      <c r="G178" s="158">
        <v>62.19</v>
      </c>
    </row>
    <row r="179" spans="1:7" ht="32.999496" customHeight="1" x14ac:dyDescent="0.15">
      <c r="A179" s="158">
        <v>177.0</v>
      </c>
      <c r="B179" s="158" t="s">
        <v>8</v>
      </c>
      <c r="C179" s="158" t="s">
        <f>"郝艳霞"</f>
        <v>360</v>
      </c>
      <c r="D179" s="158" t="s">
        <f>"15010110627"</f>
        <v>361</v>
      </c>
      <c r="E179" s="158">
        <v>64.12</v>
      </c>
      <c r="F179" s="158"/>
      <c r="G179" s="158">
        <v>64.12</v>
      </c>
    </row>
    <row r="180" spans="1:7" ht="32.999496" customHeight="1" x14ac:dyDescent="0.15">
      <c r="A180" s="158">
        <v>178.0</v>
      </c>
      <c r="B180" s="158" t="s">
        <v>8</v>
      </c>
      <c r="C180" s="158" t="s">
        <f>"樊毅"</f>
        <v>362</v>
      </c>
      <c r="D180" s="158" t="s">
        <f>"15010110628"</f>
        <v>363</v>
      </c>
      <c r="E180" s="158">
        <v>54.45</v>
      </c>
      <c r="F180" s="158"/>
      <c r="G180" s="158">
        <v>54.45</v>
      </c>
    </row>
    <row r="181" spans="1:7" ht="32.999496" customHeight="1" x14ac:dyDescent="0.15">
      <c r="A181" s="158">
        <v>179.0</v>
      </c>
      <c r="B181" s="158" t="s">
        <v>8</v>
      </c>
      <c r="C181" s="158" t="s">
        <f>"白璐"</f>
        <v>364</v>
      </c>
      <c r="D181" s="158" t="s">
        <f>"15010110629"</f>
        <v>365</v>
      </c>
      <c r="E181" s="158">
        <v>56.08</v>
      </c>
      <c r="F181" s="158"/>
      <c r="G181" s="158">
        <v>56.08</v>
      </c>
    </row>
    <row r="182" spans="1:7" ht="32.999496" customHeight="1" x14ac:dyDescent="0.15">
      <c r="A182" s="158">
        <v>180.0</v>
      </c>
      <c r="B182" s="158" t="s">
        <v>8</v>
      </c>
      <c r="C182" s="158" t="s">
        <f>"刘雪娜"</f>
        <v>366</v>
      </c>
      <c r="D182" s="158" t="s">
        <f>"15010110630"</f>
        <v>367</v>
      </c>
      <c r="E182" s="158">
        <v>53.739999999999995</v>
      </c>
      <c r="F182" s="158"/>
      <c r="G182" s="158">
        <v>53.739999999999995</v>
      </c>
    </row>
    <row r="183" spans="1:7" ht="32.999496" customHeight="1" x14ac:dyDescent="0.15">
      <c r="A183" s="158">
        <v>181.0</v>
      </c>
      <c r="B183" s="158" t="s">
        <v>8</v>
      </c>
      <c r="C183" s="158" t="s">
        <f>"邱宝"</f>
        <v>368</v>
      </c>
      <c r="D183" s="158" t="s">
        <f>"15010110701"</f>
        <v>369</v>
      </c>
      <c r="E183" s="158" t="s">
        <v>15</v>
      </c>
      <c r="F183" s="158"/>
      <c r="G183" s="158" t="s">
        <v>15</v>
      </c>
    </row>
    <row r="184" spans="1:7" ht="32.999496" customHeight="1" x14ac:dyDescent="0.15">
      <c r="A184" s="158">
        <v>182.0</v>
      </c>
      <c r="B184" s="158" t="s">
        <v>8</v>
      </c>
      <c r="C184" s="158" t="s">
        <f>"王燕"</f>
        <v>166</v>
      </c>
      <c r="D184" s="158" t="s">
        <f>"15010110702"</f>
        <v>370</v>
      </c>
      <c r="E184" s="158">
        <v>38.34</v>
      </c>
      <c r="F184" s="158"/>
      <c r="G184" s="158">
        <v>38.34</v>
      </c>
    </row>
    <row r="185" spans="1:7" ht="32.999496" customHeight="1" x14ac:dyDescent="0.15">
      <c r="A185" s="158">
        <v>183.0</v>
      </c>
      <c r="B185" s="158" t="s">
        <v>8</v>
      </c>
      <c r="C185" s="158" t="s">
        <f>"李玲"</f>
        <v>371</v>
      </c>
      <c r="D185" s="158" t="s">
        <f>"15010110703"</f>
        <v>372</v>
      </c>
      <c r="E185" s="158">
        <v>56.97</v>
      </c>
      <c r="F185" s="158"/>
      <c r="G185" s="158">
        <v>56.97</v>
      </c>
    </row>
    <row r="186" spans="1:7" ht="32.999496" customHeight="1" x14ac:dyDescent="0.15">
      <c r="A186" s="158">
        <v>184.0</v>
      </c>
      <c r="B186" s="158" t="s">
        <v>8</v>
      </c>
      <c r="C186" s="158" t="s">
        <f>"刘晓叶"</f>
        <v>373</v>
      </c>
      <c r="D186" s="158" t="s">
        <f>"15010110704"</f>
        <v>374</v>
      </c>
      <c r="E186" s="158">
        <v>61.49</v>
      </c>
      <c r="F186" s="158"/>
      <c r="G186" s="158">
        <v>61.49</v>
      </c>
    </row>
    <row r="187" spans="1:7" ht="32.999496" customHeight="1" x14ac:dyDescent="0.15">
      <c r="A187" s="158">
        <v>185.0</v>
      </c>
      <c r="B187" s="158" t="s">
        <v>8</v>
      </c>
      <c r="C187" s="158" t="s">
        <f>"戴璐"</f>
        <v>375</v>
      </c>
      <c r="D187" s="158" t="s">
        <f>"15010110705"</f>
        <v>376</v>
      </c>
      <c r="E187" s="158">
        <v>51.15</v>
      </c>
      <c r="F187" s="158"/>
      <c r="G187" s="158">
        <v>51.15</v>
      </c>
    </row>
    <row r="188" spans="1:7" ht="32.999496" customHeight="1" x14ac:dyDescent="0.15">
      <c r="A188" s="158">
        <v>186.0</v>
      </c>
      <c r="B188" s="158" t="s">
        <v>8</v>
      </c>
      <c r="C188" s="158" t="s">
        <f>"呼必斯嘎拉"</f>
        <v>377</v>
      </c>
      <c r="D188" s="158" t="s">
        <f>"15010110706"</f>
        <v>378</v>
      </c>
      <c r="E188" s="158" t="s">
        <v>15</v>
      </c>
      <c r="F188" s="158">
        <v>2.5</v>
      </c>
      <c r="G188" s="158" t="s">
        <v>15</v>
      </c>
    </row>
    <row r="189" spans="1:7" ht="32.999496" customHeight="1" x14ac:dyDescent="0.15">
      <c r="A189" s="158">
        <v>187.0</v>
      </c>
      <c r="B189" s="158" t="s">
        <v>8</v>
      </c>
      <c r="C189" s="158" t="s">
        <f>"李婧瑶"</f>
        <v>379</v>
      </c>
      <c r="D189" s="158" t="s">
        <f>"15010110707"</f>
        <v>380</v>
      </c>
      <c r="E189" s="158">
        <v>57.879999999999995</v>
      </c>
      <c r="F189" s="158"/>
      <c r="G189" s="158">
        <v>57.879999999999995</v>
      </c>
    </row>
    <row r="190" spans="1:7" ht="32.999496" customHeight="1" x14ac:dyDescent="0.15">
      <c r="A190" s="158">
        <v>188.0</v>
      </c>
      <c r="B190" s="158" t="s">
        <v>8</v>
      </c>
      <c r="C190" s="158" t="s">
        <f>"耿玲"</f>
        <v>381</v>
      </c>
      <c r="D190" s="158" t="s">
        <f>"15010110708"</f>
        <v>382</v>
      </c>
      <c r="E190" s="158" t="s">
        <v>15</v>
      </c>
      <c r="F190" s="158"/>
      <c r="G190" s="158" t="s">
        <v>15</v>
      </c>
    </row>
    <row r="191" spans="1:7" ht="32.999496" customHeight="1" x14ac:dyDescent="0.15">
      <c r="A191" s="158">
        <v>189.0</v>
      </c>
      <c r="B191" s="158" t="s">
        <v>8</v>
      </c>
      <c r="C191" s="158" t="s">
        <f>"訾丹"</f>
        <v>383</v>
      </c>
      <c r="D191" s="158" t="s">
        <f>"15010110709"</f>
        <v>384</v>
      </c>
      <c r="E191" s="158">
        <v>53.39</v>
      </c>
      <c r="F191" s="158"/>
      <c r="G191" s="158">
        <v>53.39</v>
      </c>
    </row>
    <row r="192" spans="1:7" ht="32.999496" customHeight="1" x14ac:dyDescent="0.15">
      <c r="A192" s="158">
        <v>190.0</v>
      </c>
      <c r="B192" s="158" t="s">
        <v>8</v>
      </c>
      <c r="C192" s="158" t="s">
        <f>"翟英杰"</f>
        <v>385</v>
      </c>
      <c r="D192" s="158" t="s">
        <f>"15010110710"</f>
        <v>386</v>
      </c>
      <c r="E192" s="158" t="s">
        <v>15</v>
      </c>
      <c r="F192" s="158"/>
      <c r="G192" s="158" t="s">
        <v>15</v>
      </c>
    </row>
    <row r="193" spans="1:7" ht="32.999496" customHeight="1" x14ac:dyDescent="0.15">
      <c r="A193" s="158">
        <v>191.0</v>
      </c>
      <c r="B193" s="158" t="s">
        <v>8</v>
      </c>
      <c r="C193" s="158" t="s">
        <f>"杨宇"</f>
        <v>387</v>
      </c>
      <c r="D193" s="158" t="s">
        <f>"15010110711"</f>
        <v>388</v>
      </c>
      <c r="E193" s="158" t="s">
        <v>15</v>
      </c>
      <c r="F193" s="158"/>
      <c r="G193" s="158" t="s">
        <v>15</v>
      </c>
    </row>
    <row r="194" spans="1:7" ht="32.999496" customHeight="1" x14ac:dyDescent="0.15">
      <c r="A194" s="158">
        <v>192.0</v>
      </c>
      <c r="B194" s="158" t="s">
        <v>8</v>
      </c>
      <c r="C194" s="158" t="s">
        <f>"杨贺"</f>
        <v>389</v>
      </c>
      <c r="D194" s="158" t="s">
        <f>"15010110712"</f>
        <v>390</v>
      </c>
      <c r="E194" s="158">
        <v>52.86</v>
      </c>
      <c r="F194" s="158"/>
      <c r="G194" s="158">
        <v>52.86</v>
      </c>
    </row>
    <row r="195" spans="1:7" ht="32.999496" customHeight="1" x14ac:dyDescent="0.15">
      <c r="A195" s="158">
        <v>193.0</v>
      </c>
      <c r="B195" s="158" t="s">
        <v>8</v>
      </c>
      <c r="C195" s="158" t="s">
        <f>"薛小燕"</f>
        <v>391</v>
      </c>
      <c r="D195" s="158" t="s">
        <f>"15010110713"</f>
        <v>392</v>
      </c>
      <c r="E195" s="158">
        <v>58.85</v>
      </c>
      <c r="F195" s="158"/>
      <c r="G195" s="158">
        <v>58.85</v>
      </c>
    </row>
    <row r="196" spans="1:7" ht="32.999496" customHeight="1" x14ac:dyDescent="0.15">
      <c r="A196" s="158">
        <v>194.0</v>
      </c>
      <c r="B196" s="158" t="s">
        <v>8</v>
      </c>
      <c r="C196" s="158" t="s">
        <f>"越亮"</f>
        <v>393</v>
      </c>
      <c r="D196" s="158" t="s">
        <f>"15010110714"</f>
        <v>394</v>
      </c>
      <c r="E196" s="158">
        <v>52.879999999999995</v>
      </c>
      <c r="F196" s="158"/>
      <c r="G196" s="158">
        <v>52.879999999999995</v>
      </c>
    </row>
    <row r="197" spans="1:7" ht="32.999496" customHeight="1" x14ac:dyDescent="0.15">
      <c r="A197" s="158">
        <v>195.0</v>
      </c>
      <c r="B197" s="158" t="s">
        <v>8</v>
      </c>
      <c r="C197" s="158" t="s">
        <f>"刘宇"</f>
        <v>395</v>
      </c>
      <c r="D197" s="158" t="s">
        <f>"15010110715"</f>
        <v>396</v>
      </c>
      <c r="E197" s="158" t="s">
        <v>15</v>
      </c>
      <c r="F197" s="158"/>
      <c r="G197" s="158" t="s">
        <v>15</v>
      </c>
    </row>
    <row r="198" spans="1:7" ht="32.999496" customHeight="1" x14ac:dyDescent="0.15">
      <c r="A198" s="158">
        <v>196.0</v>
      </c>
      <c r="B198" s="158" t="s">
        <v>8</v>
      </c>
      <c r="C198" s="158" t="s">
        <f>"张乐"</f>
        <v>92</v>
      </c>
      <c r="D198" s="158" t="s">
        <f>"15010110716"</f>
        <v>397</v>
      </c>
      <c r="E198" s="158">
        <v>69.22</v>
      </c>
      <c r="F198" s="158"/>
      <c r="G198" s="158">
        <v>69.22</v>
      </c>
    </row>
    <row r="199" spans="1:7" ht="32.999496" customHeight="1" x14ac:dyDescent="0.15">
      <c r="A199" s="158">
        <v>197.0</v>
      </c>
      <c r="B199" s="158" t="s">
        <v>8</v>
      </c>
      <c r="C199" s="158" t="s">
        <f>"赵婷"</f>
        <v>398</v>
      </c>
      <c r="D199" s="158" t="s">
        <f>"15010110717"</f>
        <v>399</v>
      </c>
      <c r="E199" s="158">
        <v>53.510000000000005</v>
      </c>
      <c r="F199" s="158"/>
      <c r="G199" s="158">
        <v>53.510000000000005</v>
      </c>
    </row>
    <row r="200" spans="1:7" ht="32.999496" customHeight="1" x14ac:dyDescent="0.15">
      <c r="A200" s="158">
        <v>198.0</v>
      </c>
      <c r="B200" s="158" t="s">
        <v>8</v>
      </c>
      <c r="C200" s="158" t="s">
        <f>"杨晓婷"</f>
        <v>400</v>
      </c>
      <c r="D200" s="158" t="s">
        <f>"15010110718"</f>
        <v>401</v>
      </c>
      <c r="E200" s="158" t="s">
        <v>15</v>
      </c>
      <c r="F200" s="158"/>
      <c r="G200" s="158" t="s">
        <v>15</v>
      </c>
    </row>
    <row r="201" spans="1:7" ht="32.999496" customHeight="1" x14ac:dyDescent="0.15">
      <c r="A201" s="158">
        <v>199.0</v>
      </c>
      <c r="B201" s="158" t="s">
        <v>8</v>
      </c>
      <c r="C201" s="158" t="s">
        <f>"何伟"</f>
        <v>402</v>
      </c>
      <c r="D201" s="158" t="s">
        <f>"15010110719"</f>
        <v>403</v>
      </c>
      <c r="E201" s="158" t="s">
        <v>15</v>
      </c>
      <c r="F201" s="158"/>
      <c r="G201" s="158" t="s">
        <v>15</v>
      </c>
    </row>
    <row r="202" spans="1:7" ht="32.999496" customHeight="1" x14ac:dyDescent="0.15">
      <c r="A202" s="158">
        <v>200.0</v>
      </c>
      <c r="B202" s="158" t="s">
        <v>8</v>
      </c>
      <c r="C202" s="158" t="s">
        <f>"王帅"</f>
        <v>404</v>
      </c>
      <c r="D202" s="158" t="s">
        <f>"15010110720"</f>
        <v>405</v>
      </c>
      <c r="E202" s="158">
        <v>54.68</v>
      </c>
      <c r="F202" s="158"/>
      <c r="G202" s="158">
        <v>54.68</v>
      </c>
    </row>
    <row r="203" spans="1:7" ht="32.999496" customHeight="1" x14ac:dyDescent="0.15">
      <c r="A203" s="158">
        <v>201.0</v>
      </c>
      <c r="B203" s="158" t="s">
        <v>8</v>
      </c>
      <c r="C203" s="158" t="s">
        <f>"张仙瑞"</f>
        <v>406</v>
      </c>
      <c r="D203" s="158" t="s">
        <f>"15010110721"</f>
        <v>407</v>
      </c>
      <c r="E203" s="158" t="s">
        <v>15</v>
      </c>
      <c r="F203" s="158"/>
      <c r="G203" s="158" t="s">
        <v>15</v>
      </c>
    </row>
    <row r="204" spans="1:7" ht="32.999496" customHeight="1" x14ac:dyDescent="0.15">
      <c r="A204" s="158">
        <v>202.0</v>
      </c>
      <c r="B204" s="158" t="s">
        <v>8</v>
      </c>
      <c r="C204" s="158" t="s">
        <f>"郭霞"</f>
        <v>408</v>
      </c>
      <c r="D204" s="158" t="s">
        <f>"15010110722"</f>
        <v>409</v>
      </c>
      <c r="E204" s="158" t="s">
        <v>15</v>
      </c>
      <c r="F204" s="158"/>
      <c r="G204" s="158" t="s">
        <v>15</v>
      </c>
    </row>
    <row r="205" spans="1:7" ht="32.999496" customHeight="1" x14ac:dyDescent="0.15">
      <c r="A205" s="158">
        <v>203.0</v>
      </c>
      <c r="B205" s="158" t="s">
        <v>8</v>
      </c>
      <c r="C205" s="158" t="s">
        <f>"温磊"</f>
        <v>410</v>
      </c>
      <c r="D205" s="158" t="s">
        <f>"15010110723"</f>
        <v>411</v>
      </c>
      <c r="E205" s="158">
        <v>63.98</v>
      </c>
      <c r="F205" s="158"/>
      <c r="G205" s="158">
        <v>63.98</v>
      </c>
    </row>
    <row r="206" spans="1:7" ht="32.999496" customHeight="1" x14ac:dyDescent="0.15">
      <c r="A206" s="158">
        <v>204.0</v>
      </c>
      <c r="B206" s="158" t="s">
        <v>8</v>
      </c>
      <c r="C206" s="158" t="s">
        <f>"崔海龙"</f>
        <v>412</v>
      </c>
      <c r="D206" s="158" t="s">
        <f>"15010110724"</f>
        <v>413</v>
      </c>
      <c r="E206" s="158">
        <v>48.75</v>
      </c>
      <c r="F206" s="158"/>
      <c r="G206" s="158">
        <v>48.75</v>
      </c>
    </row>
    <row r="207" spans="1:7" ht="32.999496" customHeight="1" x14ac:dyDescent="0.15">
      <c r="A207" s="158">
        <v>205.0</v>
      </c>
      <c r="B207" s="158" t="s">
        <v>8</v>
      </c>
      <c r="C207" s="158" t="s">
        <f>"李健"</f>
        <v>414</v>
      </c>
      <c r="D207" s="158" t="s">
        <f>"15010110725"</f>
        <v>415</v>
      </c>
      <c r="E207" s="158" t="s">
        <v>15</v>
      </c>
      <c r="F207" s="158"/>
      <c r="G207" s="158" t="s">
        <v>15</v>
      </c>
    </row>
    <row r="208" spans="1:7" ht="32.999496" customHeight="1" x14ac:dyDescent="0.15">
      <c r="A208" s="158">
        <v>206.0</v>
      </c>
      <c r="B208" s="158" t="s">
        <v>8</v>
      </c>
      <c r="C208" s="158" t="s">
        <f>"许云"</f>
        <v>416</v>
      </c>
      <c r="D208" s="158" t="s">
        <f>"15010110726"</f>
        <v>417</v>
      </c>
      <c r="E208" s="158" t="s">
        <v>15</v>
      </c>
      <c r="F208" s="158"/>
      <c r="G208" s="158" t="s">
        <v>15</v>
      </c>
    </row>
    <row r="209" spans="1:7" ht="32.999496" customHeight="1" x14ac:dyDescent="0.15">
      <c r="A209" s="158">
        <v>207.0</v>
      </c>
      <c r="B209" s="158" t="s">
        <v>8</v>
      </c>
      <c r="C209" s="158" t="s">
        <f>"高丽霞"</f>
        <v>418</v>
      </c>
      <c r="D209" s="158" t="s">
        <f>"15010110727"</f>
        <v>419</v>
      </c>
      <c r="E209" s="158">
        <v>55.04</v>
      </c>
      <c r="F209" s="158"/>
      <c r="G209" s="158">
        <v>55.04</v>
      </c>
    </row>
    <row r="210" spans="1:7" ht="32.999496" customHeight="1" x14ac:dyDescent="0.15">
      <c r="A210" s="158">
        <v>208.0</v>
      </c>
      <c r="B210" s="158" t="s">
        <v>8</v>
      </c>
      <c r="C210" s="158" t="s">
        <f>"郭引引"</f>
        <v>420</v>
      </c>
      <c r="D210" s="158" t="s">
        <f>"15010110728"</f>
        <v>421</v>
      </c>
      <c r="E210" s="158" t="s">
        <v>15</v>
      </c>
      <c r="F210" s="158"/>
      <c r="G210" s="158" t="s">
        <v>15</v>
      </c>
    </row>
    <row r="211" spans="1:7" ht="32.999496" customHeight="1" x14ac:dyDescent="0.15">
      <c r="A211" s="158">
        <v>209.0</v>
      </c>
      <c r="B211" s="158" t="s">
        <v>8</v>
      </c>
      <c r="C211" s="158" t="s">
        <f>"刘岗强"</f>
        <v>422</v>
      </c>
      <c r="D211" s="158" t="s">
        <f>"15010110729"</f>
        <v>423</v>
      </c>
      <c r="E211" s="158">
        <v>51.28</v>
      </c>
      <c r="F211" s="158"/>
      <c r="G211" s="158">
        <v>51.28</v>
      </c>
    </row>
    <row r="212" spans="1:7" ht="32.999496" customHeight="1" x14ac:dyDescent="0.15">
      <c r="A212" s="158">
        <v>210.0</v>
      </c>
      <c r="B212" s="158" t="s">
        <v>8</v>
      </c>
      <c r="C212" s="158" t="s">
        <f>"呼雪珂"</f>
        <v>424</v>
      </c>
      <c r="D212" s="158" t="s">
        <f>"15010110730"</f>
        <v>425</v>
      </c>
      <c r="E212" s="158">
        <v>42.56</v>
      </c>
      <c r="F212" s="158"/>
      <c r="G212" s="158">
        <v>42.56</v>
      </c>
    </row>
    <row r="213" spans="1:7" ht="32.999496" customHeight="1" x14ac:dyDescent="0.15">
      <c r="A213" s="158">
        <v>211.0</v>
      </c>
      <c r="B213" s="158" t="s">
        <v>8</v>
      </c>
      <c r="C213" s="158" t="s">
        <f>"刘洋"</f>
        <v>426</v>
      </c>
      <c r="D213" s="158" t="s">
        <f>"15010110801"</f>
        <v>427</v>
      </c>
      <c r="E213" s="158">
        <v>51.16</v>
      </c>
      <c r="F213" s="158"/>
      <c r="G213" s="158">
        <v>51.16</v>
      </c>
    </row>
    <row r="214" spans="1:7" ht="32.999496" customHeight="1" x14ac:dyDescent="0.15">
      <c r="A214" s="158">
        <v>212.0</v>
      </c>
      <c r="B214" s="158" t="s">
        <v>8</v>
      </c>
      <c r="C214" s="158" t="s">
        <f>"张雅娟"</f>
        <v>428</v>
      </c>
      <c r="D214" s="158" t="s">
        <f>"15010110802"</f>
        <v>429</v>
      </c>
      <c r="E214" s="158" t="s">
        <v>15</v>
      </c>
      <c r="F214" s="158"/>
      <c r="G214" s="158" t="s">
        <v>15</v>
      </c>
    </row>
    <row r="215" spans="1:7" ht="32.999496" customHeight="1" x14ac:dyDescent="0.15">
      <c r="A215" s="158">
        <v>213.0</v>
      </c>
      <c r="B215" s="158" t="s">
        <v>8</v>
      </c>
      <c r="C215" s="158" t="s">
        <f>"刘慧"</f>
        <v>430</v>
      </c>
      <c r="D215" s="158" t="s">
        <f>"15010110803"</f>
        <v>431</v>
      </c>
      <c r="E215" s="158">
        <v>55.33</v>
      </c>
      <c r="F215" s="158"/>
      <c r="G215" s="158">
        <v>55.33</v>
      </c>
    </row>
    <row r="216" spans="1:7" ht="32.999496" customHeight="1" x14ac:dyDescent="0.15">
      <c r="A216" s="158">
        <v>214.0</v>
      </c>
      <c r="B216" s="158" t="s">
        <v>8</v>
      </c>
      <c r="C216" s="158" t="s">
        <f>"呼日木斯塔"</f>
        <v>432</v>
      </c>
      <c r="D216" s="158" t="s">
        <f>"15010110804"</f>
        <v>433</v>
      </c>
      <c r="E216" s="158">
        <v>44.379999999999995</v>
      </c>
      <c r="F216" s="158">
        <v>2.5</v>
      </c>
      <c r="G216" s="158">
        <v>46.879999999999995</v>
      </c>
    </row>
    <row r="217" spans="1:7" ht="32.999496" customHeight="1" x14ac:dyDescent="0.15">
      <c r="A217" s="158">
        <v>215.0</v>
      </c>
      <c r="B217" s="158" t="s">
        <v>8</v>
      </c>
      <c r="C217" s="158" t="s">
        <f>"张轩榕"</f>
        <v>434</v>
      </c>
      <c r="D217" s="158" t="s">
        <f>"15010110805"</f>
        <v>435</v>
      </c>
      <c r="E217" s="158">
        <v>62.84</v>
      </c>
      <c r="F217" s="158"/>
      <c r="G217" s="158">
        <v>62.84</v>
      </c>
    </row>
    <row r="218" spans="1:7" ht="32.999496" customHeight="1" x14ac:dyDescent="0.15">
      <c r="A218" s="158">
        <v>216.0</v>
      </c>
      <c r="B218" s="158" t="s">
        <v>8</v>
      </c>
      <c r="C218" s="158" t="s">
        <f>"王娜"</f>
        <v>106</v>
      </c>
      <c r="D218" s="158" t="s">
        <f>"15010110806"</f>
        <v>436</v>
      </c>
      <c r="E218" s="158" t="s">
        <v>15</v>
      </c>
      <c r="F218" s="158"/>
      <c r="G218" s="158" t="s">
        <v>15</v>
      </c>
    </row>
    <row r="219" spans="1:7" ht="32.999496" customHeight="1" x14ac:dyDescent="0.15">
      <c r="A219" s="158">
        <v>217.0</v>
      </c>
      <c r="B219" s="158" t="s">
        <v>8</v>
      </c>
      <c r="C219" s="158" t="s">
        <f>"郭晓宏"</f>
        <v>437</v>
      </c>
      <c r="D219" s="158" t="s">
        <f>"15010110807"</f>
        <v>438</v>
      </c>
      <c r="E219" s="158">
        <v>53.879999999999995</v>
      </c>
      <c r="F219" s="158"/>
      <c r="G219" s="158">
        <v>53.879999999999995</v>
      </c>
    </row>
    <row r="220" spans="1:7" ht="32.999496" customHeight="1" x14ac:dyDescent="0.15">
      <c r="A220" s="158">
        <v>218.0</v>
      </c>
      <c r="B220" s="158" t="s">
        <v>8</v>
      </c>
      <c r="C220" s="158" t="s">
        <f>"杨花"</f>
        <v>439</v>
      </c>
      <c r="D220" s="158" t="s">
        <f>"15010110808"</f>
        <v>440</v>
      </c>
      <c r="E220" s="158">
        <v>43.17</v>
      </c>
      <c r="F220" s="158"/>
      <c r="G220" s="158">
        <v>43.17</v>
      </c>
    </row>
    <row r="221" spans="1:7" ht="32.999496" customHeight="1" x14ac:dyDescent="0.15">
      <c r="A221" s="158">
        <v>219.0</v>
      </c>
      <c r="B221" s="158" t="s">
        <v>8</v>
      </c>
      <c r="C221" s="158" t="s">
        <f>"刘洋"</f>
        <v>426</v>
      </c>
      <c r="D221" s="158" t="s">
        <f>"15010110809"</f>
        <v>441</v>
      </c>
      <c r="E221" s="158">
        <v>63.76</v>
      </c>
      <c r="F221" s="158"/>
      <c r="G221" s="158">
        <v>63.76</v>
      </c>
    </row>
    <row r="222" spans="1:7" ht="32.999496" customHeight="1" x14ac:dyDescent="0.15">
      <c r="A222" s="158">
        <v>220.0</v>
      </c>
      <c r="B222" s="158" t="s">
        <v>8</v>
      </c>
      <c r="C222" s="158" t="s">
        <f>"张骞"</f>
        <v>442</v>
      </c>
      <c r="D222" s="158" t="s">
        <f>"15010110810"</f>
        <v>443</v>
      </c>
      <c r="E222" s="158">
        <v>66.9</v>
      </c>
      <c r="F222" s="158"/>
      <c r="G222" s="158">
        <v>66.9</v>
      </c>
    </row>
    <row r="223" spans="1:7" ht="32.999496" customHeight="1" x14ac:dyDescent="0.15">
      <c r="A223" s="158">
        <v>221.0</v>
      </c>
      <c r="B223" s="158" t="s">
        <v>8</v>
      </c>
      <c r="C223" s="158" t="s">
        <f>"李敏"</f>
        <v>444</v>
      </c>
      <c r="D223" s="158" t="s">
        <f>"15010110811"</f>
        <v>445</v>
      </c>
      <c r="E223" s="158">
        <v>51.730000000000004</v>
      </c>
      <c r="F223" s="158"/>
      <c r="G223" s="158">
        <v>51.730000000000004</v>
      </c>
    </row>
    <row r="224" spans="1:7" ht="32.999496" customHeight="1" x14ac:dyDescent="0.15">
      <c r="A224" s="158">
        <v>222.0</v>
      </c>
      <c r="B224" s="158" t="s">
        <v>8</v>
      </c>
      <c r="C224" s="158" t="s">
        <f>"高俊霞"</f>
        <v>446</v>
      </c>
      <c r="D224" s="158" t="s">
        <f>"15010110812"</f>
        <v>447</v>
      </c>
      <c r="E224" s="158">
        <v>47.7</v>
      </c>
      <c r="F224" s="158"/>
      <c r="G224" s="158">
        <v>47.7</v>
      </c>
    </row>
    <row r="225" spans="1:7" ht="32.999496" customHeight="1" x14ac:dyDescent="0.15">
      <c r="A225" s="158">
        <v>223.0</v>
      </c>
      <c r="B225" s="158" t="s">
        <v>8</v>
      </c>
      <c r="C225" s="158" t="s">
        <f>"乔慧耀"</f>
        <v>448</v>
      </c>
      <c r="D225" s="158" t="s">
        <f>"15010110813"</f>
        <v>449</v>
      </c>
      <c r="E225" s="158">
        <v>71.28</v>
      </c>
      <c r="F225" s="158"/>
      <c r="G225" s="158">
        <v>71.28</v>
      </c>
    </row>
    <row r="226" spans="1:7" ht="32.999496" customHeight="1" x14ac:dyDescent="0.15">
      <c r="A226" s="158">
        <v>224.0</v>
      </c>
      <c r="B226" s="158" t="s">
        <v>8</v>
      </c>
      <c r="C226" s="158" t="s">
        <f>"郭涛源"</f>
        <v>450</v>
      </c>
      <c r="D226" s="158" t="s">
        <f>"15010110814"</f>
        <v>451</v>
      </c>
      <c r="E226" s="158">
        <v>52.84</v>
      </c>
      <c r="F226" s="158"/>
      <c r="G226" s="158">
        <v>52.84</v>
      </c>
    </row>
    <row r="227" spans="1:7" ht="32.999496" customHeight="1" x14ac:dyDescent="0.15">
      <c r="A227" s="158">
        <v>225.0</v>
      </c>
      <c r="B227" s="158" t="s">
        <v>8</v>
      </c>
      <c r="C227" s="158" t="s">
        <f>"王钰雯"</f>
        <v>452</v>
      </c>
      <c r="D227" s="158" t="s">
        <f>"15010110815"</f>
        <v>453</v>
      </c>
      <c r="E227" s="158">
        <v>53.629999999999995</v>
      </c>
      <c r="F227" s="158"/>
      <c r="G227" s="158">
        <v>53.629999999999995</v>
      </c>
    </row>
    <row r="228" spans="1:7" ht="32.999496" customHeight="1" x14ac:dyDescent="0.15">
      <c r="A228" s="158">
        <v>226.0</v>
      </c>
      <c r="B228" s="158" t="s">
        <v>8</v>
      </c>
      <c r="C228" s="158" t="s">
        <f>"李晓慧"</f>
        <v>454</v>
      </c>
      <c r="D228" s="158" t="s">
        <f>"15010110816"</f>
        <v>455</v>
      </c>
      <c r="E228" s="158">
        <v>59.22</v>
      </c>
      <c r="F228" s="158"/>
      <c r="G228" s="158">
        <v>59.22</v>
      </c>
    </row>
    <row r="229" spans="1:7" ht="32.999496" customHeight="1" x14ac:dyDescent="0.15">
      <c r="A229" s="158">
        <v>227.0</v>
      </c>
      <c r="B229" s="158" t="s">
        <v>8</v>
      </c>
      <c r="C229" s="158" t="s">
        <f>"訾可琛"</f>
        <v>456</v>
      </c>
      <c r="D229" s="158" t="s">
        <f>"15010110817"</f>
        <v>457</v>
      </c>
      <c r="E229" s="158">
        <v>43.55</v>
      </c>
      <c r="F229" s="158"/>
      <c r="G229" s="158">
        <v>43.55</v>
      </c>
    </row>
    <row r="230" spans="1:7" ht="32.999496" customHeight="1" x14ac:dyDescent="0.15">
      <c r="A230" s="158">
        <v>228.0</v>
      </c>
      <c r="B230" s="158" t="s">
        <v>8</v>
      </c>
      <c r="C230" s="158" t="s">
        <f>"闫娜"</f>
        <v>458</v>
      </c>
      <c r="D230" s="158" t="s">
        <f>"15010110818"</f>
        <v>459</v>
      </c>
      <c r="E230" s="158">
        <v>53.05</v>
      </c>
      <c r="F230" s="158"/>
      <c r="G230" s="158">
        <v>53.05</v>
      </c>
    </row>
    <row r="231" spans="1:7" ht="32.999496" customHeight="1" x14ac:dyDescent="0.15">
      <c r="A231" s="158">
        <v>229.0</v>
      </c>
      <c r="B231" s="158" t="s">
        <v>8</v>
      </c>
      <c r="C231" s="158" t="s">
        <f>"罗丹"</f>
        <v>460</v>
      </c>
      <c r="D231" s="158" t="s">
        <f>"15010110819"</f>
        <v>461</v>
      </c>
      <c r="E231" s="158" t="s">
        <v>15</v>
      </c>
      <c r="F231" s="158"/>
      <c r="G231" s="158" t="s">
        <v>15</v>
      </c>
    </row>
    <row r="232" spans="1:7" ht="32.999496" customHeight="1" x14ac:dyDescent="0.15">
      <c r="A232" s="158">
        <v>230.0</v>
      </c>
      <c r="B232" s="158" t="s">
        <v>8</v>
      </c>
      <c r="C232" s="158" t="s">
        <f>"王浩"</f>
        <v>356</v>
      </c>
      <c r="D232" s="158" t="s">
        <f>"15010110820"</f>
        <v>462</v>
      </c>
      <c r="E232" s="158" t="s">
        <v>15</v>
      </c>
      <c r="F232" s="158"/>
      <c r="G232" s="158" t="s">
        <v>15</v>
      </c>
    </row>
    <row r="233" spans="1:7" ht="32.999496" customHeight="1" x14ac:dyDescent="0.15">
      <c r="A233" s="158">
        <v>231.0</v>
      </c>
      <c r="B233" s="158" t="s">
        <v>8</v>
      </c>
      <c r="C233" s="158" t="s">
        <f>"朱泽慧"</f>
        <v>463</v>
      </c>
      <c r="D233" s="158" t="s">
        <f>"15010110821"</f>
        <v>464</v>
      </c>
      <c r="E233" s="158">
        <v>57.9</v>
      </c>
      <c r="F233" s="158"/>
      <c r="G233" s="158">
        <v>57.9</v>
      </c>
    </row>
    <row r="234" spans="1:7" ht="32.999496" customHeight="1" x14ac:dyDescent="0.15">
      <c r="A234" s="158">
        <v>232.0</v>
      </c>
      <c r="B234" s="158" t="s">
        <v>8</v>
      </c>
      <c r="C234" s="158" t="s">
        <f>"张月"</f>
        <v>465</v>
      </c>
      <c r="D234" s="158" t="s">
        <f>"15010110822"</f>
        <v>466</v>
      </c>
      <c r="E234" s="158">
        <v>71.9</v>
      </c>
      <c r="F234" s="158"/>
      <c r="G234" s="158">
        <v>71.9</v>
      </c>
    </row>
    <row r="235" spans="1:7" ht="32.999496" customHeight="1" x14ac:dyDescent="0.15">
      <c r="A235" s="158">
        <v>233.0</v>
      </c>
      <c r="B235" s="158" t="s">
        <v>8</v>
      </c>
      <c r="C235" s="158" t="s">
        <f>"王瑞"</f>
        <v>467</v>
      </c>
      <c r="D235" s="158" t="s">
        <f>"15010110823"</f>
        <v>468</v>
      </c>
      <c r="E235" s="158">
        <v>39</v>
      </c>
      <c r="F235" s="158"/>
      <c r="G235" s="158">
        <v>39</v>
      </c>
    </row>
    <row r="236" spans="1:7" ht="32.999496" customHeight="1" x14ac:dyDescent="0.15">
      <c r="A236" s="158">
        <v>234.0</v>
      </c>
      <c r="B236" s="158" t="s">
        <v>8</v>
      </c>
      <c r="C236" s="158" t="s">
        <f>"郭政达"</f>
        <v>469</v>
      </c>
      <c r="D236" s="158" t="s">
        <f>"15010110824"</f>
        <v>470</v>
      </c>
      <c r="E236" s="158">
        <v>51.14</v>
      </c>
      <c r="F236" s="158"/>
      <c r="G236" s="158">
        <v>51.14</v>
      </c>
    </row>
    <row r="237" spans="1:7" ht="32.999496" customHeight="1" x14ac:dyDescent="0.15">
      <c r="A237" s="158">
        <v>235.0</v>
      </c>
      <c r="B237" s="158" t="s">
        <v>8</v>
      </c>
      <c r="C237" s="158" t="s">
        <f>"乔璐"</f>
        <v>471</v>
      </c>
      <c r="D237" s="158" t="s">
        <f>"15010110825"</f>
        <v>472</v>
      </c>
      <c r="E237" s="158" t="s">
        <v>15</v>
      </c>
      <c r="F237" s="158"/>
      <c r="G237" s="158" t="s">
        <v>15</v>
      </c>
    </row>
    <row r="238" spans="1:7" ht="32.999496" customHeight="1" x14ac:dyDescent="0.15">
      <c r="A238" s="158">
        <v>236.0</v>
      </c>
      <c r="B238" s="158" t="s">
        <v>8</v>
      </c>
      <c r="C238" s="158" t="s">
        <f>"马瑞"</f>
        <v>473</v>
      </c>
      <c r="D238" s="158" t="s">
        <f>"15010110826"</f>
        <v>474</v>
      </c>
      <c r="E238" s="158">
        <v>53.94</v>
      </c>
      <c r="F238" s="158"/>
      <c r="G238" s="158">
        <v>53.94</v>
      </c>
    </row>
    <row r="239" spans="1:7" ht="32.999496" customHeight="1" x14ac:dyDescent="0.15">
      <c r="A239" s="158">
        <v>237.0</v>
      </c>
      <c r="B239" s="158" t="s">
        <v>8</v>
      </c>
      <c r="C239" s="158" t="s">
        <f>"孙雅娜"</f>
        <v>475</v>
      </c>
      <c r="D239" s="158" t="s">
        <f>"15010110827"</f>
        <v>476</v>
      </c>
      <c r="E239" s="158">
        <v>67.05</v>
      </c>
      <c r="F239" s="158"/>
      <c r="G239" s="158">
        <v>67.05</v>
      </c>
    </row>
    <row r="240" spans="1:7" ht="32.999496" customHeight="1" x14ac:dyDescent="0.15">
      <c r="A240" s="158">
        <v>238.0</v>
      </c>
      <c r="B240" s="158" t="s">
        <v>8</v>
      </c>
      <c r="C240" s="158" t="s">
        <f>"乔廷"</f>
        <v>477</v>
      </c>
      <c r="D240" s="158" t="s">
        <f>"15010110828"</f>
        <v>478</v>
      </c>
      <c r="E240" s="158">
        <v>61.37</v>
      </c>
      <c r="F240" s="158"/>
      <c r="G240" s="158">
        <v>61.37</v>
      </c>
    </row>
    <row r="241" spans="1:7" ht="32.999496" customHeight="1" x14ac:dyDescent="0.15">
      <c r="A241" s="158">
        <v>239.0</v>
      </c>
      <c r="B241" s="158" t="s">
        <v>8</v>
      </c>
      <c r="C241" s="158" t="s">
        <f>"贾燕"</f>
        <v>479</v>
      </c>
      <c r="D241" s="158" t="s">
        <f>"15010110829"</f>
        <v>480</v>
      </c>
      <c r="E241" s="158">
        <v>66.14</v>
      </c>
      <c r="F241" s="158"/>
      <c r="G241" s="158">
        <v>66.14</v>
      </c>
    </row>
    <row r="242" spans="1:7" ht="32.999496" customHeight="1" x14ac:dyDescent="0.15">
      <c r="A242" s="158">
        <v>240.0</v>
      </c>
      <c r="B242" s="158" t="s">
        <v>8</v>
      </c>
      <c r="C242" s="158" t="s">
        <f>"杨瑞芳"</f>
        <v>481</v>
      </c>
      <c r="D242" s="158" t="s">
        <f>"15010110830"</f>
        <v>482</v>
      </c>
      <c r="E242" s="158" t="s">
        <v>15</v>
      </c>
      <c r="F242" s="158"/>
      <c r="G242" s="158" t="s">
        <v>15</v>
      </c>
    </row>
    <row r="243" spans="1:7" ht="32.999496" customHeight="1" x14ac:dyDescent="0.15">
      <c r="A243" s="158">
        <v>241.0</v>
      </c>
      <c r="B243" s="158" t="s">
        <v>8</v>
      </c>
      <c r="C243" s="158" t="s">
        <f>"苏艳霞"</f>
        <v>483</v>
      </c>
      <c r="D243" s="158" t="s">
        <f>"15010110901"</f>
        <v>484</v>
      </c>
      <c r="E243" s="158" t="s">
        <v>15</v>
      </c>
      <c r="F243" s="158"/>
      <c r="G243" s="158" t="s">
        <v>15</v>
      </c>
    </row>
    <row r="244" spans="1:7" ht="32.999496" customHeight="1" x14ac:dyDescent="0.15">
      <c r="A244" s="158">
        <v>242.0</v>
      </c>
      <c r="B244" s="158" t="s">
        <v>8</v>
      </c>
      <c r="C244" s="158" t="s">
        <f>"秦艳"</f>
        <v>485</v>
      </c>
      <c r="D244" s="158" t="s">
        <f>"15010110902"</f>
        <v>486</v>
      </c>
      <c r="E244" s="158" t="s">
        <v>15</v>
      </c>
      <c r="F244" s="158"/>
      <c r="G244" s="158" t="s">
        <v>15</v>
      </c>
    </row>
    <row r="245" spans="1:7" ht="32.999496" customHeight="1" x14ac:dyDescent="0.15">
      <c r="A245" s="158">
        <v>243.0</v>
      </c>
      <c r="B245" s="158" t="s">
        <v>8</v>
      </c>
      <c r="C245" s="158" t="s">
        <f>"郝乐"</f>
        <v>487</v>
      </c>
      <c r="D245" s="158" t="s">
        <f>"15010110903"</f>
        <v>488</v>
      </c>
      <c r="E245" s="158">
        <v>56.56</v>
      </c>
      <c r="F245" s="158"/>
      <c r="G245" s="158">
        <v>56.56</v>
      </c>
    </row>
    <row r="246" spans="1:7" ht="32.999496" customHeight="1" x14ac:dyDescent="0.15">
      <c r="A246" s="158">
        <v>244.0</v>
      </c>
      <c r="B246" s="158" t="s">
        <v>8</v>
      </c>
      <c r="C246" s="158" t="s">
        <f>"王曈宇"</f>
        <v>489</v>
      </c>
      <c r="D246" s="158" t="s">
        <f>"15010110904"</f>
        <v>490</v>
      </c>
      <c r="E246" s="158">
        <v>59.84</v>
      </c>
      <c r="F246" s="158"/>
      <c r="G246" s="158">
        <v>59.84</v>
      </c>
    </row>
    <row r="247" spans="1:7" ht="32.999496" customHeight="1" x14ac:dyDescent="0.15">
      <c r="A247" s="158">
        <v>245.0</v>
      </c>
      <c r="B247" s="158" t="s">
        <v>8</v>
      </c>
      <c r="C247" s="158" t="s">
        <f>"杨慧"</f>
        <v>491</v>
      </c>
      <c r="D247" s="158" t="s">
        <f>"15010110905"</f>
        <v>492</v>
      </c>
      <c r="E247" s="158">
        <v>59.97</v>
      </c>
      <c r="F247" s="158"/>
      <c r="G247" s="158">
        <v>59.97</v>
      </c>
    </row>
    <row r="248" spans="1:7" ht="32.999496" customHeight="1" x14ac:dyDescent="0.15">
      <c r="A248" s="158">
        <v>246.0</v>
      </c>
      <c r="B248" s="158" t="s">
        <v>8</v>
      </c>
      <c r="C248" s="158" t="s">
        <f>"郭世刚"</f>
        <v>493</v>
      </c>
      <c r="D248" s="158" t="s">
        <f>"15010110906"</f>
        <v>494</v>
      </c>
      <c r="E248" s="158">
        <v>64.3</v>
      </c>
      <c r="F248" s="158"/>
      <c r="G248" s="158">
        <v>64.3</v>
      </c>
    </row>
    <row r="249" spans="1:7" ht="32.999496" customHeight="1" x14ac:dyDescent="0.15">
      <c r="A249" s="158">
        <v>247.0</v>
      </c>
      <c r="B249" s="158" t="s">
        <v>8</v>
      </c>
      <c r="C249" s="158" t="s">
        <f>"周蕾"</f>
        <v>495</v>
      </c>
      <c r="D249" s="158" t="s">
        <f>"15010110907"</f>
        <v>496</v>
      </c>
      <c r="E249" s="158">
        <v>52.519999999999996</v>
      </c>
      <c r="F249" s="158"/>
      <c r="G249" s="158">
        <v>52.519999999999996</v>
      </c>
    </row>
    <row r="250" spans="1:7" ht="32.999496" customHeight="1" x14ac:dyDescent="0.15">
      <c r="A250" s="158">
        <v>248.0</v>
      </c>
      <c r="B250" s="158" t="s">
        <v>8</v>
      </c>
      <c r="C250" s="158" t="s">
        <f>"白雪"</f>
        <v>60</v>
      </c>
      <c r="D250" s="158" t="s">
        <f>"15010110908"</f>
        <v>497</v>
      </c>
      <c r="E250" s="158">
        <v>58.42</v>
      </c>
      <c r="F250" s="158"/>
      <c r="G250" s="158">
        <v>58.42</v>
      </c>
    </row>
    <row r="251" spans="1:7" ht="32.999496" customHeight="1" x14ac:dyDescent="0.15">
      <c r="A251" s="158">
        <v>249.0</v>
      </c>
      <c r="B251" s="158" t="s">
        <v>8</v>
      </c>
      <c r="C251" s="158" t="s">
        <f>"杨宇锡"</f>
        <v>498</v>
      </c>
      <c r="D251" s="158" t="s">
        <f>"15010110909"</f>
        <v>499</v>
      </c>
      <c r="E251" s="158">
        <v>53.69</v>
      </c>
      <c r="F251" s="158"/>
      <c r="G251" s="158">
        <v>53.69</v>
      </c>
    </row>
    <row r="252" spans="1:7" ht="32.999496" customHeight="1" x14ac:dyDescent="0.15">
      <c r="A252" s="158">
        <v>250.0</v>
      </c>
      <c r="B252" s="158" t="s">
        <v>8</v>
      </c>
      <c r="C252" s="158" t="s">
        <f>"武可昕"</f>
        <v>500</v>
      </c>
      <c r="D252" s="158" t="s">
        <f>"15010110910"</f>
        <v>501</v>
      </c>
      <c r="E252" s="158">
        <v>51.69</v>
      </c>
      <c r="F252" s="158"/>
      <c r="G252" s="158">
        <v>51.69</v>
      </c>
    </row>
    <row r="253" spans="1:7" ht="32.999496" customHeight="1" x14ac:dyDescent="0.15">
      <c r="A253" s="158">
        <v>251.0</v>
      </c>
      <c r="B253" s="158" t="s">
        <v>8</v>
      </c>
      <c r="C253" s="158" t="s">
        <f>"徐倩"</f>
        <v>502</v>
      </c>
      <c r="D253" s="158" t="s">
        <f>"15010110911"</f>
        <v>503</v>
      </c>
      <c r="E253" s="158">
        <v>73.2</v>
      </c>
      <c r="F253" s="158"/>
      <c r="G253" s="158">
        <v>73.2</v>
      </c>
    </row>
    <row r="254" spans="1:7" ht="32.999496" customHeight="1" x14ac:dyDescent="0.15">
      <c r="A254" s="158">
        <v>252.0</v>
      </c>
      <c r="B254" s="158" t="s">
        <v>8</v>
      </c>
      <c r="C254" s="158" t="s">
        <f>"李慧瑶"</f>
        <v>504</v>
      </c>
      <c r="D254" s="158" t="s">
        <f>"15010110912"</f>
        <v>505</v>
      </c>
      <c r="E254" s="158">
        <v>53.43</v>
      </c>
      <c r="F254" s="158"/>
      <c r="G254" s="158">
        <v>53.43</v>
      </c>
    </row>
    <row r="255" spans="1:7" ht="32.999496" customHeight="1" x14ac:dyDescent="0.15">
      <c r="A255" s="158">
        <v>253.0</v>
      </c>
      <c r="B255" s="158" t="s">
        <v>8</v>
      </c>
      <c r="C255" s="158" t="s">
        <f>"李鑫"</f>
        <v>222</v>
      </c>
      <c r="D255" s="158" t="s">
        <f>"15010110913"</f>
        <v>506</v>
      </c>
      <c r="E255" s="158">
        <v>65.24000000000001</v>
      </c>
      <c r="F255" s="158"/>
      <c r="G255" s="158">
        <v>65.24000000000001</v>
      </c>
    </row>
    <row r="256" spans="1:7" ht="32.999496" customHeight="1" x14ac:dyDescent="0.15">
      <c r="A256" s="158">
        <v>254.0</v>
      </c>
      <c r="B256" s="158" t="s">
        <v>8</v>
      </c>
      <c r="C256" s="158" t="s">
        <f>"訾丹"</f>
        <v>383</v>
      </c>
      <c r="D256" s="158" t="s">
        <f>"15010110914"</f>
        <v>507</v>
      </c>
      <c r="E256" s="158">
        <v>64.83</v>
      </c>
      <c r="F256" s="158"/>
      <c r="G256" s="158">
        <v>64.83</v>
      </c>
    </row>
    <row r="257" spans="1:7" ht="32.999496" customHeight="1" x14ac:dyDescent="0.15">
      <c r="A257" s="158">
        <v>255.0</v>
      </c>
      <c r="B257" s="158" t="s">
        <v>8</v>
      </c>
      <c r="C257" s="158" t="s">
        <f>"刘向宇"</f>
        <v>508</v>
      </c>
      <c r="D257" s="158" t="s">
        <f>"15010110915"</f>
        <v>509</v>
      </c>
      <c r="E257" s="158">
        <v>62.48</v>
      </c>
      <c r="F257" s="158"/>
      <c r="G257" s="158">
        <v>62.48</v>
      </c>
    </row>
    <row r="258" spans="1:7" ht="32.999496" customHeight="1" x14ac:dyDescent="0.15">
      <c r="A258" s="158">
        <v>256.0</v>
      </c>
      <c r="B258" s="158" t="s">
        <v>8</v>
      </c>
      <c r="C258" s="158" t="s">
        <f>"李渊丽"</f>
        <v>510</v>
      </c>
      <c r="D258" s="158" t="s">
        <f>"15010110916"</f>
        <v>511</v>
      </c>
      <c r="E258" s="158">
        <v>49.65</v>
      </c>
      <c r="F258" s="158"/>
      <c r="G258" s="158">
        <v>49.65</v>
      </c>
    </row>
    <row r="259" spans="1:7" ht="32.999496" customHeight="1" x14ac:dyDescent="0.15">
      <c r="A259" s="158">
        <v>257.0</v>
      </c>
      <c r="B259" s="158" t="s">
        <v>8</v>
      </c>
      <c r="C259" s="158" t="s">
        <f>"苏娜"</f>
        <v>512</v>
      </c>
      <c r="D259" s="158" t="s">
        <f>"15010110917"</f>
        <v>513</v>
      </c>
      <c r="E259" s="158" t="s">
        <v>15</v>
      </c>
      <c r="F259" s="158"/>
      <c r="G259" s="158" t="s">
        <v>15</v>
      </c>
    </row>
    <row r="260" spans="1:7" ht="32.999496" customHeight="1" x14ac:dyDescent="0.15">
      <c r="A260" s="158">
        <v>258.0</v>
      </c>
      <c r="B260" s="158" t="s">
        <v>8</v>
      </c>
      <c r="C260" s="158" t="s">
        <f>"刘雨"</f>
        <v>514</v>
      </c>
      <c r="D260" s="158" t="s">
        <f>"15010110918"</f>
        <v>515</v>
      </c>
      <c r="E260" s="158">
        <v>57.57</v>
      </c>
      <c r="F260" s="158"/>
      <c r="G260" s="158">
        <v>57.57</v>
      </c>
    </row>
    <row r="261" spans="1:7" ht="32.999496" customHeight="1" x14ac:dyDescent="0.15">
      <c r="A261" s="158">
        <v>259.0</v>
      </c>
      <c r="B261" s="158" t="s">
        <v>8</v>
      </c>
      <c r="C261" s="158" t="s">
        <f>"高瑞"</f>
        <v>212</v>
      </c>
      <c r="D261" s="158" t="s">
        <f>"15010110919"</f>
        <v>516</v>
      </c>
      <c r="E261" s="158">
        <v>42.239999999999995</v>
      </c>
      <c r="F261" s="158"/>
      <c r="G261" s="158">
        <v>42.239999999999995</v>
      </c>
    </row>
    <row r="262" spans="1:7" ht="32.999496" customHeight="1" x14ac:dyDescent="0.15">
      <c r="A262" s="158">
        <v>260.0</v>
      </c>
      <c r="B262" s="158" t="s">
        <v>8</v>
      </c>
      <c r="C262" s="158" t="s">
        <f>"张枫"</f>
        <v>517</v>
      </c>
      <c r="D262" s="158" t="s">
        <f>"15010110920"</f>
        <v>518</v>
      </c>
      <c r="E262" s="158">
        <v>58.81</v>
      </c>
      <c r="F262" s="158"/>
      <c r="G262" s="158">
        <v>58.81</v>
      </c>
    </row>
    <row r="263" spans="1:7" ht="32.999496" customHeight="1" x14ac:dyDescent="0.15">
      <c r="A263" s="158">
        <v>261.0</v>
      </c>
      <c r="B263" s="158" t="s">
        <v>8</v>
      </c>
      <c r="C263" s="158" t="s">
        <f>"孙丽茹"</f>
        <v>519</v>
      </c>
      <c r="D263" s="158" t="s">
        <f>"15010110921"</f>
        <v>520</v>
      </c>
      <c r="E263" s="158">
        <v>59.06</v>
      </c>
      <c r="F263" s="158"/>
      <c r="G263" s="158">
        <v>59.06</v>
      </c>
    </row>
    <row r="264" spans="1:7" ht="32.999496" customHeight="1" x14ac:dyDescent="0.15">
      <c r="A264" s="158">
        <v>262.0</v>
      </c>
      <c r="B264" s="158" t="s">
        <v>8</v>
      </c>
      <c r="C264" s="158" t="s">
        <f>"闫雄"</f>
        <v>521</v>
      </c>
      <c r="D264" s="158" t="s">
        <f>"15010110922"</f>
        <v>522</v>
      </c>
      <c r="E264" s="158">
        <v>58.73</v>
      </c>
      <c r="F264" s="158"/>
      <c r="G264" s="158">
        <v>58.73</v>
      </c>
    </row>
    <row r="265" spans="1:7" ht="32.999496" customHeight="1" x14ac:dyDescent="0.15">
      <c r="A265" s="158">
        <v>263.0</v>
      </c>
      <c r="B265" s="158" t="s">
        <v>8</v>
      </c>
      <c r="C265" s="158" t="s">
        <f>"乔荣"</f>
        <v>523</v>
      </c>
      <c r="D265" s="158" t="s">
        <f>"15010110923"</f>
        <v>524</v>
      </c>
      <c r="E265" s="158">
        <v>66.87</v>
      </c>
      <c r="F265" s="158"/>
      <c r="G265" s="158">
        <v>66.87</v>
      </c>
    </row>
    <row r="266" spans="1:7" ht="32.999496" customHeight="1" x14ac:dyDescent="0.15">
      <c r="A266" s="158">
        <v>264.0</v>
      </c>
      <c r="B266" s="158" t="s">
        <v>8</v>
      </c>
      <c r="C266" s="158" t="s">
        <f>"刘宇星"</f>
        <v>525</v>
      </c>
      <c r="D266" s="158" t="s">
        <f>"15010110924"</f>
        <v>526</v>
      </c>
      <c r="E266" s="158">
        <v>67.49000000000001</v>
      </c>
      <c r="F266" s="158"/>
      <c r="G266" s="158">
        <v>67.49000000000001</v>
      </c>
    </row>
    <row r="267" spans="1:7" ht="32.999496" customHeight="1" x14ac:dyDescent="0.15">
      <c r="A267" s="158">
        <v>265.0</v>
      </c>
      <c r="B267" s="158" t="s">
        <v>8</v>
      </c>
      <c r="C267" s="158" t="s">
        <f>"刘川"</f>
        <v>527</v>
      </c>
      <c r="D267" s="158" t="s">
        <f>"15010110925"</f>
        <v>528</v>
      </c>
      <c r="E267" s="158" t="s">
        <v>15</v>
      </c>
      <c r="F267" s="158"/>
      <c r="G267" s="158" t="s">
        <v>15</v>
      </c>
    </row>
    <row r="268" spans="1:7" ht="32.999496" customHeight="1" x14ac:dyDescent="0.15">
      <c r="A268" s="158">
        <v>266.0</v>
      </c>
      <c r="B268" s="158" t="s">
        <v>8</v>
      </c>
      <c r="C268" s="158" t="s">
        <f>"高婧娟"</f>
        <v>529</v>
      </c>
      <c r="D268" s="158" t="s">
        <f>"15010110926"</f>
        <v>530</v>
      </c>
      <c r="E268" s="158">
        <v>27.53</v>
      </c>
      <c r="F268" s="158"/>
      <c r="G268" s="158">
        <v>27.53</v>
      </c>
    </row>
    <row r="269" spans="1:7" ht="32.999496" customHeight="1" x14ac:dyDescent="0.15">
      <c r="A269" s="158">
        <v>267.0</v>
      </c>
      <c r="B269" s="158" t="s">
        <v>8</v>
      </c>
      <c r="C269" s="158" t="s">
        <f>"王璐"</f>
        <v>358</v>
      </c>
      <c r="D269" s="158" t="s">
        <f>"15010110927"</f>
        <v>531</v>
      </c>
      <c r="E269" s="158" t="s">
        <v>15</v>
      </c>
      <c r="F269" s="158"/>
      <c r="G269" s="158" t="s">
        <v>15</v>
      </c>
    </row>
    <row r="270" spans="1:7" ht="32.999496" customHeight="1" x14ac:dyDescent="0.15">
      <c r="A270" s="158">
        <v>268.0</v>
      </c>
      <c r="B270" s="158" t="s">
        <v>8</v>
      </c>
      <c r="C270" s="158" t="s">
        <f>"李婷婷"</f>
        <v>532</v>
      </c>
      <c r="D270" s="158" t="s">
        <f>"15010110928"</f>
        <v>533</v>
      </c>
      <c r="E270" s="158">
        <v>50.269999999999996</v>
      </c>
      <c r="F270" s="158"/>
      <c r="G270" s="158">
        <v>50.269999999999996</v>
      </c>
    </row>
    <row r="271" spans="1:7" ht="32.999496" customHeight="1" x14ac:dyDescent="0.15">
      <c r="A271" s="158">
        <v>269.0</v>
      </c>
      <c r="B271" s="158" t="s">
        <v>8</v>
      </c>
      <c r="C271" s="158" t="s">
        <f>"杨娜"</f>
        <v>534</v>
      </c>
      <c r="D271" s="158" t="s">
        <f>"15010110929"</f>
        <v>535</v>
      </c>
      <c r="E271" s="158">
        <v>62.47</v>
      </c>
      <c r="F271" s="158"/>
      <c r="G271" s="158">
        <v>62.47</v>
      </c>
    </row>
    <row r="272" spans="1:7" ht="32.999496" customHeight="1" x14ac:dyDescent="0.15">
      <c r="A272" s="158">
        <v>270.0</v>
      </c>
      <c r="B272" s="158" t="s">
        <v>8</v>
      </c>
      <c r="C272" s="158" t="s">
        <f>"孟宇"</f>
        <v>536</v>
      </c>
      <c r="D272" s="158" t="s">
        <f>"15010110930"</f>
        <v>537</v>
      </c>
      <c r="E272" s="158">
        <v>60.37</v>
      </c>
      <c r="F272" s="158"/>
      <c r="G272" s="158">
        <v>60.37</v>
      </c>
    </row>
    <row r="273" spans="1:7" ht="32.999496" customHeight="1" x14ac:dyDescent="0.15">
      <c r="A273" s="158">
        <v>271.0</v>
      </c>
      <c r="B273" s="158" t="s">
        <v>8</v>
      </c>
      <c r="C273" s="158" t="s">
        <f>"李燕"</f>
        <v>538</v>
      </c>
      <c r="D273" s="158" t="s">
        <f>"15010111001"</f>
        <v>539</v>
      </c>
      <c r="E273" s="158">
        <v>62.62</v>
      </c>
      <c r="F273" s="158"/>
      <c r="G273" s="158">
        <v>62.62</v>
      </c>
    </row>
    <row r="274" spans="1:7" ht="32.999496" customHeight="1" x14ac:dyDescent="0.15">
      <c r="A274" s="158">
        <v>272.0</v>
      </c>
      <c r="B274" s="158" t="s">
        <v>8</v>
      </c>
      <c r="C274" s="158" t="s">
        <f>"梁欢"</f>
        <v>540</v>
      </c>
      <c r="D274" s="158" t="s">
        <f>"15010111002"</f>
        <v>541</v>
      </c>
      <c r="E274" s="158">
        <v>42.769999999999996</v>
      </c>
      <c r="F274" s="158"/>
      <c r="G274" s="158">
        <v>42.769999999999996</v>
      </c>
    </row>
    <row r="275" spans="1:7" ht="32.999496" customHeight="1" x14ac:dyDescent="0.15">
      <c r="A275" s="158">
        <v>273.0</v>
      </c>
      <c r="B275" s="158" t="s">
        <v>8</v>
      </c>
      <c r="C275" s="158" t="s">
        <f>"安学荣"</f>
        <v>542</v>
      </c>
      <c r="D275" s="158" t="s">
        <f>"15010111003"</f>
        <v>543</v>
      </c>
      <c r="E275" s="158">
        <v>50.129999999999995</v>
      </c>
      <c r="F275" s="158"/>
      <c r="G275" s="158">
        <v>50.129999999999995</v>
      </c>
    </row>
    <row r="276" spans="1:7" ht="32.999496" customHeight="1" x14ac:dyDescent="0.15">
      <c r="A276" s="158">
        <v>274.0</v>
      </c>
      <c r="B276" s="158" t="s">
        <v>8</v>
      </c>
      <c r="C276" s="158" t="s">
        <f>"郭松涛"</f>
        <v>544</v>
      </c>
      <c r="D276" s="158" t="s">
        <f>"15010111004"</f>
        <v>545</v>
      </c>
      <c r="E276" s="158">
        <v>65.44</v>
      </c>
      <c r="F276" s="158"/>
      <c r="G276" s="158">
        <v>65.44</v>
      </c>
    </row>
    <row r="277" spans="1:7" ht="32.999496" customHeight="1" x14ac:dyDescent="0.15">
      <c r="A277" s="158">
        <v>275.0</v>
      </c>
      <c r="B277" s="158" t="s">
        <v>8</v>
      </c>
      <c r="C277" s="158" t="s">
        <f>"张露"</f>
        <v>546</v>
      </c>
      <c r="D277" s="158" t="s">
        <f>"15010111005"</f>
        <v>547</v>
      </c>
      <c r="E277" s="158">
        <v>60.11</v>
      </c>
      <c r="F277" s="158"/>
      <c r="G277" s="158">
        <v>60.11</v>
      </c>
    </row>
    <row r="278" spans="1:7" ht="32.999496" customHeight="1" x14ac:dyDescent="0.15">
      <c r="A278" s="158">
        <v>276.0</v>
      </c>
      <c r="B278" s="158" t="s">
        <v>8</v>
      </c>
      <c r="C278" s="158" t="s">
        <f>"赵惠柳"</f>
        <v>548</v>
      </c>
      <c r="D278" s="158" t="s">
        <f>"15010111006"</f>
        <v>549</v>
      </c>
      <c r="E278" s="158" t="s">
        <v>15</v>
      </c>
      <c r="F278" s="158"/>
      <c r="G278" s="158" t="s">
        <v>15</v>
      </c>
    </row>
    <row r="279" spans="1:7" ht="32.999496" customHeight="1" x14ac:dyDescent="0.15">
      <c r="A279" s="158">
        <v>277.0</v>
      </c>
      <c r="B279" s="158" t="s">
        <v>8</v>
      </c>
      <c r="C279" s="158" t="s">
        <f>"王冬梅"</f>
        <v>550</v>
      </c>
      <c r="D279" s="158" t="s">
        <f>"15010111007"</f>
        <v>551</v>
      </c>
      <c r="E279" s="158" t="s">
        <v>15</v>
      </c>
      <c r="F279" s="158"/>
      <c r="G279" s="158" t="s">
        <v>15</v>
      </c>
    </row>
    <row r="280" spans="1:7" ht="32.999496" customHeight="1" x14ac:dyDescent="0.15">
      <c r="A280" s="158">
        <v>278.0</v>
      </c>
      <c r="B280" s="158" t="s">
        <v>8</v>
      </c>
      <c r="C280" s="158" t="s">
        <f>"李铁檩"</f>
        <v>552</v>
      </c>
      <c r="D280" s="158" t="s">
        <f>"15010111008"</f>
        <v>553</v>
      </c>
      <c r="E280" s="158">
        <v>63.98</v>
      </c>
      <c r="F280" s="158"/>
      <c r="G280" s="158">
        <v>63.98</v>
      </c>
    </row>
    <row r="281" spans="1:7" ht="32.999496" customHeight="1" x14ac:dyDescent="0.15">
      <c r="A281" s="158">
        <v>279.0</v>
      </c>
      <c r="B281" s="158" t="s">
        <v>8</v>
      </c>
      <c r="C281" s="158" t="s">
        <f>"杨倩"</f>
        <v>554</v>
      </c>
      <c r="D281" s="158" t="s">
        <f>"15010111009"</f>
        <v>555</v>
      </c>
      <c r="E281" s="158">
        <v>58.05</v>
      </c>
      <c r="F281" s="158"/>
      <c r="G281" s="158">
        <v>58.05</v>
      </c>
    </row>
    <row r="282" spans="1:7" ht="32.999496" customHeight="1" x14ac:dyDescent="0.15">
      <c r="A282" s="158">
        <v>280.0</v>
      </c>
      <c r="B282" s="158" t="s">
        <v>8</v>
      </c>
      <c r="C282" s="158" t="s">
        <f>"王巧玲"</f>
        <v>556</v>
      </c>
      <c r="D282" s="158" t="s">
        <f>"15010111010"</f>
        <v>557</v>
      </c>
      <c r="E282" s="158">
        <v>56.81</v>
      </c>
      <c r="F282" s="158"/>
      <c r="G282" s="158">
        <v>56.81</v>
      </c>
    </row>
    <row r="283" spans="1:7" ht="32.999496" customHeight="1" x14ac:dyDescent="0.15">
      <c r="A283" s="158">
        <v>281.0</v>
      </c>
      <c r="B283" s="158" t="s">
        <v>8</v>
      </c>
      <c r="C283" s="158" t="s">
        <f>"赵星月"</f>
        <v>558</v>
      </c>
      <c r="D283" s="158" t="s">
        <f>"15010111011"</f>
        <v>559</v>
      </c>
      <c r="E283" s="158" t="s">
        <v>15</v>
      </c>
      <c r="F283" s="158"/>
      <c r="G283" s="158" t="s">
        <v>15</v>
      </c>
    </row>
    <row r="284" spans="1:7" ht="32.999496" customHeight="1" x14ac:dyDescent="0.15">
      <c r="A284" s="158">
        <v>282.0</v>
      </c>
      <c r="B284" s="158" t="s">
        <v>8</v>
      </c>
      <c r="C284" s="158" t="s">
        <f>"高翔"</f>
        <v>560</v>
      </c>
      <c r="D284" s="158" t="s">
        <f>"15010111012"</f>
        <v>561</v>
      </c>
      <c r="E284" s="158">
        <v>55.31</v>
      </c>
      <c r="F284" s="158"/>
      <c r="G284" s="158">
        <v>55.31</v>
      </c>
    </row>
    <row r="285" spans="1:7" ht="32.999496" customHeight="1" x14ac:dyDescent="0.15">
      <c r="A285" s="158">
        <v>283.0</v>
      </c>
      <c r="B285" s="158" t="s">
        <v>8</v>
      </c>
      <c r="C285" s="158" t="s">
        <f>"白旭荣"</f>
        <v>562</v>
      </c>
      <c r="D285" s="158" t="s">
        <f>"15010111013"</f>
        <v>563</v>
      </c>
      <c r="E285" s="158" t="s">
        <v>15</v>
      </c>
      <c r="F285" s="158"/>
      <c r="G285" s="158" t="s">
        <v>15</v>
      </c>
    </row>
    <row r="286" spans="1:7" ht="32.999496" customHeight="1" x14ac:dyDescent="0.15">
      <c r="A286" s="158">
        <v>284.0</v>
      </c>
      <c r="B286" s="158" t="s">
        <v>8</v>
      </c>
      <c r="C286" s="158" t="s">
        <f>"越慧"</f>
        <v>564</v>
      </c>
      <c r="D286" s="158" t="s">
        <f>"15010111014"</f>
        <v>565</v>
      </c>
      <c r="E286" s="158">
        <v>60.13</v>
      </c>
      <c r="F286" s="158"/>
      <c r="G286" s="158">
        <v>60.13</v>
      </c>
    </row>
    <row r="287" spans="1:7" ht="32.999496" customHeight="1" x14ac:dyDescent="0.15">
      <c r="A287" s="158">
        <v>285.0</v>
      </c>
      <c r="B287" s="158" t="s">
        <v>8</v>
      </c>
      <c r="C287" s="158" t="s">
        <f>"王宇涛"</f>
        <v>566</v>
      </c>
      <c r="D287" s="158" t="s">
        <f>"15010111015"</f>
        <v>567</v>
      </c>
      <c r="E287" s="158">
        <v>53.03</v>
      </c>
      <c r="F287" s="158"/>
      <c r="G287" s="158">
        <v>53.03</v>
      </c>
    </row>
    <row r="288" spans="1:7" ht="32.999496" customHeight="1" x14ac:dyDescent="0.15">
      <c r="A288" s="158">
        <v>286.0</v>
      </c>
      <c r="B288" s="158" t="s">
        <v>8</v>
      </c>
      <c r="C288" s="158" t="s">
        <f>"袁源"</f>
        <v>568</v>
      </c>
      <c r="D288" s="158" t="s">
        <f>"15010111016"</f>
        <v>569</v>
      </c>
      <c r="E288" s="158">
        <v>66.66</v>
      </c>
      <c r="F288" s="158"/>
      <c r="G288" s="158">
        <v>66.66</v>
      </c>
    </row>
    <row r="289" spans="1:7" ht="32.999496" customHeight="1" x14ac:dyDescent="0.15">
      <c r="A289" s="158">
        <v>287.0</v>
      </c>
      <c r="B289" s="158" t="s">
        <v>8</v>
      </c>
      <c r="C289" s="158" t="s">
        <f>"何鑫慧"</f>
        <v>570</v>
      </c>
      <c r="D289" s="158" t="s">
        <f>"15010111017"</f>
        <v>571</v>
      </c>
      <c r="E289" s="158">
        <v>55.84</v>
      </c>
      <c r="F289" s="158"/>
      <c r="G289" s="158">
        <v>55.84</v>
      </c>
    </row>
    <row r="290" spans="1:7" ht="32.999496" customHeight="1" x14ac:dyDescent="0.15">
      <c r="A290" s="158">
        <v>288.0</v>
      </c>
      <c r="B290" s="158" t="s">
        <v>8</v>
      </c>
      <c r="C290" s="158" t="s">
        <f>"米慧"</f>
        <v>572</v>
      </c>
      <c r="D290" s="158" t="s">
        <f>"15010111018"</f>
        <v>573</v>
      </c>
      <c r="E290" s="158">
        <v>59.62</v>
      </c>
      <c r="F290" s="158"/>
      <c r="G290" s="158">
        <v>59.62</v>
      </c>
    </row>
    <row r="291" spans="1:7" ht="32.999496" customHeight="1" x14ac:dyDescent="0.15">
      <c r="A291" s="158">
        <v>289.0</v>
      </c>
      <c r="B291" s="158" t="s">
        <v>8</v>
      </c>
      <c r="C291" s="158" t="s">
        <f>"张玲玲"</f>
        <v>574</v>
      </c>
      <c r="D291" s="158" t="s">
        <f>"15010111019"</f>
        <v>575</v>
      </c>
      <c r="E291" s="158">
        <v>24.94</v>
      </c>
      <c r="F291" s="158">
        <v>2.5</v>
      </c>
      <c r="G291" s="158">
        <v>27.44</v>
      </c>
    </row>
    <row r="292" spans="1:7" ht="32.999496" customHeight="1" x14ac:dyDescent="0.15">
      <c r="A292" s="158">
        <v>290.0</v>
      </c>
      <c r="B292" s="158" t="s">
        <v>8</v>
      </c>
      <c r="C292" s="158" t="s">
        <f>"刘鑫"</f>
        <v>576</v>
      </c>
      <c r="D292" s="158" t="s">
        <f>"15010111020"</f>
        <v>577</v>
      </c>
      <c r="E292" s="158" t="s">
        <v>15</v>
      </c>
      <c r="F292" s="158"/>
      <c r="G292" s="158" t="s">
        <v>15</v>
      </c>
    </row>
    <row r="293" spans="1:7" ht="32.999496" customHeight="1" x14ac:dyDescent="0.15">
      <c r="A293" s="158">
        <v>291.0</v>
      </c>
      <c r="B293" s="158" t="s">
        <v>8</v>
      </c>
      <c r="C293" s="158" t="s">
        <f>"吴玉杰"</f>
        <v>578</v>
      </c>
      <c r="D293" s="158" t="s">
        <f>"15010111021"</f>
        <v>579</v>
      </c>
      <c r="E293" s="158" t="s">
        <v>15</v>
      </c>
      <c r="F293" s="158"/>
      <c r="G293" s="158" t="s">
        <v>15</v>
      </c>
    </row>
    <row r="294" spans="1:7" ht="32.999496" customHeight="1" x14ac:dyDescent="0.15">
      <c r="A294" s="158">
        <v>292.0</v>
      </c>
      <c r="B294" s="158" t="s">
        <v>8</v>
      </c>
      <c r="C294" s="158" t="s">
        <f>"张校校"</f>
        <v>580</v>
      </c>
      <c r="D294" s="158" t="s">
        <f>"15010111022"</f>
        <v>581</v>
      </c>
      <c r="E294" s="158" t="s">
        <v>15</v>
      </c>
      <c r="F294" s="158"/>
      <c r="G294" s="158" t="s">
        <v>15</v>
      </c>
    </row>
    <row r="295" spans="1:7" ht="32.999496" customHeight="1" x14ac:dyDescent="0.15">
      <c r="A295" s="158">
        <v>293.0</v>
      </c>
      <c r="B295" s="158" t="s">
        <v>8</v>
      </c>
      <c r="C295" s="158" t="s">
        <f>"李娟"</f>
        <v>582</v>
      </c>
      <c r="D295" s="158" t="s">
        <f>"15010111023"</f>
        <v>583</v>
      </c>
      <c r="E295" s="158">
        <v>61.48</v>
      </c>
      <c r="F295" s="158"/>
      <c r="G295" s="158">
        <v>61.48</v>
      </c>
    </row>
    <row r="296" spans="1:7" ht="32.999496" customHeight="1" x14ac:dyDescent="0.15">
      <c r="A296" s="158">
        <v>294.0</v>
      </c>
      <c r="B296" s="158" t="s">
        <v>8</v>
      </c>
      <c r="C296" s="158" t="s">
        <f>"李艳莹"</f>
        <v>584</v>
      </c>
      <c r="D296" s="158" t="s">
        <f>"15010111024"</f>
        <v>585</v>
      </c>
      <c r="E296" s="158">
        <v>65.95</v>
      </c>
      <c r="F296" s="158"/>
      <c r="G296" s="158">
        <v>65.95</v>
      </c>
    </row>
    <row r="297" spans="1:7" ht="32.999496" customHeight="1" x14ac:dyDescent="0.15">
      <c r="A297" s="158">
        <v>295.0</v>
      </c>
      <c r="B297" s="158" t="s">
        <v>8</v>
      </c>
      <c r="C297" s="158" t="s">
        <f>"康斌"</f>
        <v>586</v>
      </c>
      <c r="D297" s="158" t="s">
        <f>"15010111025"</f>
        <v>587</v>
      </c>
      <c r="E297" s="158" t="s">
        <v>15</v>
      </c>
      <c r="F297" s="158"/>
      <c r="G297" s="158" t="s">
        <v>15</v>
      </c>
    </row>
    <row r="298" spans="1:7" ht="32.999496" customHeight="1" x14ac:dyDescent="0.15">
      <c r="A298" s="158">
        <v>296.0</v>
      </c>
      <c r="B298" s="158" t="s">
        <v>8</v>
      </c>
      <c r="C298" s="158" t="s">
        <f>"张春艳"</f>
        <v>588</v>
      </c>
      <c r="D298" s="158" t="s">
        <f>"15010111026"</f>
        <v>589</v>
      </c>
      <c r="E298" s="158">
        <v>64.89</v>
      </c>
      <c r="F298" s="158"/>
      <c r="G298" s="158">
        <v>64.89</v>
      </c>
    </row>
    <row r="299" spans="1:7" ht="32.999496" customHeight="1" x14ac:dyDescent="0.15">
      <c r="A299" s="158">
        <v>297.0</v>
      </c>
      <c r="B299" s="158" t="s">
        <v>8</v>
      </c>
      <c r="C299" s="158" t="s">
        <f>"曹慧"</f>
        <v>590</v>
      </c>
      <c r="D299" s="158" t="s">
        <f>"15010111027"</f>
        <v>591</v>
      </c>
      <c r="E299" s="158" t="s">
        <v>15</v>
      </c>
      <c r="F299" s="158"/>
      <c r="G299" s="158" t="s">
        <v>15</v>
      </c>
    </row>
    <row r="300" spans="1:7" ht="32.999496" customHeight="1" x14ac:dyDescent="0.15">
      <c r="A300" s="158">
        <v>298.0</v>
      </c>
      <c r="B300" s="158" t="s">
        <v>8</v>
      </c>
      <c r="C300" s="158" t="s">
        <f>"贺龙"</f>
        <v>22</v>
      </c>
      <c r="D300" s="158" t="s">
        <f>"15010111028"</f>
        <v>592</v>
      </c>
      <c r="E300" s="158">
        <v>57.1</v>
      </c>
      <c r="F300" s="158"/>
      <c r="G300" s="158">
        <v>57.1</v>
      </c>
    </row>
    <row r="301" spans="1:7" ht="32.999496" customHeight="1" x14ac:dyDescent="0.15">
      <c r="A301" s="158">
        <v>299.0</v>
      </c>
      <c r="B301" s="158" t="s">
        <v>8</v>
      </c>
      <c r="C301" s="158" t="s">
        <f>"蔺蓉"</f>
        <v>593</v>
      </c>
      <c r="D301" s="158" t="s">
        <f>"15010111029"</f>
        <v>594</v>
      </c>
      <c r="E301" s="158">
        <v>58.91</v>
      </c>
      <c r="F301" s="158"/>
      <c r="G301" s="158">
        <v>58.91</v>
      </c>
    </row>
    <row r="302" spans="1:7" ht="32.999496" customHeight="1" x14ac:dyDescent="0.15">
      <c r="A302" s="158">
        <v>300.0</v>
      </c>
      <c r="B302" s="158" t="s">
        <v>8</v>
      </c>
      <c r="C302" s="158" t="s">
        <f>"张春娜"</f>
        <v>595</v>
      </c>
      <c r="D302" s="158" t="s">
        <f>"15010111030"</f>
        <v>596</v>
      </c>
      <c r="E302" s="158">
        <v>46.370000000000005</v>
      </c>
      <c r="F302" s="158"/>
      <c r="G302" s="158">
        <v>46.370000000000005</v>
      </c>
    </row>
    <row r="303" spans="1:7" ht="32.999496" customHeight="1" x14ac:dyDescent="0.15">
      <c r="A303" s="158">
        <v>301.0</v>
      </c>
      <c r="B303" s="158" t="s">
        <v>8</v>
      </c>
      <c r="C303" s="158" t="s">
        <f>"訾腾"</f>
        <v>597</v>
      </c>
      <c r="D303" s="158" t="s">
        <f>"15010111101"</f>
        <v>598</v>
      </c>
      <c r="E303" s="158">
        <v>58.78</v>
      </c>
      <c r="F303" s="158"/>
      <c r="G303" s="158">
        <v>58.78</v>
      </c>
    </row>
    <row r="304" spans="1:7" ht="32.999496" customHeight="1" x14ac:dyDescent="0.15">
      <c r="A304" s="158">
        <v>302.0</v>
      </c>
      <c r="B304" s="158" t="s">
        <v>8</v>
      </c>
      <c r="C304" s="158" t="s">
        <f>"秦丽"</f>
        <v>599</v>
      </c>
      <c r="D304" s="158" t="s">
        <f>"15010111102"</f>
        <v>600</v>
      </c>
      <c r="E304" s="158" t="s">
        <v>15</v>
      </c>
      <c r="F304" s="158"/>
      <c r="G304" s="158" t="s">
        <v>15</v>
      </c>
    </row>
    <row r="305" spans="1:7" ht="32.999496" customHeight="1" x14ac:dyDescent="0.15">
      <c r="A305" s="158">
        <v>303.0</v>
      </c>
      <c r="B305" s="158" t="s">
        <v>8</v>
      </c>
      <c r="C305" s="158" t="s">
        <f>"李慧芳"</f>
        <v>601</v>
      </c>
      <c r="D305" s="158" t="s">
        <f>"15010111103"</f>
        <v>602</v>
      </c>
      <c r="E305" s="158">
        <v>58.97</v>
      </c>
      <c r="F305" s="158"/>
      <c r="G305" s="158">
        <v>58.97</v>
      </c>
    </row>
    <row r="306" spans="1:7" ht="32.999496" customHeight="1" x14ac:dyDescent="0.15">
      <c r="A306" s="158">
        <v>304.0</v>
      </c>
      <c r="B306" s="158" t="s">
        <v>8</v>
      </c>
      <c r="C306" s="158" t="s">
        <f>"杨雪峰"</f>
        <v>603</v>
      </c>
      <c r="D306" s="158" t="s">
        <f>"15010111104"</f>
        <v>604</v>
      </c>
      <c r="E306" s="158">
        <v>25.1</v>
      </c>
      <c r="F306" s="158"/>
      <c r="G306" s="158">
        <v>25.1</v>
      </c>
    </row>
    <row r="307" spans="1:7" ht="32.999496" customHeight="1" x14ac:dyDescent="0.15">
      <c r="A307" s="158">
        <v>305.0</v>
      </c>
      <c r="B307" s="158" t="s">
        <v>8</v>
      </c>
      <c r="C307" s="158" t="s">
        <f>"张建平"</f>
        <v>605</v>
      </c>
      <c r="D307" s="158" t="s">
        <f>"15010111105"</f>
        <v>606</v>
      </c>
      <c r="E307" s="158">
        <v>57.28</v>
      </c>
      <c r="F307" s="158"/>
      <c r="G307" s="158">
        <v>57.28</v>
      </c>
    </row>
    <row r="308" spans="1:7" ht="32.999496" customHeight="1" x14ac:dyDescent="0.15">
      <c r="A308" s="158">
        <v>306.0</v>
      </c>
      <c r="B308" s="158" t="s">
        <v>8</v>
      </c>
      <c r="C308" s="158" t="s">
        <f>"李雨"</f>
        <v>607</v>
      </c>
      <c r="D308" s="158" t="s">
        <f>"15010111106"</f>
        <v>608</v>
      </c>
      <c r="E308" s="158" t="s">
        <v>15</v>
      </c>
      <c r="F308" s="158"/>
      <c r="G308" s="158" t="s">
        <v>15</v>
      </c>
    </row>
    <row r="309" spans="1:7" ht="32.999496" customHeight="1" x14ac:dyDescent="0.15">
      <c r="A309" s="158">
        <v>307.0</v>
      </c>
      <c r="B309" s="158" t="s">
        <v>8</v>
      </c>
      <c r="C309" s="158" t="s">
        <f>"李娜"</f>
        <v>609</v>
      </c>
      <c r="D309" s="158" t="s">
        <f>"15010111107"</f>
        <v>610</v>
      </c>
      <c r="E309" s="158">
        <v>51.47</v>
      </c>
      <c r="F309" s="158"/>
      <c r="G309" s="158">
        <v>51.47</v>
      </c>
    </row>
    <row r="310" spans="1:7" ht="32.999496" customHeight="1" x14ac:dyDescent="0.15">
      <c r="A310" s="158">
        <v>308.0</v>
      </c>
      <c r="B310" s="158" t="s">
        <v>8</v>
      </c>
      <c r="C310" s="158" t="s">
        <f>"贾娜"</f>
        <v>611</v>
      </c>
      <c r="D310" s="158" t="s">
        <f>"15010111108"</f>
        <v>612</v>
      </c>
      <c r="E310" s="158">
        <v>64.89</v>
      </c>
      <c r="F310" s="158"/>
      <c r="G310" s="158">
        <v>64.89</v>
      </c>
    </row>
    <row r="311" spans="1:7" ht="32.999496" customHeight="1" x14ac:dyDescent="0.15">
      <c r="A311" s="158">
        <v>309.0</v>
      </c>
      <c r="B311" s="158" t="s">
        <v>8</v>
      </c>
      <c r="C311" s="158" t="s">
        <f>"贾可"</f>
        <v>613</v>
      </c>
      <c r="D311" s="158" t="s">
        <f>"15010111109"</f>
        <v>614</v>
      </c>
      <c r="E311" s="158">
        <v>74.6</v>
      </c>
      <c r="F311" s="158"/>
      <c r="G311" s="158">
        <v>74.6</v>
      </c>
    </row>
    <row r="312" spans="1:7" ht="32.999496" customHeight="1" x14ac:dyDescent="0.15">
      <c r="A312" s="158">
        <v>310.0</v>
      </c>
      <c r="B312" s="158" t="s">
        <v>8</v>
      </c>
      <c r="C312" s="158" t="s">
        <f>"郝璐"</f>
        <v>615</v>
      </c>
      <c r="D312" s="158" t="s">
        <f>"15010111110"</f>
        <v>616</v>
      </c>
      <c r="E312" s="158">
        <v>66.74000000000001</v>
      </c>
      <c r="F312" s="158"/>
      <c r="G312" s="158">
        <v>66.74000000000001</v>
      </c>
    </row>
    <row r="313" spans="1:7" ht="32.999496" customHeight="1" x14ac:dyDescent="0.15">
      <c r="A313" s="158">
        <v>311.0</v>
      </c>
      <c r="B313" s="158" t="s">
        <v>8</v>
      </c>
      <c r="C313" s="158" t="s">
        <f>"吴亚鑫"</f>
        <v>617</v>
      </c>
      <c r="D313" s="158" t="s">
        <f>"15010111111"</f>
        <v>618</v>
      </c>
      <c r="E313" s="158">
        <v>64.03999999999999</v>
      </c>
      <c r="F313" s="158"/>
      <c r="G313" s="158">
        <v>64.03999999999999</v>
      </c>
    </row>
    <row r="314" spans="1:7" ht="32.999496" customHeight="1" x14ac:dyDescent="0.15">
      <c r="A314" s="158">
        <v>312.0</v>
      </c>
      <c r="B314" s="158" t="s">
        <v>8</v>
      </c>
      <c r="C314" s="158" t="s">
        <f>"郭娜"</f>
        <v>619</v>
      </c>
      <c r="D314" s="158" t="s">
        <f>"15010111112"</f>
        <v>620</v>
      </c>
      <c r="E314" s="158">
        <v>58.35</v>
      </c>
      <c r="F314" s="158"/>
      <c r="G314" s="158">
        <v>58.35</v>
      </c>
    </row>
    <row r="315" spans="1:7" ht="32.999496" customHeight="1" x14ac:dyDescent="0.15">
      <c r="A315" s="158">
        <v>313.0</v>
      </c>
      <c r="B315" s="158" t="s">
        <v>8</v>
      </c>
      <c r="C315" s="158" t="s">
        <f>"张磊"</f>
        <v>621</v>
      </c>
      <c r="D315" s="158" t="s">
        <f>"15010111113"</f>
        <v>622</v>
      </c>
      <c r="E315" s="158">
        <v>60.92</v>
      </c>
      <c r="F315" s="158"/>
      <c r="G315" s="158">
        <v>60.92</v>
      </c>
    </row>
    <row r="316" spans="1:7" ht="32.999496" customHeight="1" x14ac:dyDescent="0.15">
      <c r="A316" s="158">
        <v>314.0</v>
      </c>
      <c r="B316" s="158" t="s">
        <v>8</v>
      </c>
      <c r="C316" s="158" t="s">
        <f>"丁愉深"</f>
        <v>623</v>
      </c>
      <c r="D316" s="158" t="s">
        <f>"15010111114"</f>
        <v>624</v>
      </c>
      <c r="E316" s="158">
        <v>62.88</v>
      </c>
      <c r="F316" s="158"/>
      <c r="G316" s="158">
        <v>62.88</v>
      </c>
    </row>
    <row r="317" spans="1:7" ht="32.999496" customHeight="1" x14ac:dyDescent="0.15">
      <c r="A317" s="158">
        <v>315.0</v>
      </c>
      <c r="B317" s="158" t="s">
        <v>8</v>
      </c>
      <c r="C317" s="158" t="s">
        <f>"牛峥"</f>
        <v>625</v>
      </c>
      <c r="D317" s="158" t="s">
        <f>"15010111115"</f>
        <v>626</v>
      </c>
      <c r="E317" s="158" t="s">
        <v>15</v>
      </c>
      <c r="F317" s="158"/>
      <c r="G317" s="158" t="s">
        <v>15</v>
      </c>
    </row>
    <row r="318" spans="1:7" ht="32.999496" customHeight="1" x14ac:dyDescent="0.15">
      <c r="A318" s="158">
        <v>316.0</v>
      </c>
      <c r="B318" s="158" t="s">
        <v>8</v>
      </c>
      <c r="C318" s="158" t="s">
        <f>"兰星宜"</f>
        <v>627</v>
      </c>
      <c r="D318" s="158" t="s">
        <f>"15010111116"</f>
        <v>628</v>
      </c>
      <c r="E318" s="158">
        <v>23.06</v>
      </c>
      <c r="F318" s="158"/>
      <c r="G318" s="158">
        <v>23.06</v>
      </c>
    </row>
    <row r="319" spans="1:7" ht="32.999496" customHeight="1" x14ac:dyDescent="0.15">
      <c r="A319" s="158">
        <v>317.0</v>
      </c>
      <c r="B319" s="158" t="s">
        <v>8</v>
      </c>
      <c r="C319" s="158" t="s">
        <f>"杨舜宇"</f>
        <v>629</v>
      </c>
      <c r="D319" s="158" t="s">
        <f>"15010111117"</f>
        <v>630</v>
      </c>
      <c r="E319" s="158" t="s">
        <v>15</v>
      </c>
      <c r="F319" s="158">
        <v>2.5</v>
      </c>
      <c r="G319" s="158" t="s">
        <v>15</v>
      </c>
    </row>
    <row r="320" spans="1:7" ht="32.999496" customHeight="1" x14ac:dyDescent="0.15">
      <c r="A320" s="158">
        <v>318.0</v>
      </c>
      <c r="B320" s="158" t="s">
        <v>8</v>
      </c>
      <c r="C320" s="158" t="s">
        <f>"陈岳林"</f>
        <v>631</v>
      </c>
      <c r="D320" s="158" t="s">
        <f>"15010111118"</f>
        <v>632</v>
      </c>
      <c r="E320" s="158" t="s">
        <v>15</v>
      </c>
      <c r="F320" s="158"/>
      <c r="G320" s="158" t="s">
        <v>15</v>
      </c>
    </row>
    <row r="321" spans="1:7" ht="32.999496" customHeight="1" x14ac:dyDescent="0.15">
      <c r="A321" s="158">
        <v>319.0</v>
      </c>
      <c r="B321" s="158" t="s">
        <v>8</v>
      </c>
      <c r="C321" s="158" t="s">
        <f>"王慧"</f>
        <v>180</v>
      </c>
      <c r="D321" s="158" t="s">
        <f>"15010111119"</f>
        <v>633</v>
      </c>
      <c r="E321" s="158">
        <v>56.7</v>
      </c>
      <c r="F321" s="158"/>
      <c r="G321" s="158">
        <v>56.7</v>
      </c>
    </row>
    <row r="322" spans="1:7" ht="32.999496" customHeight="1" x14ac:dyDescent="0.15">
      <c r="A322" s="158">
        <v>320.0</v>
      </c>
      <c r="B322" s="158" t="s">
        <v>8</v>
      </c>
      <c r="C322" s="158" t="s">
        <f>"张慧"</f>
        <v>634</v>
      </c>
      <c r="D322" s="158" t="s">
        <f>"15010111120"</f>
        <v>635</v>
      </c>
      <c r="E322" s="158">
        <v>51.94</v>
      </c>
      <c r="F322" s="158"/>
      <c r="G322" s="158">
        <v>51.94</v>
      </c>
    </row>
    <row r="323" spans="1:7" ht="32.999496" customHeight="1" x14ac:dyDescent="0.15">
      <c r="A323" s="158">
        <v>321.0</v>
      </c>
      <c r="B323" s="158" t="s">
        <v>8</v>
      </c>
      <c r="C323" s="158" t="s">
        <f>"刘慧军"</f>
        <v>636</v>
      </c>
      <c r="D323" s="158" t="s">
        <f>"15010111121"</f>
        <v>637</v>
      </c>
      <c r="E323" s="158">
        <v>45.480000000000004</v>
      </c>
      <c r="F323" s="158"/>
      <c r="G323" s="158">
        <v>45.480000000000004</v>
      </c>
    </row>
    <row r="324" spans="1:7" ht="32.999496" customHeight="1" x14ac:dyDescent="0.15">
      <c r="A324" s="158">
        <v>322.0</v>
      </c>
      <c r="B324" s="158" t="s">
        <v>8</v>
      </c>
      <c r="C324" s="158" t="s">
        <f>"孙鹏"</f>
        <v>638</v>
      </c>
      <c r="D324" s="158" t="s">
        <f>"15010111122"</f>
        <v>639</v>
      </c>
      <c r="E324" s="158">
        <v>54.53</v>
      </c>
      <c r="F324" s="158"/>
      <c r="G324" s="158">
        <v>54.53</v>
      </c>
    </row>
    <row r="325" spans="1:7" ht="32.999496" customHeight="1" x14ac:dyDescent="0.15">
      <c r="A325" s="158">
        <v>323.0</v>
      </c>
      <c r="B325" s="158" t="s">
        <v>8</v>
      </c>
      <c r="C325" s="158" t="s">
        <f>"张妤婕"</f>
        <v>640</v>
      </c>
      <c r="D325" s="158" t="s">
        <f>"15010111123"</f>
        <v>641</v>
      </c>
      <c r="E325" s="158">
        <v>49.47</v>
      </c>
      <c r="F325" s="158"/>
      <c r="G325" s="158">
        <v>49.47</v>
      </c>
    </row>
    <row r="326" spans="1:7" ht="32.999496" customHeight="1" x14ac:dyDescent="0.15">
      <c r="A326" s="158">
        <v>324.0</v>
      </c>
      <c r="B326" s="158" t="s">
        <v>8</v>
      </c>
      <c r="C326" s="158" t="s">
        <f>"王赫乾"</f>
        <v>642</v>
      </c>
      <c r="D326" s="158" t="s">
        <f>"15010111124"</f>
        <v>643</v>
      </c>
      <c r="E326" s="158" t="s">
        <v>15</v>
      </c>
      <c r="F326" s="158"/>
      <c r="G326" s="158" t="s">
        <v>15</v>
      </c>
    </row>
    <row r="327" spans="1:7" ht="32.999496" customHeight="1" x14ac:dyDescent="0.15">
      <c r="A327" s="158">
        <v>325.0</v>
      </c>
      <c r="B327" s="158" t="s">
        <v>8</v>
      </c>
      <c r="C327" s="158" t="s">
        <f>"乌日汗"</f>
        <v>644</v>
      </c>
      <c r="D327" s="158" t="s">
        <f>"15010111125"</f>
        <v>645</v>
      </c>
      <c r="E327" s="158">
        <v>62.58</v>
      </c>
      <c r="F327" s="158">
        <v>2.5</v>
      </c>
      <c r="G327" s="158">
        <v>65.08</v>
      </c>
    </row>
    <row r="328" spans="1:7" ht="32.999496" customHeight="1" x14ac:dyDescent="0.15">
      <c r="A328" s="158">
        <v>326.0</v>
      </c>
      <c r="B328" s="158" t="s">
        <v>8</v>
      </c>
      <c r="C328" s="158" t="s">
        <f>"郭媛"</f>
        <v>646</v>
      </c>
      <c r="D328" s="158" t="s">
        <f>"15010111126"</f>
        <v>647</v>
      </c>
      <c r="E328" s="158">
        <v>60.68</v>
      </c>
      <c r="F328" s="158"/>
      <c r="G328" s="158">
        <v>60.68</v>
      </c>
    </row>
    <row r="329" spans="1:7" ht="32.999496" customHeight="1" x14ac:dyDescent="0.15">
      <c r="A329" s="158">
        <v>327.0</v>
      </c>
      <c r="B329" s="158" t="s">
        <v>8</v>
      </c>
      <c r="C329" s="158" t="s">
        <f>"张作宇"</f>
        <v>648</v>
      </c>
      <c r="D329" s="158" t="s">
        <f>"15010111127"</f>
        <v>649</v>
      </c>
      <c r="E329" s="158" t="s">
        <v>15</v>
      </c>
      <c r="F329" s="158"/>
      <c r="G329" s="158" t="s">
        <v>15</v>
      </c>
    </row>
    <row r="330" spans="1:7" ht="32.999496" customHeight="1" x14ac:dyDescent="0.15">
      <c r="A330" s="158">
        <v>328.0</v>
      </c>
      <c r="B330" s="158" t="s">
        <v>8</v>
      </c>
      <c r="C330" s="158" t="s">
        <f>"白鹏"</f>
        <v>650</v>
      </c>
      <c r="D330" s="158" t="s">
        <f>"15010111128"</f>
        <v>651</v>
      </c>
      <c r="E330" s="158">
        <v>56.07</v>
      </c>
      <c r="F330" s="158">
        <v>2.5</v>
      </c>
      <c r="G330" s="158">
        <v>58.57</v>
      </c>
    </row>
    <row r="331" spans="1:7" ht="32.999496" customHeight="1" x14ac:dyDescent="0.15">
      <c r="A331" s="158">
        <v>329.0</v>
      </c>
      <c r="B331" s="158" t="s">
        <v>8</v>
      </c>
      <c r="C331" s="158" t="s">
        <f>"孟欢"</f>
        <v>652</v>
      </c>
      <c r="D331" s="158" t="s">
        <f>"15010111129"</f>
        <v>653</v>
      </c>
      <c r="E331" s="158">
        <v>56.12</v>
      </c>
      <c r="F331" s="158"/>
      <c r="G331" s="158">
        <v>56.12</v>
      </c>
    </row>
    <row r="332" spans="1:7" ht="32.999496" customHeight="1" x14ac:dyDescent="0.15">
      <c r="A332" s="158">
        <v>330.0</v>
      </c>
      <c r="B332" s="158" t="s">
        <v>8</v>
      </c>
      <c r="C332" s="158" t="s">
        <f>"尚磊"</f>
        <v>654</v>
      </c>
      <c r="D332" s="158" t="s">
        <f>"15010111130"</f>
        <v>655</v>
      </c>
      <c r="E332" s="158">
        <v>48.95</v>
      </c>
      <c r="F332" s="158"/>
      <c r="G332" s="158">
        <v>48.95</v>
      </c>
    </row>
    <row r="333" spans="1:7" ht="32.999496" customHeight="1" x14ac:dyDescent="0.15">
      <c r="A333" s="158">
        <v>331.0</v>
      </c>
      <c r="B333" s="158" t="s">
        <v>8</v>
      </c>
      <c r="C333" s="158" t="s">
        <f>"白欢力"</f>
        <v>656</v>
      </c>
      <c r="D333" s="158" t="s">
        <f>"15010111201"</f>
        <v>657</v>
      </c>
      <c r="E333" s="158">
        <v>58.21</v>
      </c>
      <c r="F333" s="158"/>
      <c r="G333" s="158">
        <v>58.21</v>
      </c>
    </row>
    <row r="334" spans="1:7" ht="32.999496" customHeight="1" x14ac:dyDescent="0.15">
      <c r="A334" s="158">
        <v>332.0</v>
      </c>
      <c r="B334" s="158" t="s">
        <v>8</v>
      </c>
      <c r="C334" s="158" t="s">
        <f>"郭敏"</f>
        <v>658</v>
      </c>
      <c r="D334" s="158" t="s">
        <f>"15010111202"</f>
        <v>659</v>
      </c>
      <c r="E334" s="158">
        <v>54.14</v>
      </c>
      <c r="F334" s="158"/>
      <c r="G334" s="158">
        <v>54.14</v>
      </c>
    </row>
    <row r="335" spans="1:7" ht="32.999496" customHeight="1" x14ac:dyDescent="0.15">
      <c r="A335" s="158">
        <v>333.0</v>
      </c>
      <c r="B335" s="158" t="s">
        <v>8</v>
      </c>
      <c r="C335" s="158" t="s">
        <f>"王伟"</f>
        <v>660</v>
      </c>
      <c r="D335" s="158" t="s">
        <f>"15010111203"</f>
        <v>661</v>
      </c>
      <c r="E335" s="158">
        <v>53.35</v>
      </c>
      <c r="F335" s="158"/>
      <c r="G335" s="158">
        <v>53.35</v>
      </c>
    </row>
    <row r="336" spans="1:7" ht="32.999496" customHeight="1" x14ac:dyDescent="0.15">
      <c r="A336" s="158">
        <v>334.0</v>
      </c>
      <c r="B336" s="158" t="s">
        <v>8</v>
      </c>
      <c r="C336" s="158" t="s">
        <f>"李鹏"</f>
        <v>662</v>
      </c>
      <c r="D336" s="158" t="s">
        <f>"15010111204"</f>
        <v>663</v>
      </c>
      <c r="E336" s="158" t="s">
        <v>15</v>
      </c>
      <c r="F336" s="158"/>
      <c r="G336" s="158" t="s">
        <v>15</v>
      </c>
    </row>
    <row r="337" spans="1:7" ht="32.999496" customHeight="1" x14ac:dyDescent="0.15">
      <c r="A337" s="158">
        <v>335.0</v>
      </c>
      <c r="B337" s="158" t="s">
        <v>8</v>
      </c>
      <c r="C337" s="158" t="s">
        <f>"苏荣"</f>
        <v>664</v>
      </c>
      <c r="D337" s="158" t="s">
        <f>"15010111205"</f>
        <v>665</v>
      </c>
      <c r="E337" s="158">
        <v>56.16</v>
      </c>
      <c r="F337" s="158"/>
      <c r="G337" s="158">
        <v>56.16</v>
      </c>
    </row>
    <row r="338" spans="1:7" ht="32.999496" customHeight="1" x14ac:dyDescent="0.15">
      <c r="A338" s="158">
        <v>336.0</v>
      </c>
      <c r="B338" s="158" t="s">
        <v>8</v>
      </c>
      <c r="C338" s="158" t="s">
        <f>"高媛"</f>
        <v>666</v>
      </c>
      <c r="D338" s="158" t="s">
        <f>"15010111206"</f>
        <v>667</v>
      </c>
      <c r="E338" s="158" t="s">
        <v>15</v>
      </c>
      <c r="F338" s="158"/>
      <c r="G338" s="158" t="s">
        <v>15</v>
      </c>
    </row>
    <row r="339" spans="1:7" ht="32.999496" customHeight="1" x14ac:dyDescent="0.15">
      <c r="A339" s="158">
        <v>337.0</v>
      </c>
      <c r="B339" s="158" t="s">
        <v>8</v>
      </c>
      <c r="C339" s="158" t="s">
        <f>"杨宇玲"</f>
        <v>668</v>
      </c>
      <c r="D339" s="158" t="s">
        <f>"15010111207"</f>
        <v>669</v>
      </c>
      <c r="E339" s="158">
        <v>35.7</v>
      </c>
      <c r="F339" s="158"/>
      <c r="G339" s="158">
        <v>35.7</v>
      </c>
    </row>
    <row r="340" spans="1:7" ht="32.999496" customHeight="1" x14ac:dyDescent="0.15">
      <c r="A340" s="158">
        <v>338.0</v>
      </c>
      <c r="B340" s="158" t="s">
        <v>8</v>
      </c>
      <c r="C340" s="158" t="s">
        <f>"李中辉"</f>
        <v>670</v>
      </c>
      <c r="D340" s="158" t="s">
        <f>"15010111208"</f>
        <v>671</v>
      </c>
      <c r="E340" s="158">
        <v>49.6</v>
      </c>
      <c r="F340" s="158"/>
      <c r="G340" s="158">
        <v>49.6</v>
      </c>
    </row>
    <row r="341" spans="1:7" ht="32.999496" customHeight="1" x14ac:dyDescent="0.15">
      <c r="A341" s="158">
        <v>339.0</v>
      </c>
      <c r="B341" s="158" t="s">
        <v>8</v>
      </c>
      <c r="C341" s="158" t="s">
        <f>"张娜"</f>
        <v>32</v>
      </c>
      <c r="D341" s="158" t="s">
        <f>"15010111209"</f>
        <v>672</v>
      </c>
      <c r="E341" s="158">
        <v>56.34</v>
      </c>
      <c r="F341" s="158"/>
      <c r="G341" s="158">
        <v>56.34</v>
      </c>
    </row>
    <row r="342" spans="1:7" ht="32.999496" customHeight="1" x14ac:dyDescent="0.15">
      <c r="A342" s="158">
        <v>340.0</v>
      </c>
      <c r="B342" s="158" t="s">
        <v>8</v>
      </c>
      <c r="C342" s="158" t="s">
        <f>"乔敏"</f>
        <v>673</v>
      </c>
      <c r="D342" s="158" t="s">
        <f>"15010111210"</f>
        <v>674</v>
      </c>
      <c r="E342" s="158">
        <v>56.14</v>
      </c>
      <c r="F342" s="158"/>
      <c r="G342" s="158">
        <v>56.14</v>
      </c>
    </row>
    <row r="343" spans="1:7" ht="32.999496" customHeight="1" x14ac:dyDescent="0.15">
      <c r="A343" s="158">
        <v>341.0</v>
      </c>
      <c r="B343" s="158" t="s">
        <v>8</v>
      </c>
      <c r="C343" s="158" t="s">
        <f>"李慧姣"</f>
        <v>675</v>
      </c>
      <c r="D343" s="158" t="s">
        <f>"15010111211"</f>
        <v>676</v>
      </c>
      <c r="E343" s="158">
        <v>64.57</v>
      </c>
      <c r="F343" s="158"/>
      <c r="G343" s="158">
        <v>64.57</v>
      </c>
    </row>
    <row r="344" spans="1:7" ht="32.999496" customHeight="1" x14ac:dyDescent="0.15">
      <c r="A344" s="158">
        <v>342.0</v>
      </c>
      <c r="B344" s="158" t="s">
        <v>8</v>
      </c>
      <c r="C344" s="158" t="s">
        <f>"田瑞"</f>
        <v>677</v>
      </c>
      <c r="D344" s="158" t="s">
        <f>"15010111212"</f>
        <v>678</v>
      </c>
      <c r="E344" s="158">
        <v>65.22999999999999</v>
      </c>
      <c r="F344" s="158"/>
      <c r="G344" s="158">
        <v>65.22999999999999</v>
      </c>
    </row>
    <row r="345" spans="1:7" ht="32.999496" customHeight="1" x14ac:dyDescent="0.15">
      <c r="A345" s="158">
        <v>343.0</v>
      </c>
      <c r="B345" s="158" t="s">
        <v>8</v>
      </c>
      <c r="C345" s="158" t="s">
        <f>"肖娜"</f>
        <v>679</v>
      </c>
      <c r="D345" s="158" t="s">
        <f>"15010111213"</f>
        <v>680</v>
      </c>
      <c r="E345" s="158">
        <v>59.61</v>
      </c>
      <c r="F345" s="158"/>
      <c r="G345" s="158">
        <v>59.61</v>
      </c>
    </row>
    <row r="346" spans="1:7" ht="32.999496" customHeight="1" x14ac:dyDescent="0.15">
      <c r="A346" s="158">
        <v>344.0</v>
      </c>
      <c r="B346" s="158" t="s">
        <v>8</v>
      </c>
      <c r="C346" s="158" t="s">
        <f>"杨丹荣"</f>
        <v>681</v>
      </c>
      <c r="D346" s="158" t="s">
        <f>"15010111214"</f>
        <v>682</v>
      </c>
      <c r="E346" s="158" t="s">
        <v>15</v>
      </c>
      <c r="F346" s="158"/>
      <c r="G346" s="158" t="s">
        <v>15</v>
      </c>
    </row>
    <row r="347" spans="1:7" ht="32.999496" customHeight="1" x14ac:dyDescent="0.15">
      <c r="A347" s="158">
        <v>345.0</v>
      </c>
      <c r="B347" s="158" t="s">
        <v>8</v>
      </c>
      <c r="C347" s="158" t="s">
        <f>"马玮"</f>
        <v>683</v>
      </c>
      <c r="D347" s="158" t="s">
        <f>"15010111215"</f>
        <v>684</v>
      </c>
      <c r="E347" s="158" t="s">
        <v>15</v>
      </c>
      <c r="F347" s="158"/>
      <c r="G347" s="158" t="s">
        <v>15</v>
      </c>
    </row>
    <row r="348" spans="1:7" ht="32.999496" customHeight="1" x14ac:dyDescent="0.15">
      <c r="A348" s="158">
        <v>346.0</v>
      </c>
      <c r="B348" s="158" t="s">
        <v>8</v>
      </c>
      <c r="C348" s="158" t="s">
        <f>"杨宁"</f>
        <v>685</v>
      </c>
      <c r="D348" s="158" t="s">
        <f>"15010111216"</f>
        <v>686</v>
      </c>
      <c r="E348" s="158">
        <v>57.56</v>
      </c>
      <c r="F348" s="158"/>
      <c r="G348" s="158">
        <v>57.56</v>
      </c>
    </row>
    <row r="349" spans="1:7" ht="32.999496" customHeight="1" x14ac:dyDescent="0.15">
      <c r="A349" s="158">
        <v>347.0</v>
      </c>
      <c r="B349" s="158" t="s">
        <v>8</v>
      </c>
      <c r="C349" s="158" t="s">
        <f>"张好"</f>
        <v>687</v>
      </c>
      <c r="D349" s="158" t="s">
        <f>"15010111217"</f>
        <v>688</v>
      </c>
      <c r="E349" s="158">
        <v>58.96</v>
      </c>
      <c r="F349" s="158"/>
      <c r="G349" s="158">
        <v>58.96</v>
      </c>
    </row>
    <row r="350" spans="1:7" ht="32.999496" customHeight="1" x14ac:dyDescent="0.15">
      <c r="A350" s="158">
        <v>348.0</v>
      </c>
      <c r="B350" s="158" t="s">
        <v>8</v>
      </c>
      <c r="C350" s="158" t="s">
        <f>"白秀萍"</f>
        <v>689</v>
      </c>
      <c r="D350" s="158" t="s">
        <f>"15010111218"</f>
        <v>690</v>
      </c>
      <c r="E350" s="158">
        <v>54.6</v>
      </c>
      <c r="F350" s="158"/>
      <c r="G350" s="158">
        <v>54.6</v>
      </c>
    </row>
    <row r="351" spans="1:7" ht="32.999496" customHeight="1" x14ac:dyDescent="0.15">
      <c r="A351" s="158">
        <v>349.0</v>
      </c>
      <c r="B351" s="158" t="s">
        <v>8</v>
      </c>
      <c r="C351" s="158" t="s">
        <f>"杨媛媛"</f>
        <v>691</v>
      </c>
      <c r="D351" s="158" t="s">
        <f>"15010111219"</f>
        <v>692</v>
      </c>
      <c r="E351" s="158" t="s">
        <v>15</v>
      </c>
      <c r="F351" s="158"/>
      <c r="G351" s="158" t="s">
        <v>15</v>
      </c>
    </row>
    <row r="352" spans="1:7" ht="32.999496" customHeight="1" x14ac:dyDescent="0.15">
      <c r="A352" s="158">
        <v>350.0</v>
      </c>
      <c r="B352" s="158" t="s">
        <v>8</v>
      </c>
      <c r="C352" s="158" t="s">
        <f>"张存瑞"</f>
        <v>693</v>
      </c>
      <c r="D352" s="158" t="s">
        <f>"15010111220"</f>
        <v>694</v>
      </c>
      <c r="E352" s="158">
        <v>60.52</v>
      </c>
      <c r="F352" s="158"/>
      <c r="G352" s="158">
        <v>60.52</v>
      </c>
    </row>
    <row r="353" spans="1:7" ht="32.999496" customHeight="1" x14ac:dyDescent="0.15">
      <c r="A353" s="158">
        <v>351.0</v>
      </c>
      <c r="B353" s="158" t="s">
        <v>8</v>
      </c>
      <c r="C353" s="158" t="s">
        <f>"苏宇"</f>
        <v>695</v>
      </c>
      <c r="D353" s="158" t="s">
        <f>"15010111221"</f>
        <v>696</v>
      </c>
      <c r="E353" s="158" t="s">
        <v>15</v>
      </c>
      <c r="F353" s="158"/>
      <c r="G353" s="158" t="s">
        <v>15</v>
      </c>
    </row>
    <row r="354" spans="1:7" ht="32.999496" customHeight="1" x14ac:dyDescent="0.15">
      <c r="A354" s="158">
        <v>352.0</v>
      </c>
      <c r="B354" s="158" t="s">
        <v>8</v>
      </c>
      <c r="C354" s="158" t="s">
        <f>"张艳"</f>
        <v>199</v>
      </c>
      <c r="D354" s="158" t="s">
        <f>"15010111222"</f>
        <v>697</v>
      </c>
      <c r="E354" s="158" t="s">
        <v>15</v>
      </c>
      <c r="F354" s="158"/>
      <c r="G354" s="158" t="s">
        <v>15</v>
      </c>
    </row>
    <row r="355" spans="1:7" ht="32.999496" customHeight="1" x14ac:dyDescent="0.15">
      <c r="A355" s="158">
        <v>353.0</v>
      </c>
      <c r="B355" s="158" t="s">
        <v>8</v>
      </c>
      <c r="C355" s="158" t="s">
        <f>"王鑫宇"</f>
        <v>698</v>
      </c>
      <c r="D355" s="158" t="s">
        <f>"15010111223"</f>
        <v>699</v>
      </c>
      <c r="E355" s="158" t="s">
        <v>15</v>
      </c>
      <c r="F355" s="158"/>
      <c r="G355" s="158" t="s">
        <v>15</v>
      </c>
    </row>
    <row r="356" spans="1:7" ht="32.999496" customHeight="1" x14ac:dyDescent="0.15">
      <c r="A356" s="158">
        <v>354.0</v>
      </c>
      <c r="B356" s="158" t="s">
        <v>8</v>
      </c>
      <c r="C356" s="158" t="s">
        <f>"郝家卉"</f>
        <v>700</v>
      </c>
      <c r="D356" s="158" t="s">
        <f>"15010111224"</f>
        <v>701</v>
      </c>
      <c r="E356" s="158">
        <v>61.22</v>
      </c>
      <c r="F356" s="158"/>
      <c r="G356" s="158">
        <v>61.22</v>
      </c>
    </row>
    <row r="357" spans="1:7" ht="32.999496" customHeight="1" x14ac:dyDescent="0.15">
      <c r="A357" s="158">
        <v>355.0</v>
      </c>
      <c r="B357" s="158" t="s">
        <v>8</v>
      </c>
      <c r="C357" s="158" t="s">
        <f>"武鑫"</f>
        <v>132</v>
      </c>
      <c r="D357" s="158" t="s">
        <f>"15010111225"</f>
        <v>702</v>
      </c>
      <c r="E357" s="158" t="s">
        <v>15</v>
      </c>
      <c r="F357" s="158"/>
      <c r="G357" s="158" t="s">
        <v>15</v>
      </c>
    </row>
    <row r="358" spans="1:7" ht="32.999496" customHeight="1" x14ac:dyDescent="0.15">
      <c r="A358" s="158">
        <v>356.0</v>
      </c>
      <c r="B358" s="158" t="s">
        <v>8</v>
      </c>
      <c r="C358" s="158" t="s">
        <f>"王娟"</f>
        <v>703</v>
      </c>
      <c r="D358" s="158" t="s">
        <f>"15010111226"</f>
        <v>704</v>
      </c>
      <c r="E358" s="158">
        <v>47.97</v>
      </c>
      <c r="F358" s="158"/>
      <c r="G358" s="158">
        <v>47.97</v>
      </c>
    </row>
    <row r="359" spans="1:7" ht="32.999496" customHeight="1" x14ac:dyDescent="0.15">
      <c r="A359" s="158">
        <v>357.0</v>
      </c>
      <c r="B359" s="158" t="s">
        <v>8</v>
      </c>
      <c r="C359" s="158" t="s">
        <f>"崔慧"</f>
        <v>705</v>
      </c>
      <c r="D359" s="158" t="s">
        <f>"15010111227"</f>
        <v>706</v>
      </c>
      <c r="E359" s="158" t="s">
        <v>15</v>
      </c>
      <c r="F359" s="158"/>
      <c r="G359" s="158" t="s">
        <v>15</v>
      </c>
    </row>
    <row r="360" spans="1:7" ht="32.999496" customHeight="1" x14ac:dyDescent="0.15">
      <c r="A360" s="158">
        <v>358.0</v>
      </c>
      <c r="B360" s="158" t="s">
        <v>8</v>
      </c>
      <c r="C360" s="158" t="s">
        <f>"陈慧"</f>
        <v>707</v>
      </c>
      <c r="D360" s="158" t="s">
        <f>"15010111228"</f>
        <v>708</v>
      </c>
      <c r="E360" s="158">
        <v>63.78</v>
      </c>
      <c r="F360" s="158"/>
      <c r="G360" s="158">
        <v>63.78</v>
      </c>
    </row>
    <row r="361" spans="1:7" ht="32.999496" customHeight="1" x14ac:dyDescent="0.15">
      <c r="A361" s="158">
        <v>359.0</v>
      </c>
      <c r="B361" s="158" t="s">
        <v>8</v>
      </c>
      <c r="C361" s="158" t="s">
        <f>"王彬霖"</f>
        <v>709</v>
      </c>
      <c r="D361" s="158" t="s">
        <f>"15010111229"</f>
        <v>710</v>
      </c>
      <c r="E361" s="158" t="s">
        <v>15</v>
      </c>
      <c r="F361" s="158"/>
      <c r="G361" s="158" t="s">
        <v>15</v>
      </c>
    </row>
    <row r="362" spans="1:7" ht="32.999496" customHeight="1" x14ac:dyDescent="0.15">
      <c r="A362" s="158">
        <v>360.0</v>
      </c>
      <c r="B362" s="158" t="s">
        <v>8</v>
      </c>
      <c r="C362" s="158" t="s">
        <f>"杨慧"</f>
        <v>491</v>
      </c>
      <c r="D362" s="158" t="s">
        <f>"15010111230"</f>
        <v>711</v>
      </c>
      <c r="E362" s="158">
        <v>53.03</v>
      </c>
      <c r="F362" s="158"/>
      <c r="G362" s="158">
        <v>53.03</v>
      </c>
    </row>
    <row r="363" spans="1:7" ht="32.999496" customHeight="1" x14ac:dyDescent="0.15">
      <c r="A363" s="158">
        <v>361.0</v>
      </c>
      <c r="B363" s="158" t="s">
        <v>8</v>
      </c>
      <c r="C363" s="158" t="s">
        <f>"袁艳萍"</f>
        <v>712</v>
      </c>
      <c r="D363" s="158" t="s">
        <f>"15010111301"</f>
        <v>713</v>
      </c>
      <c r="E363" s="158">
        <v>49.42</v>
      </c>
      <c r="F363" s="158"/>
      <c r="G363" s="158">
        <v>49.42</v>
      </c>
    </row>
    <row r="364" spans="1:7" ht="32.999496" customHeight="1" x14ac:dyDescent="0.15">
      <c r="A364" s="158">
        <v>362.0</v>
      </c>
      <c r="B364" s="158" t="s">
        <v>8</v>
      </c>
      <c r="C364" s="158" t="s">
        <f>"李圆浩"</f>
        <v>714</v>
      </c>
      <c r="D364" s="158" t="s">
        <f>"15010111302"</f>
        <v>715</v>
      </c>
      <c r="E364" s="158">
        <v>58.45</v>
      </c>
      <c r="F364" s="158"/>
      <c r="G364" s="158">
        <v>58.45</v>
      </c>
    </row>
    <row r="365" spans="1:7" ht="32.999496" customHeight="1" x14ac:dyDescent="0.15">
      <c r="A365" s="158">
        <v>363.0</v>
      </c>
      <c r="B365" s="158" t="s">
        <v>8</v>
      </c>
      <c r="C365" s="158" t="s">
        <f>"王陛臣"</f>
        <v>716</v>
      </c>
      <c r="D365" s="158" t="s">
        <f>"15010111303"</f>
        <v>717</v>
      </c>
      <c r="E365" s="158">
        <v>57.8</v>
      </c>
      <c r="F365" s="158"/>
      <c r="G365" s="158">
        <v>57.8</v>
      </c>
    </row>
    <row r="366" spans="1:7" ht="32.999496" customHeight="1" x14ac:dyDescent="0.15">
      <c r="A366" s="158">
        <v>364.0</v>
      </c>
      <c r="B366" s="158" t="s">
        <v>8</v>
      </c>
      <c r="C366" s="158" t="s">
        <f>"李娜"</f>
        <v>609</v>
      </c>
      <c r="D366" s="158" t="s">
        <f>"15010111304"</f>
        <v>718</v>
      </c>
      <c r="E366" s="158">
        <v>67.7</v>
      </c>
      <c r="F366" s="158"/>
      <c r="G366" s="158">
        <v>67.7</v>
      </c>
    </row>
    <row r="367" spans="1:7" ht="32.999496" customHeight="1" x14ac:dyDescent="0.15">
      <c r="A367" s="158">
        <v>365.0</v>
      </c>
      <c r="B367" s="158" t="s">
        <v>8</v>
      </c>
      <c r="C367" s="158" t="s">
        <f>"刘佳宁"</f>
        <v>719</v>
      </c>
      <c r="D367" s="158" t="s">
        <f>"15010111305"</f>
        <v>720</v>
      </c>
      <c r="E367" s="158">
        <v>55.71</v>
      </c>
      <c r="F367" s="158"/>
      <c r="G367" s="158">
        <v>55.71</v>
      </c>
    </row>
    <row r="368" spans="1:7" ht="32.999496" customHeight="1" x14ac:dyDescent="0.15">
      <c r="A368" s="158">
        <v>366.0</v>
      </c>
      <c r="B368" s="158" t="s">
        <v>8</v>
      </c>
      <c r="C368" s="158" t="s">
        <f>"呼云霞"</f>
        <v>721</v>
      </c>
      <c r="D368" s="158" t="s">
        <f>"15010111306"</f>
        <v>722</v>
      </c>
      <c r="E368" s="158" t="s">
        <v>15</v>
      </c>
      <c r="F368" s="158"/>
      <c r="G368" s="158" t="s">
        <v>15</v>
      </c>
    </row>
    <row r="369" spans="1:7" ht="32.999496" customHeight="1" x14ac:dyDescent="0.15">
      <c r="A369" s="158">
        <v>367.0</v>
      </c>
      <c r="B369" s="158" t="s">
        <v>8</v>
      </c>
      <c r="C369" s="158" t="s">
        <f>"耿小宇"</f>
        <v>723</v>
      </c>
      <c r="D369" s="158" t="s">
        <f>"15010111307"</f>
        <v>724</v>
      </c>
      <c r="E369" s="158">
        <v>66.06</v>
      </c>
      <c r="F369" s="158"/>
      <c r="G369" s="158">
        <v>66.06</v>
      </c>
    </row>
    <row r="370" spans="1:7" ht="32.999496" customHeight="1" x14ac:dyDescent="0.15">
      <c r="A370" s="158">
        <v>368.0</v>
      </c>
      <c r="B370" s="158" t="s">
        <v>8</v>
      </c>
      <c r="C370" s="158" t="s">
        <f>"乔巍"</f>
        <v>725</v>
      </c>
      <c r="D370" s="158" t="s">
        <f>"15010111308"</f>
        <v>726</v>
      </c>
      <c r="E370" s="158">
        <v>57.07</v>
      </c>
      <c r="F370" s="158"/>
      <c r="G370" s="158">
        <v>57.07</v>
      </c>
    </row>
    <row r="371" spans="1:7" ht="32.999496" customHeight="1" x14ac:dyDescent="0.15">
      <c r="A371" s="158">
        <v>369.0</v>
      </c>
      <c r="B371" s="158" t="s">
        <v>8</v>
      </c>
      <c r="C371" s="158" t="s">
        <f>"黄倩"</f>
        <v>727</v>
      </c>
      <c r="D371" s="158" t="s">
        <f>"15010111309"</f>
        <v>728</v>
      </c>
      <c r="E371" s="158">
        <v>58.03</v>
      </c>
      <c r="F371" s="158">
        <v>2.5</v>
      </c>
      <c r="G371" s="158">
        <v>60.53</v>
      </c>
    </row>
    <row r="372" spans="1:7" ht="32.999496" customHeight="1" x14ac:dyDescent="0.15">
      <c r="A372" s="158">
        <v>370.0</v>
      </c>
      <c r="B372" s="158" t="s">
        <v>8</v>
      </c>
      <c r="C372" s="158" t="s">
        <f>"宋娜"</f>
        <v>729</v>
      </c>
      <c r="D372" s="158" t="s">
        <f>"15010111310"</f>
        <v>730</v>
      </c>
      <c r="E372" s="158" t="s">
        <v>15</v>
      </c>
      <c r="F372" s="158"/>
      <c r="G372" s="158" t="s">
        <v>15</v>
      </c>
    </row>
    <row r="373" spans="1:7" ht="32.999496" customHeight="1" x14ac:dyDescent="0.15">
      <c r="A373" s="158">
        <v>371.0</v>
      </c>
      <c r="B373" s="158" t="s">
        <v>8</v>
      </c>
      <c r="C373" s="158" t="s">
        <f>"鲍燕"</f>
        <v>731</v>
      </c>
      <c r="D373" s="158" t="s">
        <f>"15010111311"</f>
        <v>732</v>
      </c>
      <c r="E373" s="158" t="s">
        <v>15</v>
      </c>
      <c r="F373" s="158"/>
      <c r="G373" s="158" t="s">
        <v>15</v>
      </c>
    </row>
    <row r="374" spans="1:7" ht="32.999496" customHeight="1" x14ac:dyDescent="0.15">
      <c r="A374" s="158">
        <v>372.0</v>
      </c>
      <c r="B374" s="158" t="s">
        <v>8</v>
      </c>
      <c r="C374" s="158" t="s">
        <f>"闫金龙"</f>
        <v>733</v>
      </c>
      <c r="D374" s="158" t="s">
        <f>"15010111312"</f>
        <v>734</v>
      </c>
      <c r="E374" s="158">
        <v>56.15</v>
      </c>
      <c r="F374" s="158">
        <v>2.5</v>
      </c>
      <c r="G374" s="158">
        <v>58.65</v>
      </c>
    </row>
    <row r="375" spans="1:7" ht="32.999496" customHeight="1" x14ac:dyDescent="0.15">
      <c r="A375" s="158">
        <v>373.0</v>
      </c>
      <c r="B375" s="158" t="s">
        <v>8</v>
      </c>
      <c r="C375" s="158" t="s">
        <f>"胡秀兰"</f>
        <v>735</v>
      </c>
      <c r="D375" s="158" t="s">
        <f>"15010111313"</f>
        <v>736</v>
      </c>
      <c r="E375" s="158" t="s">
        <v>15</v>
      </c>
      <c r="F375" s="158">
        <v>2.5</v>
      </c>
      <c r="G375" s="158" t="s">
        <v>15</v>
      </c>
    </row>
    <row r="376" spans="1:7" ht="32.999496" customHeight="1" x14ac:dyDescent="0.15">
      <c r="A376" s="158">
        <v>374.0</v>
      </c>
      <c r="B376" s="158" t="s">
        <v>8</v>
      </c>
      <c r="C376" s="158" t="s">
        <f>"马庭"</f>
        <v>737</v>
      </c>
      <c r="D376" s="158" t="s">
        <f>"15010111314"</f>
        <v>738</v>
      </c>
      <c r="E376" s="158">
        <v>51.980000000000004</v>
      </c>
      <c r="F376" s="158"/>
      <c r="G376" s="158">
        <v>51.980000000000004</v>
      </c>
    </row>
    <row r="377" spans="1:7" ht="32.999496" customHeight="1" x14ac:dyDescent="0.15">
      <c r="A377" s="158">
        <v>375.0</v>
      </c>
      <c r="B377" s="158" t="s">
        <v>8</v>
      </c>
      <c r="C377" s="158" t="s">
        <f>"杨柳"</f>
        <v>290</v>
      </c>
      <c r="D377" s="158" t="s">
        <f>"15010111315"</f>
        <v>739</v>
      </c>
      <c r="E377" s="158">
        <v>59.53</v>
      </c>
      <c r="F377" s="158"/>
      <c r="G377" s="158">
        <v>59.53</v>
      </c>
    </row>
    <row r="378" spans="1:7" ht="32.999496" customHeight="1" x14ac:dyDescent="0.15">
      <c r="A378" s="158">
        <v>376.0</v>
      </c>
      <c r="B378" s="158" t="s">
        <v>8</v>
      </c>
      <c r="C378" s="158" t="s">
        <f>"高浩宇"</f>
        <v>740</v>
      </c>
      <c r="D378" s="158" t="s">
        <f>"15010111316"</f>
        <v>741</v>
      </c>
      <c r="E378" s="158">
        <v>52.39</v>
      </c>
      <c r="F378" s="158"/>
      <c r="G378" s="158">
        <v>52.39</v>
      </c>
    </row>
    <row r="379" spans="1:7" ht="32.999496" customHeight="1" x14ac:dyDescent="0.15">
      <c r="A379" s="158">
        <v>377.0</v>
      </c>
      <c r="B379" s="158" t="s">
        <v>8</v>
      </c>
      <c r="C379" s="158" t="s">
        <f>"朱鹏智"</f>
        <v>742</v>
      </c>
      <c r="D379" s="158" t="s">
        <f>"15010111317"</f>
        <v>743</v>
      </c>
      <c r="E379" s="158">
        <v>52.96</v>
      </c>
      <c r="F379" s="158"/>
      <c r="G379" s="158">
        <v>52.96</v>
      </c>
    </row>
    <row r="380" spans="1:7" ht="32.999496" customHeight="1" x14ac:dyDescent="0.15">
      <c r="A380" s="158">
        <v>378.0</v>
      </c>
      <c r="B380" s="158" t="s">
        <v>8</v>
      </c>
      <c r="C380" s="158" t="s">
        <f>"高晓慧"</f>
        <v>744</v>
      </c>
      <c r="D380" s="158" t="s">
        <f>"15010111318"</f>
        <v>745</v>
      </c>
      <c r="E380" s="158" t="s">
        <v>15</v>
      </c>
      <c r="F380" s="158"/>
      <c r="G380" s="158" t="s">
        <v>15</v>
      </c>
    </row>
    <row r="381" spans="1:7" ht="32.999496" customHeight="1" x14ac:dyDescent="0.15">
      <c r="A381" s="158">
        <v>379.0</v>
      </c>
      <c r="B381" s="158" t="s">
        <v>8</v>
      </c>
      <c r="C381" s="158" t="s">
        <f>"马颢荣"</f>
        <v>746</v>
      </c>
      <c r="D381" s="158" t="s">
        <f>"15010111319"</f>
        <v>747</v>
      </c>
      <c r="E381" s="158">
        <v>60.67</v>
      </c>
      <c r="F381" s="158"/>
      <c r="G381" s="158">
        <v>60.67</v>
      </c>
    </row>
    <row r="382" spans="1:7" ht="32.999496" customHeight="1" x14ac:dyDescent="0.15">
      <c r="A382" s="158">
        <v>380.0</v>
      </c>
      <c r="B382" s="158" t="s">
        <v>8</v>
      </c>
      <c r="C382" s="158" t="s">
        <f>"张娜"</f>
        <v>32</v>
      </c>
      <c r="D382" s="158" t="s">
        <f>"15010111320"</f>
        <v>748</v>
      </c>
      <c r="E382" s="158">
        <v>60.37</v>
      </c>
      <c r="F382" s="158"/>
      <c r="G382" s="158">
        <v>60.37</v>
      </c>
    </row>
    <row r="383" spans="1:7" ht="32.999496" customHeight="1" x14ac:dyDescent="0.15">
      <c r="A383" s="158">
        <v>381.0</v>
      </c>
      <c r="B383" s="158" t="s">
        <v>8</v>
      </c>
      <c r="C383" s="158" t="s">
        <f>"李旭新"</f>
        <v>749</v>
      </c>
      <c r="D383" s="158" t="s">
        <f>"15010111321"</f>
        <v>750</v>
      </c>
      <c r="E383" s="158">
        <v>59.64</v>
      </c>
      <c r="F383" s="158"/>
      <c r="G383" s="158">
        <v>59.64</v>
      </c>
    </row>
    <row r="384" spans="1:7" ht="32.999496" customHeight="1" x14ac:dyDescent="0.15">
      <c r="A384" s="158">
        <v>382.0</v>
      </c>
      <c r="B384" s="158" t="s">
        <v>8</v>
      </c>
      <c r="C384" s="158" t="s">
        <f>"王晓婕"</f>
        <v>751</v>
      </c>
      <c r="D384" s="158" t="s">
        <f>"15010111322"</f>
        <v>752</v>
      </c>
      <c r="E384" s="158" t="s">
        <v>15</v>
      </c>
      <c r="F384" s="158"/>
      <c r="G384" s="158" t="s">
        <v>15</v>
      </c>
    </row>
    <row r="385" spans="1:7" ht="32.999496" customHeight="1" x14ac:dyDescent="0.15">
      <c r="A385" s="158">
        <v>383.0</v>
      </c>
      <c r="B385" s="158" t="s">
        <v>8</v>
      </c>
      <c r="C385" s="158" t="s">
        <f>"段瑞"</f>
        <v>753</v>
      </c>
      <c r="D385" s="158" t="s">
        <f>"15010111323"</f>
        <v>754</v>
      </c>
      <c r="E385" s="158">
        <v>52.93</v>
      </c>
      <c r="F385" s="158"/>
      <c r="G385" s="158">
        <v>52.93</v>
      </c>
    </row>
    <row r="386" spans="1:7" ht="32.999496" customHeight="1" x14ac:dyDescent="0.15">
      <c r="A386" s="158">
        <v>384.0</v>
      </c>
      <c r="B386" s="158" t="s">
        <v>8</v>
      </c>
      <c r="C386" s="158" t="s">
        <f>"弓伟"</f>
        <v>755</v>
      </c>
      <c r="D386" s="158" t="s">
        <f>"15010111324"</f>
        <v>756</v>
      </c>
      <c r="E386" s="158">
        <v>44.5</v>
      </c>
      <c r="F386" s="158">
        <v>2.5</v>
      </c>
      <c r="G386" s="158">
        <v>47</v>
      </c>
    </row>
    <row r="387" spans="1:7" ht="32.999496" customHeight="1" x14ac:dyDescent="0.15">
      <c r="A387" s="158">
        <v>385.0</v>
      </c>
      <c r="B387" s="158" t="s">
        <v>8</v>
      </c>
      <c r="C387" s="158" t="s">
        <f>"白雪"</f>
        <v>60</v>
      </c>
      <c r="D387" s="158" t="s">
        <f>"15010111325"</f>
        <v>757</v>
      </c>
      <c r="E387" s="158" t="s">
        <v>15</v>
      </c>
      <c r="F387" s="158"/>
      <c r="G387" s="158" t="s">
        <v>15</v>
      </c>
    </row>
    <row r="388" spans="1:7" ht="32.999496" customHeight="1" x14ac:dyDescent="0.15">
      <c r="A388" s="158">
        <v>386.0</v>
      </c>
      <c r="B388" s="158" t="s">
        <v>8</v>
      </c>
      <c r="C388" s="158" t="s">
        <f>"杨海霞"</f>
        <v>758</v>
      </c>
      <c r="D388" s="158" t="s">
        <f>"15010111326"</f>
        <v>759</v>
      </c>
      <c r="E388" s="158" t="s">
        <v>15</v>
      </c>
      <c r="F388" s="158"/>
      <c r="G388" s="158" t="s">
        <v>15</v>
      </c>
    </row>
    <row r="389" spans="1:7" ht="32.999496" customHeight="1" x14ac:dyDescent="0.15">
      <c r="A389" s="158">
        <v>387.0</v>
      </c>
      <c r="B389" s="158" t="s">
        <v>8</v>
      </c>
      <c r="C389" s="158" t="s">
        <f>"白桂莲"</f>
        <v>760</v>
      </c>
      <c r="D389" s="158" t="s">
        <f>"15010111327"</f>
        <v>761</v>
      </c>
      <c r="E389" s="158">
        <v>46.239999999999995</v>
      </c>
      <c r="F389" s="158"/>
      <c r="G389" s="158">
        <v>46.239999999999995</v>
      </c>
    </row>
    <row r="390" spans="1:7" ht="32.999496" customHeight="1" x14ac:dyDescent="0.15">
      <c r="A390" s="158">
        <v>388.0</v>
      </c>
      <c r="B390" s="158" t="s">
        <v>8</v>
      </c>
      <c r="C390" s="158" t="s">
        <f>"赵红艳"</f>
        <v>762</v>
      </c>
      <c r="D390" s="158" t="s">
        <f>"15010111328"</f>
        <v>763</v>
      </c>
      <c r="E390" s="158">
        <v>44</v>
      </c>
      <c r="F390" s="158"/>
      <c r="G390" s="158">
        <v>44</v>
      </c>
    </row>
    <row r="391" spans="1:7" ht="32.999496" customHeight="1" x14ac:dyDescent="0.15">
      <c r="A391" s="158">
        <v>389.0</v>
      </c>
      <c r="B391" s="158" t="s">
        <v>8</v>
      </c>
      <c r="C391" s="158" t="s">
        <f>"宋露敏"</f>
        <v>764</v>
      </c>
      <c r="D391" s="158" t="s">
        <f>"15010111329"</f>
        <v>765</v>
      </c>
      <c r="E391" s="158" t="s">
        <v>15</v>
      </c>
      <c r="F391" s="158"/>
      <c r="G391" s="158" t="s">
        <v>15</v>
      </c>
    </row>
    <row r="392" spans="1:7" ht="32.999496" customHeight="1" x14ac:dyDescent="0.15">
      <c r="A392" s="158">
        <v>390.0</v>
      </c>
      <c r="B392" s="158" t="s">
        <v>8</v>
      </c>
      <c r="C392" s="158" t="s">
        <f>"杜禹萱"</f>
        <v>766</v>
      </c>
      <c r="D392" s="158" t="s">
        <f>"15010111330"</f>
        <v>767</v>
      </c>
      <c r="E392" s="158">
        <v>62.28</v>
      </c>
      <c r="F392" s="158"/>
      <c r="G392" s="158">
        <v>62.28</v>
      </c>
    </row>
    <row r="393" spans="1:7" ht="32.999496" customHeight="1" x14ac:dyDescent="0.15">
      <c r="A393" s="158">
        <v>391.0</v>
      </c>
      <c r="B393" s="158" t="s">
        <v>8</v>
      </c>
      <c r="C393" s="158" t="s">
        <f>"杨艳"</f>
        <v>768</v>
      </c>
      <c r="D393" s="158" t="s">
        <f>"15010111401"</f>
        <v>769</v>
      </c>
      <c r="E393" s="158" t="s">
        <v>15</v>
      </c>
      <c r="F393" s="158"/>
      <c r="G393" s="158" t="s">
        <v>15</v>
      </c>
    </row>
    <row r="394" spans="1:7" ht="32.999496" customHeight="1" x14ac:dyDescent="0.15">
      <c r="A394" s="158">
        <v>392.0</v>
      </c>
      <c r="B394" s="158" t="s">
        <v>8</v>
      </c>
      <c r="C394" s="158" t="s">
        <f>"刘汇江"</f>
        <v>770</v>
      </c>
      <c r="D394" s="158" t="s">
        <f>"15010111402"</f>
        <v>771</v>
      </c>
      <c r="E394" s="158" t="s">
        <v>15</v>
      </c>
      <c r="F394" s="158"/>
      <c r="G394" s="158" t="s">
        <v>15</v>
      </c>
    </row>
    <row r="395" spans="1:7" ht="32.999496" customHeight="1" x14ac:dyDescent="0.15">
      <c r="A395" s="158">
        <v>393.0</v>
      </c>
      <c r="B395" s="158" t="s">
        <v>8</v>
      </c>
      <c r="C395" s="158" t="s">
        <f>"郝丽丽"</f>
        <v>772</v>
      </c>
      <c r="D395" s="158" t="s">
        <f>"15010111403"</f>
        <v>773</v>
      </c>
      <c r="E395" s="158">
        <v>56.25</v>
      </c>
      <c r="F395" s="158"/>
      <c r="G395" s="158">
        <v>56.25</v>
      </c>
    </row>
    <row r="396" spans="1:7" ht="32.999496" customHeight="1" x14ac:dyDescent="0.15">
      <c r="A396" s="158">
        <v>394.0</v>
      </c>
      <c r="B396" s="158" t="s">
        <v>8</v>
      </c>
      <c r="C396" s="158" t="s">
        <f>"武天天"</f>
        <v>774</v>
      </c>
      <c r="D396" s="158" t="s">
        <f>"15010111404"</f>
        <v>775</v>
      </c>
      <c r="E396" s="158">
        <v>51.129999999999995</v>
      </c>
      <c r="F396" s="158">
        <v>2.5</v>
      </c>
      <c r="G396" s="158">
        <v>53.629999999999995</v>
      </c>
    </row>
    <row r="397" spans="1:7" ht="32.999496" customHeight="1" x14ac:dyDescent="0.15">
      <c r="A397" s="158">
        <v>395.0</v>
      </c>
      <c r="B397" s="158" t="s">
        <v>8</v>
      </c>
      <c r="C397" s="158" t="s">
        <f>"李丹"</f>
        <v>776</v>
      </c>
      <c r="D397" s="158" t="s">
        <f>"15010111405"</f>
        <v>777</v>
      </c>
      <c r="E397" s="158">
        <v>46.65</v>
      </c>
      <c r="F397" s="158"/>
      <c r="G397" s="158">
        <v>46.65</v>
      </c>
    </row>
    <row r="398" spans="1:7" ht="32.999496" customHeight="1" x14ac:dyDescent="0.15">
      <c r="A398" s="158">
        <v>396.0</v>
      </c>
      <c r="B398" s="158" t="s">
        <v>8</v>
      </c>
      <c r="C398" s="158" t="s">
        <f>"王智鹏"</f>
        <v>778</v>
      </c>
      <c r="D398" s="158" t="s">
        <f>"15010111406"</f>
        <v>779</v>
      </c>
      <c r="E398" s="158">
        <v>70.14</v>
      </c>
      <c r="F398" s="158">
        <v>2.5</v>
      </c>
      <c r="G398" s="158">
        <v>72.64</v>
      </c>
    </row>
    <row r="399" spans="1:7" ht="32.999496" customHeight="1" x14ac:dyDescent="0.15">
      <c r="A399" s="158">
        <v>397.0</v>
      </c>
      <c r="B399" s="158" t="s">
        <v>8</v>
      </c>
      <c r="C399" s="158" t="s">
        <f>"崔艳"</f>
        <v>780</v>
      </c>
      <c r="D399" s="158" t="s">
        <f>"15010111407"</f>
        <v>781</v>
      </c>
      <c r="E399" s="158">
        <v>60.87</v>
      </c>
      <c r="F399" s="158"/>
      <c r="G399" s="158">
        <v>60.87</v>
      </c>
    </row>
    <row r="400" spans="1:7" ht="32.999496" customHeight="1" x14ac:dyDescent="0.15">
      <c r="A400" s="158">
        <v>398.0</v>
      </c>
      <c r="B400" s="158" t="s">
        <v>8</v>
      </c>
      <c r="C400" s="158" t="s">
        <f>"杨科"</f>
        <v>782</v>
      </c>
      <c r="D400" s="158" t="s">
        <f>"15010111408"</f>
        <v>783</v>
      </c>
      <c r="E400" s="158">
        <v>55.94</v>
      </c>
      <c r="F400" s="158"/>
      <c r="G400" s="158">
        <v>55.94</v>
      </c>
    </row>
    <row r="401" spans="1:7" ht="32.999496" customHeight="1" x14ac:dyDescent="0.15">
      <c r="A401" s="158">
        <v>399.0</v>
      </c>
      <c r="B401" s="158" t="s">
        <v>8</v>
      </c>
      <c r="C401" s="158" t="s">
        <f>"白茹"</f>
        <v>784</v>
      </c>
      <c r="D401" s="158" t="s">
        <f>"15010111409"</f>
        <v>785</v>
      </c>
      <c r="E401" s="158">
        <v>55.3</v>
      </c>
      <c r="F401" s="158"/>
      <c r="G401" s="158">
        <v>55.3</v>
      </c>
    </row>
    <row r="402" spans="1:7" ht="32.999496" customHeight="1" x14ac:dyDescent="0.15">
      <c r="A402" s="158">
        <v>400.0</v>
      </c>
      <c r="B402" s="158" t="s">
        <v>8</v>
      </c>
      <c r="C402" s="158" t="s">
        <f>"郭俊霞"</f>
        <v>786</v>
      </c>
      <c r="D402" s="158" t="s">
        <f>"15010111410"</f>
        <v>787</v>
      </c>
      <c r="E402" s="158">
        <v>51.95</v>
      </c>
      <c r="F402" s="158"/>
      <c r="G402" s="158">
        <v>51.95</v>
      </c>
    </row>
    <row r="403" spans="1:7" ht="32.999496" customHeight="1" x14ac:dyDescent="0.15">
      <c r="A403" s="158">
        <v>401.0</v>
      </c>
      <c r="B403" s="158" t="s">
        <v>8</v>
      </c>
      <c r="C403" s="158" t="s">
        <f>"王艳"</f>
        <v>195</v>
      </c>
      <c r="D403" s="158" t="s">
        <f>"15010111411"</f>
        <v>788</v>
      </c>
      <c r="E403" s="158">
        <v>58.71</v>
      </c>
      <c r="F403" s="158"/>
      <c r="G403" s="158">
        <v>58.71</v>
      </c>
    </row>
    <row r="404" spans="1:7" ht="32.999496" customHeight="1" x14ac:dyDescent="0.15">
      <c r="A404" s="158">
        <v>402.0</v>
      </c>
      <c r="B404" s="158" t="s">
        <v>8</v>
      </c>
      <c r="C404" s="158" t="s">
        <f>"贾蓓蓓"</f>
        <v>789</v>
      </c>
      <c r="D404" s="158" t="s">
        <f>"15010111412"</f>
        <v>790</v>
      </c>
      <c r="E404" s="158">
        <v>56.17</v>
      </c>
      <c r="F404" s="158"/>
      <c r="G404" s="158">
        <v>56.17</v>
      </c>
    </row>
    <row r="405" spans="1:7" ht="32.999496" customHeight="1" x14ac:dyDescent="0.15">
      <c r="A405" s="158">
        <v>403.0</v>
      </c>
      <c r="B405" s="158" t="s">
        <v>8</v>
      </c>
      <c r="C405" s="158" t="s">
        <f>"刘佳宇"</f>
        <v>791</v>
      </c>
      <c r="D405" s="158" t="s">
        <f>"15010111413"</f>
        <v>792</v>
      </c>
      <c r="E405" s="158">
        <v>63.61</v>
      </c>
      <c r="F405" s="158"/>
      <c r="G405" s="158">
        <v>63.61</v>
      </c>
    </row>
    <row r="406" spans="1:7" ht="32.999496" customHeight="1" x14ac:dyDescent="0.15">
      <c r="A406" s="158">
        <v>404.0</v>
      </c>
      <c r="B406" s="158" t="s">
        <v>8</v>
      </c>
      <c r="C406" s="158" t="s">
        <f>"刘叶"</f>
        <v>793</v>
      </c>
      <c r="D406" s="158" t="s">
        <f>"15010111414"</f>
        <v>794</v>
      </c>
      <c r="E406" s="158">
        <v>50.79</v>
      </c>
      <c r="F406" s="158"/>
      <c r="G406" s="158">
        <v>50.79</v>
      </c>
    </row>
    <row r="407" spans="1:7" ht="32.999496" customHeight="1" x14ac:dyDescent="0.15">
      <c r="A407" s="158">
        <v>405.0</v>
      </c>
      <c r="B407" s="158" t="s">
        <v>8</v>
      </c>
      <c r="C407" s="158" t="s">
        <f>"张媛"</f>
        <v>795</v>
      </c>
      <c r="D407" s="158" t="s">
        <f>"15010111415"</f>
        <v>796</v>
      </c>
      <c r="E407" s="158">
        <v>56.3</v>
      </c>
      <c r="F407" s="158"/>
      <c r="G407" s="158">
        <v>56.3</v>
      </c>
    </row>
    <row r="408" spans="1:7" ht="32.999496" customHeight="1" x14ac:dyDescent="0.15">
      <c r="A408" s="158">
        <v>406.0</v>
      </c>
      <c r="B408" s="158" t="s">
        <v>8</v>
      </c>
      <c r="C408" s="158" t="s">
        <f>"杨丽娜"</f>
        <v>797</v>
      </c>
      <c r="D408" s="158" t="s">
        <f>"15010111416"</f>
        <v>798</v>
      </c>
      <c r="E408" s="158">
        <v>60.43</v>
      </c>
      <c r="F408" s="158"/>
      <c r="G408" s="158">
        <v>60.43</v>
      </c>
    </row>
    <row r="409" spans="1:7" ht="32.999496" customHeight="1" x14ac:dyDescent="0.15">
      <c r="A409" s="158">
        <v>407.0</v>
      </c>
      <c r="B409" s="158" t="s">
        <v>8</v>
      </c>
      <c r="C409" s="158" t="s">
        <f>"李宇"</f>
        <v>799</v>
      </c>
      <c r="D409" s="158" t="s">
        <f>"15010111417"</f>
        <v>800</v>
      </c>
      <c r="E409" s="158">
        <v>55.629999999999995</v>
      </c>
      <c r="F409" s="158"/>
      <c r="G409" s="158">
        <v>55.629999999999995</v>
      </c>
    </row>
    <row r="410" spans="1:7" ht="32.999496" customHeight="1" x14ac:dyDescent="0.15">
      <c r="A410" s="158">
        <v>408.0</v>
      </c>
      <c r="B410" s="158" t="s">
        <v>8</v>
      </c>
      <c r="C410" s="158" t="s">
        <f>"徐娜"</f>
        <v>801</v>
      </c>
      <c r="D410" s="158" t="s">
        <f>"15010111418"</f>
        <v>802</v>
      </c>
      <c r="E410" s="158">
        <v>57.379999999999995</v>
      </c>
      <c r="F410" s="158"/>
      <c r="G410" s="158">
        <v>57.379999999999995</v>
      </c>
    </row>
    <row r="411" spans="1:7" ht="32.999496" customHeight="1" x14ac:dyDescent="0.15">
      <c r="A411" s="158">
        <v>409.0</v>
      </c>
      <c r="B411" s="158" t="s">
        <v>8</v>
      </c>
      <c r="C411" s="158" t="s">
        <f>"杨媛媛"</f>
        <v>691</v>
      </c>
      <c r="D411" s="158" t="s">
        <f>"15010111419"</f>
        <v>803</v>
      </c>
      <c r="E411" s="158">
        <v>65.47999999999999</v>
      </c>
      <c r="F411" s="158"/>
      <c r="G411" s="158">
        <v>65.47999999999999</v>
      </c>
    </row>
    <row r="412" spans="1:7" ht="32.999496" customHeight="1" x14ac:dyDescent="0.15">
      <c r="A412" s="158">
        <v>410.0</v>
      </c>
      <c r="B412" s="158" t="s">
        <v>8</v>
      </c>
      <c r="C412" s="158" t="s">
        <f>"韩丽媛"</f>
        <v>804</v>
      </c>
      <c r="D412" s="158" t="s">
        <f>"15010111420"</f>
        <v>805</v>
      </c>
      <c r="E412" s="158">
        <v>54.92</v>
      </c>
      <c r="F412" s="158"/>
      <c r="G412" s="158">
        <v>54.92</v>
      </c>
    </row>
    <row r="413" spans="1:7" ht="32.999496" customHeight="1" x14ac:dyDescent="0.15">
      <c r="A413" s="158">
        <v>411.0</v>
      </c>
      <c r="B413" s="158" t="s">
        <v>8</v>
      </c>
      <c r="C413" s="158" t="s">
        <f>"张军"</f>
        <v>806</v>
      </c>
      <c r="D413" s="158" t="s">
        <f>"15010111421"</f>
        <v>807</v>
      </c>
      <c r="E413" s="158" t="s">
        <v>15</v>
      </c>
      <c r="F413" s="158"/>
      <c r="G413" s="158" t="s">
        <v>15</v>
      </c>
    </row>
    <row r="414" spans="1:7" ht="32.999496" customHeight="1" x14ac:dyDescent="0.15">
      <c r="A414" s="158">
        <v>412.0</v>
      </c>
      <c r="B414" s="158" t="s">
        <v>8</v>
      </c>
      <c r="C414" s="158" t="s">
        <f>"杨丽"</f>
        <v>808</v>
      </c>
      <c r="D414" s="158" t="s">
        <f>"15010111422"</f>
        <v>809</v>
      </c>
      <c r="E414" s="158">
        <v>47.33</v>
      </c>
      <c r="F414" s="158"/>
      <c r="G414" s="158">
        <v>47.33</v>
      </c>
    </row>
    <row r="415" spans="1:7" ht="32.999496" customHeight="1" x14ac:dyDescent="0.15">
      <c r="A415" s="158">
        <v>413.0</v>
      </c>
      <c r="B415" s="158" t="s">
        <v>8</v>
      </c>
      <c r="C415" s="158" t="s">
        <f>"赵丹"</f>
        <v>810</v>
      </c>
      <c r="D415" s="158" t="s">
        <f>"15010111423"</f>
        <v>811</v>
      </c>
      <c r="E415" s="158">
        <v>61.23</v>
      </c>
      <c r="F415" s="158"/>
      <c r="G415" s="158">
        <v>61.23</v>
      </c>
    </row>
    <row r="416" spans="1:7" ht="32.999496" customHeight="1" x14ac:dyDescent="0.15">
      <c r="A416" s="158">
        <v>414.0</v>
      </c>
      <c r="B416" s="158" t="s">
        <v>8</v>
      </c>
      <c r="C416" s="158" t="s">
        <f>"李鹏"</f>
        <v>662</v>
      </c>
      <c r="D416" s="158" t="s">
        <f>"15010111424"</f>
        <v>812</v>
      </c>
      <c r="E416" s="158">
        <v>54.019999999999996</v>
      </c>
      <c r="F416" s="158"/>
      <c r="G416" s="158">
        <v>54.019999999999996</v>
      </c>
    </row>
    <row r="417" spans="1:7" ht="32.999496" customHeight="1" x14ac:dyDescent="0.15">
      <c r="A417" s="158">
        <v>415.0</v>
      </c>
      <c r="B417" s="158" t="s">
        <v>8</v>
      </c>
      <c r="C417" s="158" t="s">
        <f>"越圣洁"</f>
        <v>813</v>
      </c>
      <c r="D417" s="158" t="s">
        <f>"15010111425"</f>
        <v>814</v>
      </c>
      <c r="E417" s="158">
        <v>56.22</v>
      </c>
      <c r="F417" s="158"/>
      <c r="G417" s="158">
        <v>56.22</v>
      </c>
    </row>
    <row r="418" spans="1:7" ht="32.999496" customHeight="1" x14ac:dyDescent="0.15">
      <c r="A418" s="158">
        <v>416.0</v>
      </c>
      <c r="B418" s="158" t="s">
        <v>8</v>
      </c>
      <c r="C418" s="158" t="s">
        <f>"刘璐阳"</f>
        <v>815</v>
      </c>
      <c r="D418" s="158" t="s">
        <f>"15010111426"</f>
        <v>816</v>
      </c>
      <c r="E418" s="158">
        <v>65.03999999999999</v>
      </c>
      <c r="F418" s="158"/>
      <c r="G418" s="158">
        <v>65.03999999999999</v>
      </c>
    </row>
    <row r="419" spans="1:7" ht="32.999496" customHeight="1" x14ac:dyDescent="0.15">
      <c r="A419" s="158">
        <v>417.0</v>
      </c>
      <c r="B419" s="158" t="s">
        <v>8</v>
      </c>
      <c r="C419" s="158" t="s">
        <f>"高新"</f>
        <v>817</v>
      </c>
      <c r="D419" s="158" t="s">
        <f>"15010111427"</f>
        <v>818</v>
      </c>
      <c r="E419" s="158" t="s">
        <v>15</v>
      </c>
      <c r="F419" s="158"/>
      <c r="G419" s="158" t="s">
        <v>15</v>
      </c>
    </row>
    <row r="420" spans="1:7" ht="32.999496" customHeight="1" x14ac:dyDescent="0.15">
      <c r="A420" s="158">
        <v>418.0</v>
      </c>
      <c r="B420" s="158" t="s">
        <v>8</v>
      </c>
      <c r="C420" s="158" t="s">
        <f>"倪震宇"</f>
        <v>819</v>
      </c>
      <c r="D420" s="158" t="s">
        <f>"15010111428"</f>
        <v>820</v>
      </c>
      <c r="E420" s="158" t="s">
        <v>15</v>
      </c>
      <c r="F420" s="158"/>
      <c r="G420" s="158" t="s">
        <v>15</v>
      </c>
    </row>
    <row r="421" spans="1:7" ht="32.999496" customHeight="1" x14ac:dyDescent="0.15">
      <c r="A421" s="158">
        <v>419.0</v>
      </c>
      <c r="B421" s="158" t="s">
        <v>8</v>
      </c>
      <c r="C421" s="158" t="s">
        <f>"张乐"</f>
        <v>92</v>
      </c>
      <c r="D421" s="158" t="s">
        <f>"15010111429"</f>
        <v>821</v>
      </c>
      <c r="E421" s="158">
        <v>52.11</v>
      </c>
      <c r="F421" s="158"/>
      <c r="G421" s="158">
        <v>52.11</v>
      </c>
    </row>
    <row r="422" spans="1:7" ht="32.999496" customHeight="1" x14ac:dyDescent="0.15">
      <c r="A422" s="158">
        <v>420.0</v>
      </c>
      <c r="B422" s="158" t="s">
        <v>8</v>
      </c>
      <c r="C422" s="158" t="s">
        <f>"麻伟"</f>
        <v>822</v>
      </c>
      <c r="D422" s="158" t="s">
        <f>"15010111430"</f>
        <v>823</v>
      </c>
      <c r="E422" s="158">
        <v>57.76</v>
      </c>
      <c r="F422" s="158"/>
      <c r="G422" s="158">
        <v>57.76</v>
      </c>
    </row>
    <row r="423" spans="1:7" ht="32.999496" customHeight="1" x14ac:dyDescent="0.15">
      <c r="A423" s="158">
        <v>421.0</v>
      </c>
      <c r="B423" s="158" t="s">
        <v>8</v>
      </c>
      <c r="C423" s="158" t="s">
        <f>"崔旭超"</f>
        <v>824</v>
      </c>
      <c r="D423" s="158" t="s">
        <f>"15010111501"</f>
        <v>825</v>
      </c>
      <c r="E423" s="158" t="s">
        <v>15</v>
      </c>
      <c r="F423" s="158"/>
      <c r="G423" s="158" t="s">
        <v>15</v>
      </c>
    </row>
    <row r="424" spans="1:7" ht="32.999496" customHeight="1" x14ac:dyDescent="0.15">
      <c r="A424" s="158">
        <v>422.0</v>
      </c>
      <c r="B424" s="158" t="s">
        <v>8</v>
      </c>
      <c r="C424" s="158" t="s">
        <f>"郭娜娜"</f>
        <v>826</v>
      </c>
      <c r="D424" s="158" t="s">
        <f>"15010111502"</f>
        <v>827</v>
      </c>
      <c r="E424" s="158" t="s">
        <v>15</v>
      </c>
      <c r="F424" s="158"/>
      <c r="G424" s="158" t="s">
        <v>15</v>
      </c>
    </row>
    <row r="425" spans="1:7" ht="32.999496" customHeight="1" x14ac:dyDescent="0.15">
      <c r="A425" s="158">
        <v>423.0</v>
      </c>
      <c r="B425" s="158" t="s">
        <v>8</v>
      </c>
      <c r="C425" s="158" t="s">
        <f>"王园园"</f>
        <v>828</v>
      </c>
      <c r="D425" s="158" t="s">
        <f>"15010111503"</f>
        <v>829</v>
      </c>
      <c r="E425" s="158">
        <v>62.86</v>
      </c>
      <c r="F425" s="158"/>
      <c r="G425" s="158">
        <v>62.86</v>
      </c>
    </row>
    <row r="426" spans="1:7" ht="32.999496" customHeight="1" x14ac:dyDescent="0.15">
      <c r="A426" s="158">
        <v>424.0</v>
      </c>
      <c r="B426" s="158" t="s">
        <v>8</v>
      </c>
      <c r="C426" s="158" t="s">
        <f>"刘昕业"</f>
        <v>830</v>
      </c>
      <c r="D426" s="158" t="s">
        <f>"15010111504"</f>
        <v>831</v>
      </c>
      <c r="E426" s="158">
        <v>49.96</v>
      </c>
      <c r="F426" s="158"/>
      <c r="G426" s="158">
        <v>49.96</v>
      </c>
    </row>
    <row r="427" spans="1:7" ht="32.999496" customHeight="1" x14ac:dyDescent="0.15">
      <c r="A427" s="158">
        <v>425.0</v>
      </c>
      <c r="B427" s="158" t="s">
        <v>8</v>
      </c>
      <c r="C427" s="158" t="s">
        <f>"白瑞"</f>
        <v>832</v>
      </c>
      <c r="D427" s="158" t="s">
        <f>"15010111505"</f>
        <v>833</v>
      </c>
      <c r="E427" s="158">
        <v>58.82</v>
      </c>
      <c r="F427" s="158"/>
      <c r="G427" s="158">
        <v>58.82</v>
      </c>
    </row>
    <row r="428" spans="1:7" ht="32.999496" customHeight="1" x14ac:dyDescent="0.15">
      <c r="A428" s="158">
        <v>426.0</v>
      </c>
      <c r="B428" s="158" t="s">
        <v>8</v>
      </c>
      <c r="C428" s="158" t="s">
        <f>"赵星"</f>
        <v>834</v>
      </c>
      <c r="D428" s="158" t="s">
        <f>"15010111506"</f>
        <v>835</v>
      </c>
      <c r="E428" s="158">
        <v>68.28999999999999</v>
      </c>
      <c r="F428" s="158"/>
      <c r="G428" s="158">
        <v>68.28999999999999</v>
      </c>
    </row>
    <row r="429" spans="1:7" ht="32.999496" customHeight="1" x14ac:dyDescent="0.15">
      <c r="A429" s="158">
        <v>427.0</v>
      </c>
      <c r="B429" s="158" t="s">
        <v>8</v>
      </c>
      <c r="C429" s="158" t="s">
        <f>"解小艳"</f>
        <v>836</v>
      </c>
      <c r="D429" s="158" t="s">
        <f>"15010111507"</f>
        <v>837</v>
      </c>
      <c r="E429" s="158" t="s">
        <v>15</v>
      </c>
      <c r="F429" s="158"/>
      <c r="G429" s="158" t="s">
        <v>15</v>
      </c>
    </row>
    <row r="430" spans="1:7" ht="32.999496" customHeight="1" x14ac:dyDescent="0.15">
      <c r="A430" s="158">
        <v>428.0</v>
      </c>
      <c r="B430" s="158" t="s">
        <v>8</v>
      </c>
      <c r="C430" s="158" t="s">
        <f>"张森娜"</f>
        <v>838</v>
      </c>
      <c r="D430" s="158" t="s">
        <f>"15010111508"</f>
        <v>839</v>
      </c>
      <c r="E430" s="158">
        <v>57.83</v>
      </c>
      <c r="F430" s="158"/>
      <c r="G430" s="158">
        <v>57.83</v>
      </c>
    </row>
    <row r="431" spans="1:7" ht="32.999496" customHeight="1" x14ac:dyDescent="0.15">
      <c r="A431" s="158">
        <v>429.0</v>
      </c>
      <c r="B431" s="158" t="s">
        <v>8</v>
      </c>
      <c r="C431" s="158" t="s">
        <f>"王鑫鑫"</f>
        <v>840</v>
      </c>
      <c r="D431" s="158" t="s">
        <f>"15010111509"</f>
        <v>841</v>
      </c>
      <c r="E431" s="158">
        <v>66.6</v>
      </c>
      <c r="F431" s="158"/>
      <c r="G431" s="158">
        <v>66.6</v>
      </c>
    </row>
    <row r="432" spans="1:7" ht="32.999496" customHeight="1" x14ac:dyDescent="0.15">
      <c r="A432" s="158">
        <v>430.0</v>
      </c>
      <c r="B432" s="158" t="s">
        <v>8</v>
      </c>
      <c r="C432" s="158" t="s">
        <f>"刘蓉"</f>
        <v>842</v>
      </c>
      <c r="D432" s="158" t="s">
        <f>"15010111510"</f>
        <v>843</v>
      </c>
      <c r="E432" s="158">
        <v>55.010000000000005</v>
      </c>
      <c r="F432" s="158"/>
      <c r="G432" s="158">
        <v>55.010000000000005</v>
      </c>
    </row>
    <row r="433" spans="1:7" ht="32.999496" customHeight="1" x14ac:dyDescent="0.15">
      <c r="A433" s="158">
        <v>431.0</v>
      </c>
      <c r="B433" s="158" t="s">
        <v>8</v>
      </c>
      <c r="C433" s="158" t="s">
        <f>"刘婧雯"</f>
        <v>844</v>
      </c>
      <c r="D433" s="158" t="s">
        <f>"15010111511"</f>
        <v>845</v>
      </c>
      <c r="E433" s="158">
        <v>71</v>
      </c>
      <c r="F433" s="158"/>
      <c r="G433" s="158">
        <v>71</v>
      </c>
    </row>
    <row r="434" spans="1:7" ht="32.999496" customHeight="1" x14ac:dyDescent="0.15">
      <c r="A434" s="158">
        <v>432.0</v>
      </c>
      <c r="B434" s="158" t="s">
        <v>8</v>
      </c>
      <c r="C434" s="158" t="s">
        <f>"杨敏"</f>
        <v>846</v>
      </c>
      <c r="D434" s="158" t="s">
        <f>"15010111512"</f>
        <v>847</v>
      </c>
      <c r="E434" s="158">
        <v>56.480000000000004</v>
      </c>
      <c r="F434" s="158"/>
      <c r="G434" s="158">
        <v>56.480000000000004</v>
      </c>
    </row>
    <row r="435" spans="1:7" ht="32.999496" customHeight="1" x14ac:dyDescent="0.15">
      <c r="A435" s="158">
        <v>433.0</v>
      </c>
      <c r="B435" s="158" t="s">
        <v>8</v>
      </c>
      <c r="C435" s="158" t="s">
        <f>"李慧"</f>
        <v>848</v>
      </c>
      <c r="D435" s="158" t="s">
        <f>"15010111513"</f>
        <v>849</v>
      </c>
      <c r="E435" s="158">
        <v>56.44</v>
      </c>
      <c r="F435" s="158"/>
      <c r="G435" s="158">
        <v>56.44</v>
      </c>
    </row>
    <row r="436" spans="1:7" ht="32.999496" customHeight="1" x14ac:dyDescent="0.15">
      <c r="A436" s="158">
        <v>434.0</v>
      </c>
      <c r="B436" s="158" t="s">
        <v>8</v>
      </c>
      <c r="C436" s="158" t="s">
        <f>"王鑫"</f>
        <v>850</v>
      </c>
      <c r="D436" s="158" t="s">
        <f>"15010111514"</f>
        <v>851</v>
      </c>
      <c r="E436" s="158">
        <v>43.980000000000004</v>
      </c>
      <c r="F436" s="158"/>
      <c r="G436" s="158">
        <v>43.980000000000004</v>
      </c>
    </row>
    <row r="437" spans="1:7" ht="32.999496" customHeight="1" x14ac:dyDescent="0.15">
      <c r="A437" s="158">
        <v>435.0</v>
      </c>
      <c r="B437" s="158" t="s">
        <v>8</v>
      </c>
      <c r="C437" s="158" t="s">
        <f>"解婷"</f>
        <v>852</v>
      </c>
      <c r="D437" s="158" t="s">
        <f>"15010111515"</f>
        <v>853</v>
      </c>
      <c r="E437" s="158">
        <v>57.32</v>
      </c>
      <c r="F437" s="158"/>
      <c r="G437" s="158">
        <v>57.32</v>
      </c>
    </row>
    <row r="438" spans="1:7" ht="32.999496" customHeight="1" x14ac:dyDescent="0.15">
      <c r="A438" s="158">
        <v>436.0</v>
      </c>
      <c r="B438" s="158" t="s">
        <v>8</v>
      </c>
      <c r="C438" s="158" t="s">
        <f>"冯慧"</f>
        <v>854</v>
      </c>
      <c r="D438" s="158" t="s">
        <f>"15010111516"</f>
        <v>855</v>
      </c>
      <c r="E438" s="158">
        <v>48.61</v>
      </c>
      <c r="F438" s="158"/>
      <c r="G438" s="158">
        <v>48.61</v>
      </c>
    </row>
    <row r="439" spans="1:7" ht="32.999496" customHeight="1" x14ac:dyDescent="0.15">
      <c r="A439" s="158">
        <v>437.0</v>
      </c>
      <c r="B439" s="158" t="s">
        <v>8</v>
      </c>
      <c r="C439" s="158" t="s">
        <f>"白鹭"</f>
        <v>856</v>
      </c>
      <c r="D439" s="158" t="s">
        <f>"15010111517"</f>
        <v>857</v>
      </c>
      <c r="E439" s="158">
        <v>57.33</v>
      </c>
      <c r="F439" s="158"/>
      <c r="G439" s="158">
        <v>57.33</v>
      </c>
    </row>
    <row r="440" spans="1:7" ht="32.999496" customHeight="1" x14ac:dyDescent="0.15">
      <c r="A440" s="158">
        <v>438.0</v>
      </c>
      <c r="B440" s="158" t="s">
        <v>8</v>
      </c>
      <c r="C440" s="158" t="s">
        <f>"慕江"</f>
        <v>858</v>
      </c>
      <c r="D440" s="158" t="s">
        <f>"15010111518"</f>
        <v>859</v>
      </c>
      <c r="E440" s="158" t="s">
        <v>15</v>
      </c>
      <c r="F440" s="158"/>
      <c r="G440" s="158" t="s">
        <v>15</v>
      </c>
    </row>
    <row r="441" spans="1:7" ht="32.999496" customHeight="1" x14ac:dyDescent="0.15">
      <c r="A441" s="158">
        <v>439.0</v>
      </c>
      <c r="B441" s="158" t="s">
        <v>8</v>
      </c>
      <c r="C441" s="158" t="s">
        <f>"张露"</f>
        <v>546</v>
      </c>
      <c r="D441" s="158" t="s">
        <f>"15010111519"</f>
        <v>860</v>
      </c>
      <c r="E441" s="158">
        <v>54.96</v>
      </c>
      <c r="F441" s="158"/>
      <c r="G441" s="158">
        <v>54.96</v>
      </c>
    </row>
    <row r="442" spans="1:7" ht="32.999496" customHeight="1" x14ac:dyDescent="0.15">
      <c r="A442" s="158">
        <v>440.0</v>
      </c>
      <c r="B442" s="158" t="s">
        <v>8</v>
      </c>
      <c r="C442" s="158" t="s">
        <f>"宋哲"</f>
        <v>861</v>
      </c>
      <c r="D442" s="158" t="s">
        <f>"15010111520"</f>
        <v>862</v>
      </c>
      <c r="E442" s="158" t="s">
        <v>15</v>
      </c>
      <c r="F442" s="158"/>
      <c r="G442" s="158" t="s">
        <v>15</v>
      </c>
    </row>
    <row r="443" spans="1:7" ht="32.999496" customHeight="1" x14ac:dyDescent="0.15">
      <c r="A443" s="158">
        <v>441.0</v>
      </c>
      <c r="B443" s="158" t="s">
        <v>8</v>
      </c>
      <c r="C443" s="158" t="s">
        <f>"郝建军"</f>
        <v>863</v>
      </c>
      <c r="D443" s="158" t="s">
        <f>"15010111521"</f>
        <v>864</v>
      </c>
      <c r="E443" s="158">
        <v>64.56</v>
      </c>
      <c r="F443" s="158"/>
      <c r="G443" s="158">
        <v>64.56</v>
      </c>
    </row>
    <row r="444" spans="1:7" ht="32.999496" customHeight="1" x14ac:dyDescent="0.15">
      <c r="A444" s="158">
        <v>442.0</v>
      </c>
      <c r="B444" s="158" t="s">
        <v>8</v>
      </c>
      <c r="C444" s="158" t="s">
        <f>"刘瑞秀"</f>
        <v>865</v>
      </c>
      <c r="D444" s="158" t="s">
        <f>"15010111522"</f>
        <v>866</v>
      </c>
      <c r="E444" s="158">
        <v>43.480000000000004</v>
      </c>
      <c r="F444" s="158"/>
      <c r="G444" s="158">
        <v>43.480000000000004</v>
      </c>
    </row>
    <row r="445" spans="1:7" ht="32.999496" customHeight="1" x14ac:dyDescent="0.15">
      <c r="A445" s="158">
        <v>443.0</v>
      </c>
      <c r="B445" s="158" t="s">
        <v>8</v>
      </c>
      <c r="C445" s="158" t="s">
        <f>"麻宇"</f>
        <v>867</v>
      </c>
      <c r="D445" s="158" t="s">
        <f>"15010111523"</f>
        <v>868</v>
      </c>
      <c r="E445" s="158">
        <v>62.55</v>
      </c>
      <c r="F445" s="158"/>
      <c r="G445" s="158">
        <v>62.55</v>
      </c>
    </row>
    <row r="446" spans="1:7" ht="32.999496" customHeight="1" x14ac:dyDescent="0.15">
      <c r="A446" s="158">
        <v>444.0</v>
      </c>
      <c r="B446" s="158" t="s">
        <v>8</v>
      </c>
      <c r="C446" s="158" t="s">
        <f>"孙向晨"</f>
        <v>869</v>
      </c>
      <c r="D446" s="158" t="s">
        <f>"15010111524"</f>
        <v>870</v>
      </c>
      <c r="E446" s="158">
        <v>55.79</v>
      </c>
      <c r="F446" s="158"/>
      <c r="G446" s="158">
        <v>55.79</v>
      </c>
    </row>
    <row r="447" spans="1:7" ht="32.999496" customHeight="1" x14ac:dyDescent="0.15">
      <c r="A447" s="158">
        <v>445.0</v>
      </c>
      <c r="B447" s="158" t="s">
        <v>8</v>
      </c>
      <c r="C447" s="158" t="s">
        <f>"高瑞"</f>
        <v>212</v>
      </c>
      <c r="D447" s="158" t="s">
        <f>"15010111525"</f>
        <v>871</v>
      </c>
      <c r="E447" s="158">
        <v>68.07</v>
      </c>
      <c r="F447" s="158"/>
      <c r="G447" s="158">
        <v>68.07</v>
      </c>
    </row>
    <row r="448" spans="1:7" ht="32.999496" customHeight="1" x14ac:dyDescent="0.15">
      <c r="A448" s="158">
        <v>446.0</v>
      </c>
      <c r="B448" s="158" t="s">
        <v>8</v>
      </c>
      <c r="C448" s="158" t="s">
        <f>"郭鹏"</f>
        <v>872</v>
      </c>
      <c r="D448" s="158" t="s">
        <f>"15010111526"</f>
        <v>873</v>
      </c>
      <c r="E448" s="158">
        <v>54.22</v>
      </c>
      <c r="F448" s="158"/>
      <c r="G448" s="158">
        <v>54.22</v>
      </c>
    </row>
    <row r="449" spans="1:7" ht="32.999496" customHeight="1" x14ac:dyDescent="0.15">
      <c r="A449" s="158">
        <v>447.0</v>
      </c>
      <c r="B449" s="158" t="s">
        <v>8</v>
      </c>
      <c r="C449" s="158" t="s">
        <f>"赵刚"</f>
        <v>874</v>
      </c>
      <c r="D449" s="158" t="s">
        <f>"15010111527"</f>
        <v>875</v>
      </c>
      <c r="E449" s="158">
        <v>52.46</v>
      </c>
      <c r="F449" s="158"/>
      <c r="G449" s="158">
        <v>52.46</v>
      </c>
    </row>
    <row r="450" spans="1:7" ht="32.999496" customHeight="1" x14ac:dyDescent="0.15">
      <c r="A450" s="158">
        <v>448.0</v>
      </c>
      <c r="B450" s="158" t="s">
        <v>8</v>
      </c>
      <c r="C450" s="158" t="s">
        <f>"李建强"</f>
        <v>876</v>
      </c>
      <c r="D450" s="158" t="s">
        <f>"15010111528"</f>
        <v>877</v>
      </c>
      <c r="E450" s="158">
        <v>58.07</v>
      </c>
      <c r="F450" s="158"/>
      <c r="G450" s="158">
        <v>58.07</v>
      </c>
    </row>
    <row r="451" spans="1:7" ht="32.999496" customHeight="1" x14ac:dyDescent="0.15">
      <c r="A451" s="158">
        <v>449.0</v>
      </c>
      <c r="B451" s="158" t="s">
        <v>8</v>
      </c>
      <c r="C451" s="158" t="s">
        <f>"白小丽"</f>
        <v>878</v>
      </c>
      <c r="D451" s="158" t="s">
        <f>"15010111529"</f>
        <v>879</v>
      </c>
      <c r="E451" s="158">
        <v>59.46</v>
      </c>
      <c r="F451" s="158"/>
      <c r="G451" s="158">
        <v>59.46</v>
      </c>
    </row>
    <row r="452" spans="1:7" ht="32.999496" customHeight="1" x14ac:dyDescent="0.15">
      <c r="A452" s="158">
        <v>450.0</v>
      </c>
      <c r="B452" s="158" t="s">
        <v>8</v>
      </c>
      <c r="C452" s="158" t="s">
        <f>"乔敏"</f>
        <v>673</v>
      </c>
      <c r="D452" s="158" t="s">
        <f>"15010111530"</f>
        <v>880</v>
      </c>
      <c r="E452" s="158" t="s">
        <v>15</v>
      </c>
      <c r="F452" s="158"/>
      <c r="G452" s="158" t="s">
        <v>15</v>
      </c>
    </row>
    <row r="453" spans="1:7" ht="32.999496" customHeight="1" x14ac:dyDescent="0.15">
      <c r="A453" s="158">
        <v>451.0</v>
      </c>
      <c r="B453" s="158" t="s">
        <v>8</v>
      </c>
      <c r="C453" s="158" t="s">
        <f>"王鑫"</f>
        <v>850</v>
      </c>
      <c r="D453" s="158" t="s">
        <f>"15010111601"</f>
        <v>881</v>
      </c>
      <c r="E453" s="158">
        <v>56.28</v>
      </c>
      <c r="F453" s="158"/>
      <c r="G453" s="158">
        <v>56.28</v>
      </c>
    </row>
    <row r="454" spans="1:7" ht="32.999496" customHeight="1" x14ac:dyDescent="0.15">
      <c r="A454" s="158">
        <v>452.0</v>
      </c>
      <c r="B454" s="158" t="s">
        <v>8</v>
      </c>
      <c r="C454" s="158" t="s">
        <f>"张伟"</f>
        <v>882</v>
      </c>
      <c r="D454" s="158" t="s">
        <f>"15010111602"</f>
        <v>883</v>
      </c>
      <c r="E454" s="158">
        <v>50.6</v>
      </c>
      <c r="F454" s="158"/>
      <c r="G454" s="158">
        <v>50.6</v>
      </c>
    </row>
    <row r="455" spans="1:7" ht="32.999496" customHeight="1" x14ac:dyDescent="0.15">
      <c r="A455" s="158">
        <v>453.0</v>
      </c>
      <c r="B455" s="158" t="s">
        <v>8</v>
      </c>
      <c r="C455" s="158" t="s">
        <f>"韦伟"</f>
        <v>884</v>
      </c>
      <c r="D455" s="158" t="s">
        <f>"15010111603"</f>
        <v>885</v>
      </c>
      <c r="E455" s="158" t="s">
        <v>15</v>
      </c>
      <c r="F455" s="158"/>
      <c r="G455" s="158" t="s">
        <v>15</v>
      </c>
    </row>
    <row r="456" spans="1:7" ht="32.999496" customHeight="1" x14ac:dyDescent="0.15">
      <c r="A456" s="158">
        <v>454.0</v>
      </c>
      <c r="B456" s="158" t="s">
        <v>8</v>
      </c>
      <c r="C456" s="158" t="s">
        <f>"刘晋宇"</f>
        <v>886</v>
      </c>
      <c r="D456" s="158" t="s">
        <f>"15010111604"</f>
        <v>887</v>
      </c>
      <c r="E456" s="158">
        <v>55.230000000000004</v>
      </c>
      <c r="F456" s="158"/>
      <c r="G456" s="158">
        <v>55.230000000000004</v>
      </c>
    </row>
    <row r="457" spans="1:7" ht="32.999496" customHeight="1" x14ac:dyDescent="0.15">
      <c r="A457" s="158">
        <v>455.0</v>
      </c>
      <c r="B457" s="158" t="s">
        <v>8</v>
      </c>
      <c r="C457" s="158" t="s">
        <f>"郝艳丽"</f>
        <v>888</v>
      </c>
      <c r="D457" s="158" t="s">
        <f>"15010111605"</f>
        <v>889</v>
      </c>
      <c r="E457" s="158">
        <v>54.58</v>
      </c>
      <c r="F457" s="158"/>
      <c r="G457" s="158">
        <v>54.58</v>
      </c>
    </row>
    <row r="458" spans="1:7" ht="32.999496" customHeight="1" x14ac:dyDescent="0.15">
      <c r="A458" s="158">
        <v>456.0</v>
      </c>
      <c r="B458" s="158" t="s">
        <v>8</v>
      </c>
      <c r="C458" s="158" t="s">
        <f>"张书苑"</f>
        <v>890</v>
      </c>
      <c r="D458" s="158" t="s">
        <f>"15010111606"</f>
        <v>891</v>
      </c>
      <c r="E458" s="158">
        <v>59.73</v>
      </c>
      <c r="F458" s="158"/>
      <c r="G458" s="158">
        <v>59.73</v>
      </c>
    </row>
    <row r="459" spans="1:7" ht="32.999496" customHeight="1" x14ac:dyDescent="0.15">
      <c r="A459" s="158">
        <v>457.0</v>
      </c>
      <c r="B459" s="158" t="s">
        <v>8</v>
      </c>
      <c r="C459" s="158" t="s">
        <f>"王丹"</f>
        <v>892</v>
      </c>
      <c r="D459" s="158" t="s">
        <f>"15010111607"</f>
        <v>893</v>
      </c>
      <c r="E459" s="158">
        <v>47.879999999999995</v>
      </c>
      <c r="F459" s="158"/>
      <c r="G459" s="158">
        <v>47.879999999999995</v>
      </c>
    </row>
    <row r="460" spans="1:7" ht="32.999496" customHeight="1" x14ac:dyDescent="0.15">
      <c r="A460" s="158">
        <v>458.0</v>
      </c>
      <c r="B460" s="158" t="s">
        <v>8</v>
      </c>
      <c r="C460" s="158" t="s">
        <f>"闫娜"</f>
        <v>458</v>
      </c>
      <c r="D460" s="158" t="s">
        <f>"15010111608"</f>
        <v>894</v>
      </c>
      <c r="E460" s="158">
        <v>59.66</v>
      </c>
      <c r="F460" s="158"/>
      <c r="G460" s="158">
        <v>59.66</v>
      </c>
    </row>
    <row r="461" spans="1:7" ht="32.999496" customHeight="1" x14ac:dyDescent="0.15">
      <c r="A461" s="158">
        <v>459.0</v>
      </c>
      <c r="B461" s="158" t="s">
        <v>8</v>
      </c>
      <c r="C461" s="158" t="s">
        <f>"孙原"</f>
        <v>895</v>
      </c>
      <c r="D461" s="158" t="s">
        <f>"15010111609"</f>
        <v>896</v>
      </c>
      <c r="E461" s="158" t="s">
        <v>15</v>
      </c>
      <c r="F461" s="158"/>
      <c r="G461" s="158" t="s">
        <v>15</v>
      </c>
    </row>
    <row r="462" spans="1:7" ht="32.999496" customHeight="1" x14ac:dyDescent="0.15">
      <c r="A462" s="158">
        <v>460.0</v>
      </c>
      <c r="B462" s="158" t="s">
        <v>8</v>
      </c>
      <c r="C462" s="158" t="s">
        <f>"刘红婕"</f>
        <v>897</v>
      </c>
      <c r="D462" s="158" t="s">
        <f>"15010111610"</f>
        <v>898</v>
      </c>
      <c r="E462" s="158">
        <v>61.9</v>
      </c>
      <c r="F462" s="158"/>
      <c r="G462" s="158">
        <v>61.9</v>
      </c>
    </row>
    <row r="463" spans="1:7" ht="32.999496" customHeight="1" x14ac:dyDescent="0.15">
      <c r="A463" s="158">
        <v>461.0</v>
      </c>
      <c r="B463" s="158" t="s">
        <v>8</v>
      </c>
      <c r="C463" s="158" t="s">
        <f>"王浩宇"</f>
        <v>899</v>
      </c>
      <c r="D463" s="158" t="s">
        <f>"15010111611"</f>
        <v>900</v>
      </c>
      <c r="E463" s="158">
        <v>62.61</v>
      </c>
      <c r="F463" s="158"/>
      <c r="G463" s="158">
        <v>62.61</v>
      </c>
    </row>
    <row r="464" spans="1:7" ht="32.999496" customHeight="1" x14ac:dyDescent="0.15">
      <c r="A464" s="158">
        <v>462.0</v>
      </c>
      <c r="B464" s="158" t="s">
        <v>8</v>
      </c>
      <c r="C464" s="158" t="s">
        <f>"刘亭"</f>
        <v>901</v>
      </c>
      <c r="D464" s="158" t="s">
        <f>"15010111612"</f>
        <v>902</v>
      </c>
      <c r="E464" s="158">
        <v>56.61</v>
      </c>
      <c r="F464" s="158"/>
      <c r="G464" s="158">
        <v>56.61</v>
      </c>
    </row>
    <row r="465" spans="1:7" ht="32.999496" customHeight="1" x14ac:dyDescent="0.15">
      <c r="A465" s="158">
        <v>463.0</v>
      </c>
      <c r="B465" s="158" t="s">
        <v>8</v>
      </c>
      <c r="C465" s="158" t="s">
        <f>"刘淑君"</f>
        <v>903</v>
      </c>
      <c r="D465" s="158" t="s">
        <f>"15010111613"</f>
        <v>904</v>
      </c>
      <c r="E465" s="158" t="s">
        <v>15</v>
      </c>
      <c r="F465" s="158"/>
      <c r="G465" s="158" t="s">
        <v>15</v>
      </c>
    </row>
    <row r="466" spans="1:7" ht="32.999496" customHeight="1" x14ac:dyDescent="0.15">
      <c r="A466" s="158">
        <v>464.0</v>
      </c>
      <c r="B466" s="158" t="s">
        <v>8</v>
      </c>
      <c r="C466" s="158" t="s">
        <f>"刘聚方"</f>
        <v>905</v>
      </c>
      <c r="D466" s="158" t="s">
        <f>"15010111614"</f>
        <v>906</v>
      </c>
      <c r="E466" s="158">
        <v>61.52</v>
      </c>
      <c r="F466" s="158"/>
      <c r="G466" s="158">
        <v>61.52</v>
      </c>
    </row>
    <row r="467" spans="1:7" ht="32.999496" customHeight="1" x14ac:dyDescent="0.15">
      <c r="A467" s="158">
        <v>465.0</v>
      </c>
      <c r="B467" s="158" t="s">
        <v>8</v>
      </c>
      <c r="C467" s="158" t="s">
        <f>"高燕妮"</f>
        <v>907</v>
      </c>
      <c r="D467" s="158" t="s">
        <f>"15010111615"</f>
        <v>908</v>
      </c>
      <c r="E467" s="158">
        <v>49.25</v>
      </c>
      <c r="F467" s="158"/>
      <c r="G467" s="158">
        <v>49.25</v>
      </c>
    </row>
    <row r="468" spans="1:7" ht="32.999496" customHeight="1" x14ac:dyDescent="0.15">
      <c r="A468" s="158">
        <v>466.0</v>
      </c>
      <c r="B468" s="158" t="s">
        <v>8</v>
      </c>
      <c r="C468" s="158" t="s">
        <f>"折婷"</f>
        <v>909</v>
      </c>
      <c r="D468" s="158" t="s">
        <f>"15010111616"</f>
        <v>910</v>
      </c>
      <c r="E468" s="158">
        <v>61.26</v>
      </c>
      <c r="F468" s="158"/>
      <c r="G468" s="158">
        <v>61.26</v>
      </c>
    </row>
    <row r="469" spans="1:7" ht="32.999496" customHeight="1" x14ac:dyDescent="0.15">
      <c r="A469" s="158">
        <v>467.0</v>
      </c>
      <c r="B469" s="158" t="s">
        <v>8</v>
      </c>
      <c r="C469" s="158" t="s">
        <f>"冯宇"</f>
        <v>911</v>
      </c>
      <c r="D469" s="158" t="s">
        <f>"15010111617"</f>
        <v>912</v>
      </c>
      <c r="E469" s="158">
        <v>55.870000000000005</v>
      </c>
      <c r="F469" s="158"/>
      <c r="G469" s="158">
        <v>55.870000000000005</v>
      </c>
    </row>
    <row r="470" spans="1:7" ht="32.999496" customHeight="1" x14ac:dyDescent="0.15">
      <c r="A470" s="158">
        <v>468.0</v>
      </c>
      <c r="B470" s="158" t="s">
        <v>8</v>
      </c>
      <c r="C470" s="158" t="s">
        <f>"张宇"</f>
        <v>913</v>
      </c>
      <c r="D470" s="158" t="s">
        <f>"15010111618"</f>
        <v>914</v>
      </c>
      <c r="E470" s="158" t="s">
        <v>15</v>
      </c>
      <c r="F470" s="158"/>
      <c r="G470" s="158" t="s">
        <v>15</v>
      </c>
    </row>
    <row r="471" spans="1:7" ht="32.999496" customHeight="1" x14ac:dyDescent="0.15">
      <c r="A471" s="158">
        <v>469.0</v>
      </c>
      <c r="B471" s="158" t="s">
        <v>8</v>
      </c>
      <c r="C471" s="158" t="s">
        <f>"雷梦娇"</f>
        <v>915</v>
      </c>
      <c r="D471" s="158" t="s">
        <f>"15010111619"</f>
        <v>916</v>
      </c>
      <c r="E471" s="158" t="s">
        <v>15</v>
      </c>
      <c r="F471" s="158"/>
      <c r="G471" s="158" t="s">
        <v>15</v>
      </c>
    </row>
    <row r="472" spans="1:7" ht="32.999496" customHeight="1" x14ac:dyDescent="0.15">
      <c r="A472" s="158">
        <v>470.0</v>
      </c>
      <c r="B472" s="158" t="s">
        <v>8</v>
      </c>
      <c r="C472" s="158" t="s">
        <f>"贾小丽"</f>
        <v>917</v>
      </c>
      <c r="D472" s="158" t="s">
        <f>"15010111620"</f>
        <v>918</v>
      </c>
      <c r="E472" s="158">
        <v>31.08</v>
      </c>
      <c r="F472" s="158">
        <v>2.5</v>
      </c>
      <c r="G472" s="158">
        <v>33.58</v>
      </c>
    </row>
    <row r="473" spans="1:7" ht="32.999496" customHeight="1" x14ac:dyDescent="0.15">
      <c r="A473" s="158">
        <v>471.0</v>
      </c>
      <c r="B473" s="158" t="s">
        <v>8</v>
      </c>
      <c r="C473" s="158" t="s">
        <f>"高孜怡"</f>
        <v>919</v>
      </c>
      <c r="D473" s="158" t="s">
        <f>"15010111621"</f>
        <v>920</v>
      </c>
      <c r="E473" s="158" t="s">
        <v>15</v>
      </c>
      <c r="F473" s="158"/>
      <c r="G473" s="158" t="s">
        <v>15</v>
      </c>
    </row>
    <row r="474" spans="1:7" ht="32.999496" customHeight="1" x14ac:dyDescent="0.15">
      <c r="A474" s="158">
        <v>472.0</v>
      </c>
      <c r="B474" s="158" t="s">
        <v>8</v>
      </c>
      <c r="C474" s="158" t="s">
        <f>"李娜"</f>
        <v>609</v>
      </c>
      <c r="D474" s="158" t="s">
        <f>"15010111622"</f>
        <v>921</v>
      </c>
      <c r="E474" s="158">
        <v>50.519999999999996</v>
      </c>
      <c r="F474" s="158"/>
      <c r="G474" s="158">
        <v>50.519999999999996</v>
      </c>
    </row>
    <row r="475" spans="1:7" ht="32.999496" customHeight="1" x14ac:dyDescent="0.15">
      <c r="A475" s="158">
        <v>473.0</v>
      </c>
      <c r="B475" s="158" t="s">
        <v>8</v>
      </c>
      <c r="C475" s="158" t="s">
        <f>"王璐"</f>
        <v>358</v>
      </c>
      <c r="D475" s="158" t="s">
        <f>"15010111623"</f>
        <v>922</v>
      </c>
      <c r="E475" s="158">
        <v>36.4</v>
      </c>
      <c r="F475" s="158"/>
      <c r="G475" s="158">
        <v>36.4</v>
      </c>
    </row>
    <row r="476" spans="1:7" ht="32.999496" customHeight="1" x14ac:dyDescent="0.15">
      <c r="A476" s="158">
        <v>474.0</v>
      </c>
      <c r="B476" s="158" t="s">
        <v>8</v>
      </c>
      <c r="C476" s="158" t="s">
        <f>"刘伟"</f>
        <v>923</v>
      </c>
      <c r="D476" s="158" t="s">
        <f>"15010111624"</f>
        <v>924</v>
      </c>
      <c r="E476" s="158" t="s">
        <v>15</v>
      </c>
      <c r="F476" s="158"/>
      <c r="G476" s="158" t="s">
        <v>15</v>
      </c>
    </row>
    <row r="477" spans="1:7" ht="32.999496" customHeight="1" x14ac:dyDescent="0.15">
      <c r="A477" s="158">
        <v>475.0</v>
      </c>
      <c r="B477" s="158" t="s">
        <v>8</v>
      </c>
      <c r="C477" s="158" t="s">
        <f>"乔宇"</f>
        <v>925</v>
      </c>
      <c r="D477" s="158" t="s">
        <f>"15010111625"</f>
        <v>926</v>
      </c>
      <c r="E477" s="158">
        <v>59.39</v>
      </c>
      <c r="F477" s="158"/>
      <c r="G477" s="158">
        <v>59.39</v>
      </c>
    </row>
    <row r="478" spans="1:7" ht="32.999496" customHeight="1" x14ac:dyDescent="0.15">
      <c r="A478" s="158">
        <v>476.0</v>
      </c>
      <c r="B478" s="158" t="s">
        <v>8</v>
      </c>
      <c r="C478" s="158" t="s">
        <f>"白慧"</f>
        <v>927</v>
      </c>
      <c r="D478" s="158" t="s">
        <f>"15010111626"</f>
        <v>928</v>
      </c>
      <c r="E478" s="158">
        <v>58.34</v>
      </c>
      <c r="F478" s="158"/>
      <c r="G478" s="158">
        <v>58.34</v>
      </c>
    </row>
    <row r="479" spans="1:7" ht="32.999496" customHeight="1" x14ac:dyDescent="0.15">
      <c r="A479" s="158">
        <v>477.0</v>
      </c>
      <c r="B479" s="158" t="s">
        <v>8</v>
      </c>
      <c r="C479" s="158" t="s">
        <f>"高远"</f>
        <v>929</v>
      </c>
      <c r="D479" s="158" t="s">
        <f>"15010111627"</f>
        <v>930</v>
      </c>
      <c r="E479" s="158">
        <v>55.44</v>
      </c>
      <c r="F479" s="158"/>
      <c r="G479" s="158">
        <v>55.44</v>
      </c>
    </row>
    <row r="480" spans="1:7" ht="32.999496" customHeight="1" x14ac:dyDescent="0.15">
      <c r="A480" s="158">
        <v>478.0</v>
      </c>
      <c r="B480" s="158" t="s">
        <v>8</v>
      </c>
      <c r="C480" s="158" t="s">
        <f>"单丽君"</f>
        <v>931</v>
      </c>
      <c r="D480" s="158" t="s">
        <f>"15010111628"</f>
        <v>932</v>
      </c>
      <c r="E480" s="158">
        <v>63.9</v>
      </c>
      <c r="F480" s="158"/>
      <c r="G480" s="158">
        <v>63.9</v>
      </c>
    </row>
    <row r="481" spans="1:7" ht="32.999496" customHeight="1" x14ac:dyDescent="0.15">
      <c r="A481" s="158">
        <v>479.0</v>
      </c>
      <c r="B481" s="158" t="s">
        <v>8</v>
      </c>
      <c r="C481" s="158" t="s">
        <f>"杜丽娜"</f>
        <v>933</v>
      </c>
      <c r="D481" s="158" t="s">
        <f>"15010111629"</f>
        <v>934</v>
      </c>
      <c r="E481" s="158" t="s">
        <v>15</v>
      </c>
      <c r="F481" s="158"/>
      <c r="G481" s="158" t="s">
        <v>15</v>
      </c>
    </row>
    <row r="482" spans="1:7" ht="32.999496" customHeight="1" x14ac:dyDescent="0.15">
      <c r="A482" s="158">
        <v>480.0</v>
      </c>
      <c r="B482" s="158" t="s">
        <v>8</v>
      </c>
      <c r="C482" s="158" t="s">
        <f>"魏海霞"</f>
        <v>935</v>
      </c>
      <c r="D482" s="158" t="s">
        <f>"15010111630"</f>
        <v>936</v>
      </c>
      <c r="E482" s="158">
        <v>64.25999999999999</v>
      </c>
      <c r="F482" s="158"/>
      <c r="G482" s="158">
        <v>64.25999999999999</v>
      </c>
    </row>
    <row r="483" spans="1:7" ht="32.999496" customHeight="1" x14ac:dyDescent="0.15">
      <c r="A483" s="158">
        <v>481.0</v>
      </c>
      <c r="B483" s="158" t="s">
        <v>8</v>
      </c>
      <c r="C483" s="158" t="s">
        <f>"高涛"</f>
        <v>937</v>
      </c>
      <c r="D483" s="158" t="s">
        <f>"15010111701"</f>
        <v>938</v>
      </c>
      <c r="E483" s="158">
        <v>62.3</v>
      </c>
      <c r="F483" s="158"/>
      <c r="G483" s="158">
        <v>62.3</v>
      </c>
    </row>
    <row r="484" spans="1:7" ht="32.999496" customHeight="1" x14ac:dyDescent="0.15">
      <c r="A484" s="158">
        <v>482.0</v>
      </c>
      <c r="B484" s="158" t="s">
        <v>8</v>
      </c>
      <c r="C484" s="158" t="s">
        <f>"李欣"</f>
        <v>939</v>
      </c>
      <c r="D484" s="158" t="s">
        <f>"15010111702"</f>
        <v>940</v>
      </c>
      <c r="E484" s="158">
        <v>65.22</v>
      </c>
      <c r="F484" s="158"/>
      <c r="G484" s="158">
        <v>65.22</v>
      </c>
    </row>
    <row r="485" spans="1:7" ht="32.999496" customHeight="1" x14ac:dyDescent="0.15">
      <c r="A485" s="158">
        <v>483.0</v>
      </c>
      <c r="B485" s="158" t="s">
        <v>8</v>
      </c>
      <c r="C485" s="158" t="s">
        <f>"温普星"</f>
        <v>941</v>
      </c>
      <c r="D485" s="158" t="s">
        <f>"15010111703"</f>
        <v>942</v>
      </c>
      <c r="E485" s="158" t="s">
        <v>15</v>
      </c>
      <c r="F485" s="158"/>
      <c r="G485" s="158" t="s">
        <v>15</v>
      </c>
    </row>
    <row r="486" spans="1:7" ht="32.999496" customHeight="1" x14ac:dyDescent="0.15">
      <c r="A486" s="158">
        <v>484.0</v>
      </c>
      <c r="B486" s="158" t="s">
        <v>8</v>
      </c>
      <c r="C486" s="158" t="s">
        <f>"杨阳"</f>
        <v>943</v>
      </c>
      <c r="D486" s="158" t="s">
        <f>"15010111704"</f>
        <v>944</v>
      </c>
      <c r="E486" s="158">
        <v>58.05</v>
      </c>
      <c r="F486" s="158"/>
      <c r="G486" s="158">
        <v>58.05</v>
      </c>
    </row>
    <row r="487" spans="1:7" ht="32.999496" customHeight="1" x14ac:dyDescent="0.15">
      <c r="A487" s="158">
        <v>485.0</v>
      </c>
      <c r="B487" s="158" t="s">
        <v>8</v>
      </c>
      <c r="C487" s="158" t="s">
        <f>"张慧"</f>
        <v>634</v>
      </c>
      <c r="D487" s="158" t="s">
        <f>"15010111705"</f>
        <v>945</v>
      </c>
      <c r="E487" s="158">
        <v>58.21</v>
      </c>
      <c r="F487" s="158"/>
      <c r="G487" s="158">
        <v>58.21</v>
      </c>
    </row>
    <row r="488" spans="1:7" ht="32.999496" customHeight="1" x14ac:dyDescent="0.15">
      <c r="A488" s="158">
        <v>486.0</v>
      </c>
      <c r="B488" s="158" t="s">
        <v>8</v>
      </c>
      <c r="C488" s="158" t="s">
        <f>"卢英杰"</f>
        <v>946</v>
      </c>
      <c r="D488" s="158" t="s">
        <f>"15010111706"</f>
        <v>947</v>
      </c>
      <c r="E488" s="158">
        <v>47.08</v>
      </c>
      <c r="F488" s="158"/>
      <c r="G488" s="158">
        <v>47.08</v>
      </c>
    </row>
    <row r="489" spans="1:7" ht="32.999496" customHeight="1" x14ac:dyDescent="0.15">
      <c r="A489" s="158">
        <v>487.0</v>
      </c>
      <c r="B489" s="158" t="s">
        <v>8</v>
      </c>
      <c r="C489" s="158" t="s">
        <f>"刘燕"</f>
        <v>948</v>
      </c>
      <c r="D489" s="158" t="s">
        <f>"15010111707"</f>
        <v>949</v>
      </c>
      <c r="E489" s="158">
        <v>58.16</v>
      </c>
      <c r="F489" s="158"/>
      <c r="G489" s="158">
        <v>58.16</v>
      </c>
    </row>
    <row r="490" spans="1:7" ht="32.999496" customHeight="1" x14ac:dyDescent="0.15">
      <c r="A490" s="158">
        <v>488.0</v>
      </c>
      <c r="B490" s="158" t="s">
        <v>8</v>
      </c>
      <c r="C490" s="158" t="s">
        <f>"任静"</f>
        <v>950</v>
      </c>
      <c r="D490" s="158" t="s">
        <f>"15010111708"</f>
        <v>951</v>
      </c>
      <c r="E490" s="158">
        <v>63.45</v>
      </c>
      <c r="F490" s="158"/>
      <c r="G490" s="158">
        <v>63.45</v>
      </c>
    </row>
    <row r="491" spans="1:7" ht="32.999496" customHeight="1" x14ac:dyDescent="0.15">
      <c r="A491" s="158">
        <v>489.0</v>
      </c>
      <c r="B491" s="158" t="s">
        <v>8</v>
      </c>
      <c r="C491" s="158" t="s">
        <f>"方郑杰"</f>
        <v>952</v>
      </c>
      <c r="D491" s="158" t="s">
        <f>"15010111709"</f>
        <v>953</v>
      </c>
      <c r="E491" s="158">
        <v>69.91</v>
      </c>
      <c r="F491" s="158"/>
      <c r="G491" s="158">
        <v>69.91</v>
      </c>
    </row>
    <row r="492" spans="1:7" ht="32.999496" customHeight="1" x14ac:dyDescent="0.15">
      <c r="A492" s="158">
        <v>490.0</v>
      </c>
      <c r="B492" s="158" t="s">
        <v>8</v>
      </c>
      <c r="C492" s="158" t="s">
        <f>"李秀琴"</f>
        <v>954</v>
      </c>
      <c r="D492" s="158" t="s">
        <f>"15010111710"</f>
        <v>955</v>
      </c>
      <c r="E492" s="158">
        <v>62.53</v>
      </c>
      <c r="F492" s="158"/>
      <c r="G492" s="158">
        <v>62.53</v>
      </c>
    </row>
    <row r="493" spans="1:7" ht="32.999496" customHeight="1" x14ac:dyDescent="0.15">
      <c r="A493" s="158">
        <v>491.0</v>
      </c>
      <c r="B493" s="158" t="s">
        <v>8</v>
      </c>
      <c r="C493" s="158" t="s">
        <f>"王健"</f>
        <v>956</v>
      </c>
      <c r="D493" s="158" t="s">
        <f>"15010111711"</f>
        <v>957</v>
      </c>
      <c r="E493" s="158">
        <v>59.56</v>
      </c>
      <c r="F493" s="158"/>
      <c r="G493" s="158">
        <v>59.56</v>
      </c>
    </row>
    <row r="494" spans="1:7" ht="32.999496" customHeight="1" x14ac:dyDescent="0.15">
      <c r="A494" s="158">
        <v>492.0</v>
      </c>
      <c r="B494" s="158" t="s">
        <v>8</v>
      </c>
      <c r="C494" s="158" t="s">
        <f>"张敏"</f>
        <v>120</v>
      </c>
      <c r="D494" s="158" t="s">
        <f>"15010111712"</f>
        <v>958</v>
      </c>
      <c r="E494" s="158">
        <v>51.269999999999996</v>
      </c>
      <c r="F494" s="158"/>
      <c r="G494" s="158">
        <v>51.269999999999996</v>
      </c>
    </row>
    <row r="495" spans="1:7" ht="32.999496" customHeight="1" x14ac:dyDescent="0.15">
      <c r="A495" s="158">
        <v>493.0</v>
      </c>
      <c r="B495" s="158" t="s">
        <v>8</v>
      </c>
      <c r="C495" s="158" t="s">
        <f>"雷雨"</f>
        <v>959</v>
      </c>
      <c r="D495" s="158" t="s">
        <f>"15010111713"</f>
        <v>960</v>
      </c>
      <c r="E495" s="158">
        <v>61.16</v>
      </c>
      <c r="F495" s="158"/>
      <c r="G495" s="158">
        <v>61.16</v>
      </c>
    </row>
    <row r="496" spans="1:7" ht="32.999496" customHeight="1" x14ac:dyDescent="0.15">
      <c r="A496" s="158">
        <v>494.0</v>
      </c>
      <c r="B496" s="158" t="s">
        <v>8</v>
      </c>
      <c r="C496" s="158" t="s">
        <f>"王鹿"</f>
        <v>961</v>
      </c>
      <c r="D496" s="158" t="s">
        <f>"15010111714"</f>
        <v>962</v>
      </c>
      <c r="E496" s="158" t="s">
        <v>15</v>
      </c>
      <c r="F496" s="158"/>
      <c r="G496" s="158" t="s">
        <v>15</v>
      </c>
    </row>
    <row r="497" spans="1:7" ht="32.999496" customHeight="1" x14ac:dyDescent="0.15">
      <c r="A497" s="158">
        <v>495.0</v>
      </c>
      <c r="B497" s="158" t="s">
        <v>8</v>
      </c>
      <c r="C497" s="158" t="s">
        <f>"郭海龙"</f>
        <v>963</v>
      </c>
      <c r="D497" s="158" t="s">
        <f>"15010111715"</f>
        <v>964</v>
      </c>
      <c r="E497" s="158">
        <v>55.79</v>
      </c>
      <c r="F497" s="158"/>
      <c r="G497" s="158">
        <v>55.79</v>
      </c>
    </row>
    <row r="498" spans="1:7" ht="32.999496" customHeight="1" x14ac:dyDescent="0.15">
      <c r="A498" s="158">
        <v>496.0</v>
      </c>
      <c r="B498" s="158" t="s">
        <v>8</v>
      </c>
      <c r="C498" s="158" t="s">
        <f>"杨静"</f>
        <v>965</v>
      </c>
      <c r="D498" s="158" t="s">
        <f>"15010111716"</f>
        <v>966</v>
      </c>
      <c r="E498" s="158">
        <v>52.21</v>
      </c>
      <c r="F498" s="158">
        <v>2.5</v>
      </c>
      <c r="G498" s="158">
        <v>54.71</v>
      </c>
    </row>
    <row r="499" spans="1:7" ht="32.999496" customHeight="1" x14ac:dyDescent="0.15">
      <c r="A499" s="158">
        <v>497.0</v>
      </c>
      <c r="B499" s="158" t="s">
        <v>8</v>
      </c>
      <c r="C499" s="158" t="s">
        <f>"袁媛"</f>
        <v>967</v>
      </c>
      <c r="D499" s="158" t="s">
        <f>"15010111717"</f>
        <v>968</v>
      </c>
      <c r="E499" s="158">
        <v>56.35</v>
      </c>
      <c r="F499" s="158"/>
      <c r="G499" s="158">
        <v>56.35</v>
      </c>
    </row>
    <row r="500" spans="1:7" ht="32.999496" customHeight="1" x14ac:dyDescent="0.15">
      <c r="A500" s="158">
        <v>498.0</v>
      </c>
      <c r="B500" s="158" t="s">
        <v>8</v>
      </c>
      <c r="C500" s="158" t="s">
        <f>"余志伟"</f>
        <v>969</v>
      </c>
      <c r="D500" s="158" t="s">
        <f>"15010111718"</f>
        <v>970</v>
      </c>
      <c r="E500" s="158">
        <v>49.239999999999995</v>
      </c>
      <c r="F500" s="158"/>
      <c r="G500" s="158">
        <v>49.239999999999995</v>
      </c>
    </row>
    <row r="501" spans="1:7" ht="32.999496" customHeight="1" x14ac:dyDescent="0.15">
      <c r="A501" s="158">
        <v>499.0</v>
      </c>
      <c r="B501" s="158" t="s">
        <v>8</v>
      </c>
      <c r="C501" s="158" t="s">
        <f>"杨娜"</f>
        <v>534</v>
      </c>
      <c r="D501" s="158" t="s">
        <f>"15010111719"</f>
        <v>971</v>
      </c>
      <c r="E501" s="158" t="s">
        <v>15</v>
      </c>
      <c r="F501" s="158"/>
      <c r="G501" s="158" t="s">
        <v>15</v>
      </c>
    </row>
    <row r="502" spans="1:7" ht="32.999496" customHeight="1" x14ac:dyDescent="0.15">
      <c r="A502" s="158">
        <v>500.0</v>
      </c>
      <c r="B502" s="158" t="s">
        <v>8</v>
      </c>
      <c r="C502" s="158" t="s">
        <f>"呼晓艳"</f>
        <v>972</v>
      </c>
      <c r="D502" s="158" t="s">
        <f>"15010111720"</f>
        <v>973</v>
      </c>
      <c r="E502" s="158">
        <v>50.870000000000005</v>
      </c>
      <c r="F502" s="158"/>
      <c r="G502" s="158">
        <v>50.870000000000005</v>
      </c>
    </row>
    <row r="503" spans="1:7" ht="32.999496" customHeight="1" x14ac:dyDescent="0.15">
      <c r="A503" s="158">
        <v>501.0</v>
      </c>
      <c r="B503" s="158" t="s">
        <v>8</v>
      </c>
      <c r="C503" s="158" t="s">
        <f>"王宇"</f>
        <v>296</v>
      </c>
      <c r="D503" s="158" t="s">
        <f>"15010111721"</f>
        <v>974</v>
      </c>
      <c r="E503" s="158">
        <v>35.11</v>
      </c>
      <c r="F503" s="158"/>
      <c r="G503" s="158">
        <v>35.11</v>
      </c>
    </row>
    <row r="504" spans="1:7" ht="32.999496" customHeight="1" x14ac:dyDescent="0.15">
      <c r="A504" s="158">
        <v>502.0</v>
      </c>
      <c r="B504" s="158" t="s">
        <v>8</v>
      </c>
      <c r="C504" s="158" t="s">
        <f>"杨秀娟"</f>
        <v>975</v>
      </c>
      <c r="D504" s="158" t="s">
        <f>"15010111722"</f>
        <v>976</v>
      </c>
      <c r="E504" s="158">
        <v>54.64</v>
      </c>
      <c r="F504" s="158"/>
      <c r="G504" s="158">
        <v>54.64</v>
      </c>
    </row>
    <row r="505" spans="1:7" ht="32.999496" customHeight="1" x14ac:dyDescent="0.15">
      <c r="A505" s="158">
        <v>503.0</v>
      </c>
      <c r="B505" s="158" t="s">
        <v>8</v>
      </c>
      <c r="C505" s="158" t="s">
        <f>"郁摇蓝"</f>
        <v>977</v>
      </c>
      <c r="D505" s="158" t="s">
        <f>"15010111723"</f>
        <v>978</v>
      </c>
      <c r="E505" s="158">
        <v>68.44</v>
      </c>
      <c r="F505" s="158">
        <v>2.5</v>
      </c>
      <c r="G505" s="158">
        <v>70.94</v>
      </c>
    </row>
    <row r="506" spans="1:7" ht="32.999496" customHeight="1" x14ac:dyDescent="0.15">
      <c r="A506" s="158">
        <v>504.0</v>
      </c>
      <c r="B506" s="158" t="s">
        <v>8</v>
      </c>
      <c r="C506" s="158" t="s">
        <f>"王平"</f>
        <v>979</v>
      </c>
      <c r="D506" s="158" t="s">
        <f>"15010111724"</f>
        <v>980</v>
      </c>
      <c r="E506" s="158">
        <v>66.50999999999999</v>
      </c>
      <c r="F506" s="158"/>
      <c r="G506" s="158">
        <v>66.50999999999999</v>
      </c>
    </row>
    <row r="507" spans="1:7" ht="32.999496" customHeight="1" x14ac:dyDescent="0.15">
      <c r="A507" s="158">
        <v>505.0</v>
      </c>
      <c r="B507" s="158" t="s">
        <v>8</v>
      </c>
      <c r="C507" s="158" t="s">
        <f>"吴柄渐"</f>
        <v>981</v>
      </c>
      <c r="D507" s="158" t="s">
        <f>"15010111725"</f>
        <v>982</v>
      </c>
      <c r="E507" s="158">
        <v>68.82</v>
      </c>
      <c r="F507" s="158"/>
      <c r="G507" s="158">
        <v>68.82</v>
      </c>
    </row>
    <row r="508" spans="1:7" ht="32.999496" customHeight="1" x14ac:dyDescent="0.15">
      <c r="A508" s="158">
        <v>506.0</v>
      </c>
      <c r="B508" s="158" t="s">
        <v>8</v>
      </c>
      <c r="C508" s="158" t="s">
        <f>"孟淑婷"</f>
        <v>983</v>
      </c>
      <c r="D508" s="158" t="s">
        <f>"15010111726"</f>
        <v>984</v>
      </c>
      <c r="E508" s="158">
        <v>54.510000000000005</v>
      </c>
      <c r="F508" s="158"/>
      <c r="G508" s="158">
        <v>54.510000000000005</v>
      </c>
    </row>
    <row r="509" spans="1:7" ht="32.999496" customHeight="1" x14ac:dyDescent="0.15">
      <c r="A509" s="158">
        <v>507.0</v>
      </c>
      <c r="B509" s="158" t="s">
        <v>8</v>
      </c>
      <c r="C509" s="158" t="s">
        <f>"王玉"</f>
        <v>985</v>
      </c>
      <c r="D509" s="158" t="s">
        <f>"15010111727"</f>
        <v>986</v>
      </c>
      <c r="E509" s="158" t="s">
        <v>15</v>
      </c>
      <c r="F509" s="158"/>
      <c r="G509" s="158" t="s">
        <v>15</v>
      </c>
    </row>
    <row r="510" spans="1:7" ht="32.999496" customHeight="1" x14ac:dyDescent="0.15">
      <c r="A510" s="158">
        <v>508.0</v>
      </c>
      <c r="B510" s="158" t="s">
        <v>8</v>
      </c>
      <c r="C510" s="158" t="s">
        <f>"郭小宇"</f>
        <v>987</v>
      </c>
      <c r="D510" s="158" t="s">
        <f>"15010111728"</f>
        <v>988</v>
      </c>
      <c r="E510" s="158">
        <v>56.16</v>
      </c>
      <c r="F510" s="158"/>
      <c r="G510" s="158">
        <v>56.16</v>
      </c>
    </row>
    <row r="511" spans="1:7" ht="32.999496" customHeight="1" x14ac:dyDescent="0.15">
      <c r="A511" s="158">
        <v>509.0</v>
      </c>
      <c r="B511" s="158" t="s">
        <v>8</v>
      </c>
      <c r="C511" s="158" t="s">
        <f>"张宁"</f>
        <v>989</v>
      </c>
      <c r="D511" s="158" t="s">
        <f>"15010111729"</f>
        <v>990</v>
      </c>
      <c r="E511" s="158">
        <v>49.83</v>
      </c>
      <c r="F511" s="158"/>
      <c r="G511" s="158">
        <v>49.83</v>
      </c>
    </row>
    <row r="512" spans="1:7" ht="32.999496" customHeight="1" x14ac:dyDescent="0.15">
      <c r="A512" s="158">
        <v>510.0</v>
      </c>
      <c r="B512" s="158" t="s">
        <v>8</v>
      </c>
      <c r="C512" s="158" t="s">
        <f>"马丽芳"</f>
        <v>991</v>
      </c>
      <c r="D512" s="158" t="s">
        <f>"15010111730"</f>
        <v>992</v>
      </c>
      <c r="E512" s="158">
        <v>74.28</v>
      </c>
      <c r="F512" s="158"/>
      <c r="G512" s="158">
        <v>74.28</v>
      </c>
    </row>
    <row r="513" spans="1:7" ht="32.999496" customHeight="1" x14ac:dyDescent="0.15">
      <c r="A513" s="158">
        <v>511.0</v>
      </c>
      <c r="B513" s="158" t="s">
        <v>8</v>
      </c>
      <c r="C513" s="158" t="s">
        <f>"张乐"</f>
        <v>92</v>
      </c>
      <c r="D513" s="158" t="s">
        <f>"15010111801"</f>
        <v>993</v>
      </c>
      <c r="E513" s="158">
        <v>60.16</v>
      </c>
      <c r="F513" s="158"/>
      <c r="G513" s="158">
        <v>60.16</v>
      </c>
    </row>
    <row r="514" spans="1:7" ht="32.999496" customHeight="1" x14ac:dyDescent="0.15">
      <c r="A514" s="158">
        <v>512.0</v>
      </c>
      <c r="B514" s="158" t="s">
        <v>8</v>
      </c>
      <c r="C514" s="158" t="s">
        <f>"王乐"</f>
        <v>994</v>
      </c>
      <c r="D514" s="158" t="s">
        <f>"15010111802"</f>
        <v>995</v>
      </c>
      <c r="E514" s="158">
        <v>53.480000000000004</v>
      </c>
      <c r="F514" s="158"/>
      <c r="G514" s="158">
        <v>53.480000000000004</v>
      </c>
    </row>
    <row r="515" spans="1:7" ht="32.999496" customHeight="1" x14ac:dyDescent="0.15">
      <c r="A515" s="158">
        <v>513.0</v>
      </c>
      <c r="B515" s="158" t="s">
        <v>8</v>
      </c>
      <c r="C515" s="158" t="s">
        <f>"谢彩虹"</f>
        <v>996</v>
      </c>
      <c r="D515" s="158" t="s">
        <f>"15010111803"</f>
        <v>997</v>
      </c>
      <c r="E515" s="158">
        <v>45.5</v>
      </c>
      <c r="F515" s="158"/>
      <c r="G515" s="158">
        <v>45.5</v>
      </c>
    </row>
    <row r="516" spans="1:7" ht="32.999496" customHeight="1" x14ac:dyDescent="0.15">
      <c r="A516" s="158">
        <v>514.0</v>
      </c>
      <c r="B516" s="158" t="s">
        <v>8</v>
      </c>
      <c r="C516" s="158" t="s">
        <f>"杨凯宁"</f>
        <v>998</v>
      </c>
      <c r="D516" s="158" t="s">
        <f>"15010111804"</f>
        <v>999</v>
      </c>
      <c r="E516" s="158">
        <v>53.39</v>
      </c>
      <c r="F516" s="158"/>
      <c r="G516" s="158">
        <v>53.39</v>
      </c>
    </row>
    <row r="517" spans="1:7" ht="32.999496" customHeight="1" x14ac:dyDescent="0.15">
      <c r="A517" s="158">
        <v>515.0</v>
      </c>
      <c r="B517" s="158" t="s">
        <v>8</v>
      </c>
      <c r="C517" s="158" t="s">
        <f>"张姝云"</f>
        <v>1000</v>
      </c>
      <c r="D517" s="158" t="s">
        <f>"15010111805"</f>
        <v>1001</v>
      </c>
      <c r="E517" s="158">
        <v>52.230000000000004</v>
      </c>
      <c r="F517" s="158"/>
      <c r="G517" s="158">
        <v>52.230000000000004</v>
      </c>
    </row>
    <row r="518" spans="1:7" ht="32.999496" customHeight="1" x14ac:dyDescent="0.15">
      <c r="A518" s="158">
        <v>516.0</v>
      </c>
      <c r="B518" s="158" t="s">
        <v>8</v>
      </c>
      <c r="C518" s="158" t="s">
        <f>"郁巴根"</f>
        <v>1002</v>
      </c>
      <c r="D518" s="158" t="s">
        <f>"15010111806"</f>
        <v>1003</v>
      </c>
      <c r="E518" s="158" t="s">
        <v>15</v>
      </c>
      <c r="F518" s="158">
        <v>2.5</v>
      </c>
      <c r="G518" s="158" t="s">
        <v>15</v>
      </c>
    </row>
    <row r="519" spans="1:7" ht="32.999496" customHeight="1" x14ac:dyDescent="0.15">
      <c r="A519" s="158">
        <v>517.0</v>
      </c>
      <c r="B519" s="158" t="s">
        <v>8</v>
      </c>
      <c r="C519" s="158" t="s">
        <f>"尚玉龙"</f>
        <v>1004</v>
      </c>
      <c r="D519" s="158" t="s">
        <f>"15010111807"</f>
        <v>1005</v>
      </c>
      <c r="E519" s="158">
        <v>49.25</v>
      </c>
      <c r="F519" s="158"/>
      <c r="G519" s="158">
        <v>49.25</v>
      </c>
    </row>
    <row r="520" spans="1:7" ht="32.999496" customHeight="1" x14ac:dyDescent="0.15">
      <c r="A520" s="158">
        <v>518.0</v>
      </c>
      <c r="B520" s="158" t="s">
        <v>8</v>
      </c>
      <c r="C520" s="158" t="s">
        <f>"冯瑞玲"</f>
        <v>1006</v>
      </c>
      <c r="D520" s="158" t="s">
        <f>"15010111808"</f>
        <v>1007</v>
      </c>
      <c r="E520" s="158">
        <v>44.370000000000005</v>
      </c>
      <c r="F520" s="158"/>
      <c r="G520" s="158">
        <v>44.370000000000005</v>
      </c>
    </row>
    <row r="521" spans="1:7" ht="32.999496" customHeight="1" x14ac:dyDescent="0.15">
      <c r="A521" s="158">
        <v>519.0</v>
      </c>
      <c r="B521" s="158" t="s">
        <v>8</v>
      </c>
      <c r="C521" s="158" t="s">
        <f>"李鹏飞"</f>
        <v>1008</v>
      </c>
      <c r="D521" s="158" t="s">
        <f>"15010111809"</f>
        <v>1009</v>
      </c>
      <c r="E521" s="158">
        <v>58.45</v>
      </c>
      <c r="F521" s="158"/>
      <c r="G521" s="158">
        <v>58.45</v>
      </c>
    </row>
    <row r="522" spans="1:7" ht="32.999496" customHeight="1" x14ac:dyDescent="0.15">
      <c r="A522" s="158">
        <v>520.0</v>
      </c>
      <c r="B522" s="158" t="s">
        <v>8</v>
      </c>
      <c r="C522" s="158" t="s">
        <f>"郭慧"</f>
        <v>26</v>
      </c>
      <c r="D522" s="158" t="s">
        <f>"15010111810"</f>
        <v>1010</v>
      </c>
      <c r="E522" s="158" t="s">
        <v>15</v>
      </c>
      <c r="F522" s="158"/>
      <c r="G522" s="158" t="s">
        <v>15</v>
      </c>
    </row>
    <row r="523" spans="1:7" ht="32.999496" customHeight="1" x14ac:dyDescent="0.15">
      <c r="A523" s="158">
        <v>521.0</v>
      </c>
      <c r="B523" s="158" t="s">
        <v>8</v>
      </c>
      <c r="C523" s="158" t="s">
        <f>"解敏"</f>
        <v>1011</v>
      </c>
      <c r="D523" s="158" t="s">
        <f>"15010111811"</f>
        <v>1012</v>
      </c>
      <c r="E523" s="158">
        <v>48.69</v>
      </c>
      <c r="F523" s="158"/>
      <c r="G523" s="158">
        <v>48.69</v>
      </c>
    </row>
    <row r="524" spans="1:7" ht="32.999496" customHeight="1" x14ac:dyDescent="0.15">
      <c r="A524" s="158">
        <v>522.0</v>
      </c>
      <c r="B524" s="158" t="s">
        <v>8</v>
      </c>
      <c r="C524" s="158" t="s">
        <f>"刘妮"</f>
        <v>1013</v>
      </c>
      <c r="D524" s="158" t="s">
        <f>"15010111812"</f>
        <v>1014</v>
      </c>
      <c r="E524" s="158">
        <v>53.35</v>
      </c>
      <c r="F524" s="158"/>
      <c r="G524" s="158">
        <v>53.35</v>
      </c>
    </row>
    <row r="525" spans="1:7" ht="32.999496" customHeight="1" x14ac:dyDescent="0.15">
      <c r="A525" s="158">
        <v>523.0</v>
      </c>
      <c r="B525" s="158" t="s">
        <v>8</v>
      </c>
      <c r="C525" s="158" t="s">
        <f>"高明"</f>
        <v>1015</v>
      </c>
      <c r="D525" s="158" t="s">
        <f>"15010111813"</f>
        <v>1016</v>
      </c>
      <c r="E525" s="158">
        <v>52.28</v>
      </c>
      <c r="F525" s="158"/>
      <c r="G525" s="158">
        <v>52.28</v>
      </c>
    </row>
    <row r="526" spans="1:7" ht="32.999496" customHeight="1" x14ac:dyDescent="0.15">
      <c r="A526" s="158">
        <v>524.0</v>
      </c>
      <c r="B526" s="158" t="s">
        <v>8</v>
      </c>
      <c r="C526" s="158" t="s">
        <f>"温可安"</f>
        <v>1017</v>
      </c>
      <c r="D526" s="158" t="s">
        <f>"15010111814"</f>
        <v>1018</v>
      </c>
      <c r="E526" s="158" t="s">
        <v>15</v>
      </c>
      <c r="F526" s="158"/>
      <c r="G526" s="158" t="s">
        <v>15</v>
      </c>
    </row>
    <row r="527" spans="1:7" ht="32.999496" customHeight="1" x14ac:dyDescent="0.15">
      <c r="A527" s="158">
        <v>525.0</v>
      </c>
      <c r="B527" s="158" t="s">
        <v>8</v>
      </c>
      <c r="C527" s="158" t="s">
        <f>"李乐"</f>
        <v>1019</v>
      </c>
      <c r="D527" s="158" t="s">
        <f>"15010111815"</f>
        <v>1020</v>
      </c>
      <c r="E527" s="158" t="s">
        <v>15</v>
      </c>
      <c r="F527" s="158"/>
      <c r="G527" s="158" t="s">
        <v>15</v>
      </c>
    </row>
    <row r="528" spans="1:7" ht="32.999496" customHeight="1" x14ac:dyDescent="0.15">
      <c r="A528" s="158">
        <v>526.0</v>
      </c>
      <c r="B528" s="158" t="s">
        <v>8</v>
      </c>
      <c r="C528" s="158" t="s">
        <f>"李浩"</f>
        <v>1021</v>
      </c>
      <c r="D528" s="158" t="s">
        <f>"15010111816"</f>
        <v>1022</v>
      </c>
      <c r="E528" s="158" t="s">
        <v>15</v>
      </c>
      <c r="F528" s="158"/>
      <c r="G528" s="158" t="s">
        <v>15</v>
      </c>
    </row>
    <row r="529" spans="1:7" ht="32.999496" customHeight="1" x14ac:dyDescent="0.15">
      <c r="A529" s="158">
        <v>527.0</v>
      </c>
      <c r="B529" s="158" t="s">
        <v>8</v>
      </c>
      <c r="C529" s="158" t="s">
        <f>"郝红红"</f>
        <v>1023</v>
      </c>
      <c r="D529" s="158" t="s">
        <f>"15010111817"</f>
        <v>1024</v>
      </c>
      <c r="E529" s="158" t="s">
        <v>15</v>
      </c>
      <c r="F529" s="158"/>
      <c r="G529" s="158" t="s">
        <v>15</v>
      </c>
    </row>
    <row r="530" spans="1:7" ht="32.999496" customHeight="1" x14ac:dyDescent="0.15">
      <c r="A530" s="158">
        <v>528.0</v>
      </c>
      <c r="B530" s="158" t="s">
        <v>8</v>
      </c>
      <c r="C530" s="158" t="s">
        <f>"张科"</f>
        <v>1025</v>
      </c>
      <c r="D530" s="158" t="s">
        <f>"15010111818"</f>
        <v>1026</v>
      </c>
      <c r="E530" s="158">
        <v>60.07</v>
      </c>
      <c r="F530" s="158"/>
      <c r="G530" s="158">
        <v>60.07</v>
      </c>
    </row>
    <row r="531" spans="1:7" ht="32.999496" customHeight="1" x14ac:dyDescent="0.15">
      <c r="A531" s="158">
        <v>529.0</v>
      </c>
      <c r="B531" s="158" t="s">
        <v>8</v>
      </c>
      <c r="C531" s="158" t="s">
        <f>"高瑞"</f>
        <v>212</v>
      </c>
      <c r="D531" s="158" t="s">
        <f>"15010111819"</f>
        <v>1027</v>
      </c>
      <c r="E531" s="158">
        <v>56.39</v>
      </c>
      <c r="F531" s="158"/>
      <c r="G531" s="158">
        <v>56.39</v>
      </c>
    </row>
    <row r="532" spans="1:7" ht="32.999496" customHeight="1" x14ac:dyDescent="0.15">
      <c r="A532" s="158">
        <v>530.0</v>
      </c>
      <c r="B532" s="158" t="s">
        <v>8</v>
      </c>
      <c r="C532" s="158" t="s">
        <f>"杨璐"</f>
        <v>184</v>
      </c>
      <c r="D532" s="158" t="s">
        <f>"15010111820"</f>
        <v>1028</v>
      </c>
      <c r="E532" s="158" t="s">
        <v>15</v>
      </c>
      <c r="F532" s="158"/>
      <c r="G532" s="158" t="s">
        <v>15</v>
      </c>
    </row>
    <row r="533" spans="1:7" ht="32.999496" customHeight="1" x14ac:dyDescent="0.15">
      <c r="A533" s="158">
        <v>531.0</v>
      </c>
      <c r="B533" s="158" t="s">
        <v>8</v>
      </c>
      <c r="C533" s="158" t="s">
        <f>"杨小龙"</f>
        <v>1029</v>
      </c>
      <c r="D533" s="158" t="s">
        <f>"15010111821"</f>
        <v>1030</v>
      </c>
      <c r="E533" s="158">
        <v>66.14</v>
      </c>
      <c r="F533" s="158">
        <v>2.5</v>
      </c>
      <c r="G533" s="158">
        <v>68.64</v>
      </c>
    </row>
    <row r="534" spans="1:7" ht="32.999496" customHeight="1" x14ac:dyDescent="0.15">
      <c r="A534" s="158">
        <v>532.0</v>
      </c>
      <c r="B534" s="158" t="s">
        <v>8</v>
      </c>
      <c r="C534" s="158" t="s">
        <f>"王虎"</f>
        <v>1031</v>
      </c>
      <c r="D534" s="158" t="s">
        <f>"15010111822"</f>
        <v>1032</v>
      </c>
      <c r="E534" s="158">
        <v>63.23</v>
      </c>
      <c r="F534" s="158"/>
      <c r="G534" s="158">
        <v>63.23</v>
      </c>
    </row>
    <row r="535" spans="1:7" ht="32.999496" customHeight="1" x14ac:dyDescent="0.15">
      <c r="A535" s="158">
        <v>533.0</v>
      </c>
      <c r="B535" s="158" t="s">
        <v>8</v>
      </c>
      <c r="C535" s="158" t="s">
        <f>"贾敏"</f>
        <v>1033</v>
      </c>
      <c r="D535" s="158" t="s">
        <f>"15010111823"</f>
        <v>1034</v>
      </c>
      <c r="E535" s="158">
        <v>57.13</v>
      </c>
      <c r="F535" s="158"/>
      <c r="G535" s="158">
        <v>57.13</v>
      </c>
    </row>
    <row r="536" spans="1:7" ht="32.999496" customHeight="1" x14ac:dyDescent="0.15">
      <c r="A536" s="158">
        <v>534.0</v>
      </c>
      <c r="B536" s="158" t="s">
        <v>8</v>
      </c>
      <c r="C536" s="158" t="s">
        <f>"卜珍妮"</f>
        <v>1035</v>
      </c>
      <c r="D536" s="158" t="s">
        <f>"15010111824"</f>
        <v>1036</v>
      </c>
      <c r="E536" s="158">
        <v>59.26</v>
      </c>
      <c r="F536" s="158"/>
      <c r="G536" s="158">
        <v>59.26</v>
      </c>
    </row>
    <row r="537" spans="1:7" ht="32.999496" customHeight="1" x14ac:dyDescent="0.15">
      <c r="A537" s="158">
        <v>535.0</v>
      </c>
      <c r="B537" s="158" t="s">
        <v>8</v>
      </c>
      <c r="C537" s="158" t="s">
        <f>"宋璐"</f>
        <v>1037</v>
      </c>
      <c r="D537" s="158" t="s">
        <f>"15010111825"</f>
        <v>1038</v>
      </c>
      <c r="E537" s="158">
        <v>50.14</v>
      </c>
      <c r="F537" s="158"/>
      <c r="G537" s="158">
        <v>50.14</v>
      </c>
    </row>
    <row r="538" spans="1:7" ht="32.999496" customHeight="1" x14ac:dyDescent="0.15">
      <c r="A538" s="158">
        <v>536.0</v>
      </c>
      <c r="B538" s="158" t="s">
        <v>8</v>
      </c>
      <c r="C538" s="158" t="s">
        <f>"杨鲜"</f>
        <v>1039</v>
      </c>
      <c r="D538" s="158" t="s">
        <f>"15010111826"</f>
        <v>1040</v>
      </c>
      <c r="E538" s="158">
        <v>30.19</v>
      </c>
      <c r="F538" s="158"/>
      <c r="G538" s="158">
        <v>30.19</v>
      </c>
    </row>
    <row r="539" spans="1:7" ht="32.999496" customHeight="1" x14ac:dyDescent="0.15">
      <c r="A539" s="158">
        <v>537.0</v>
      </c>
      <c r="B539" s="158" t="s">
        <v>8</v>
      </c>
      <c r="C539" s="158" t="s">
        <f>"闫红丽"</f>
        <v>1041</v>
      </c>
      <c r="D539" s="158" t="s">
        <f>"15010111827"</f>
        <v>1042</v>
      </c>
      <c r="E539" s="158">
        <v>52.29</v>
      </c>
      <c r="F539" s="158"/>
      <c r="G539" s="158">
        <v>52.29</v>
      </c>
    </row>
    <row r="540" spans="1:7" ht="32.999496" customHeight="1" x14ac:dyDescent="0.15">
      <c r="A540" s="158">
        <v>538.0</v>
      </c>
      <c r="B540" s="158" t="s">
        <v>8</v>
      </c>
      <c r="C540" s="158" t="s">
        <f>"杜桂玲"</f>
        <v>1043</v>
      </c>
      <c r="D540" s="158" t="s">
        <f>"15010111828"</f>
        <v>1044</v>
      </c>
      <c r="E540" s="158">
        <v>47.32</v>
      </c>
      <c r="F540" s="158"/>
      <c r="G540" s="158">
        <v>47.32</v>
      </c>
    </row>
    <row r="541" spans="1:7" ht="32.999496" customHeight="1" x14ac:dyDescent="0.15">
      <c r="A541" s="158">
        <v>539.0</v>
      </c>
      <c r="B541" s="158" t="s">
        <v>8</v>
      </c>
      <c r="C541" s="158" t="s">
        <f>"王慧"</f>
        <v>180</v>
      </c>
      <c r="D541" s="158" t="s">
        <f>"15010111829"</f>
        <v>1045</v>
      </c>
      <c r="E541" s="158">
        <v>54.769999999999996</v>
      </c>
      <c r="F541" s="158"/>
      <c r="G541" s="158">
        <v>54.769999999999996</v>
      </c>
    </row>
    <row r="542" spans="1:7" ht="32.999496" customHeight="1" x14ac:dyDescent="0.15">
      <c r="A542" s="158">
        <v>540.0</v>
      </c>
      <c r="B542" s="158" t="s">
        <v>8</v>
      </c>
      <c r="C542" s="158" t="s">
        <f>"李艳庭"</f>
        <v>1046</v>
      </c>
      <c r="D542" s="158" t="s">
        <f>"15010111830"</f>
        <v>1047</v>
      </c>
      <c r="E542" s="158">
        <v>60.88</v>
      </c>
      <c r="F542" s="158"/>
      <c r="G542" s="158">
        <v>60.88</v>
      </c>
    </row>
    <row r="543" spans="1:7" ht="32.999496" customHeight="1" x14ac:dyDescent="0.15">
      <c r="A543" s="158">
        <v>541.0</v>
      </c>
      <c r="B543" s="158" t="s">
        <v>8</v>
      </c>
      <c r="C543" s="158" t="s">
        <f>"杨国浩"</f>
        <v>1048</v>
      </c>
      <c r="D543" s="158" t="s">
        <f>"15010111901"</f>
        <v>1049</v>
      </c>
      <c r="E543" s="158">
        <v>54.05</v>
      </c>
      <c r="F543" s="158"/>
      <c r="G543" s="158">
        <v>54.05</v>
      </c>
    </row>
    <row r="544" spans="1:7" ht="32.999496" customHeight="1" x14ac:dyDescent="0.15">
      <c r="A544" s="158">
        <v>542.0</v>
      </c>
      <c r="B544" s="158" t="s">
        <v>8</v>
      </c>
      <c r="C544" s="158" t="s">
        <f>"高飞"</f>
        <v>1050</v>
      </c>
      <c r="D544" s="158" t="s">
        <f>"15010111902"</f>
        <v>1051</v>
      </c>
      <c r="E544" s="158">
        <v>66.31</v>
      </c>
      <c r="F544" s="158"/>
      <c r="G544" s="158">
        <v>66.31</v>
      </c>
    </row>
    <row r="545" spans="1:7" ht="32.999496" customHeight="1" x14ac:dyDescent="0.15">
      <c r="A545" s="158">
        <v>543.0</v>
      </c>
      <c r="B545" s="158" t="s">
        <v>8</v>
      </c>
      <c r="C545" s="158" t="s">
        <f>"訾艺璇"</f>
        <v>1052</v>
      </c>
      <c r="D545" s="158" t="s">
        <f>"15010111903"</f>
        <v>1053</v>
      </c>
      <c r="E545" s="158">
        <v>60.6</v>
      </c>
      <c r="F545" s="158"/>
      <c r="G545" s="158">
        <v>60.6</v>
      </c>
    </row>
    <row r="546" spans="1:7" ht="32.999496" customHeight="1" x14ac:dyDescent="0.15">
      <c r="A546" s="158">
        <v>544.0</v>
      </c>
      <c r="B546" s="158" t="s">
        <v>8</v>
      </c>
      <c r="C546" s="158" t="s">
        <f>"王志刚"</f>
        <v>1054</v>
      </c>
      <c r="D546" s="158" t="s">
        <f>"15010111904"</f>
        <v>1055</v>
      </c>
      <c r="E546" s="158">
        <v>58.87</v>
      </c>
      <c r="F546" s="158"/>
      <c r="G546" s="158">
        <v>58.87</v>
      </c>
    </row>
    <row r="547" spans="1:7" ht="32.999496" customHeight="1" x14ac:dyDescent="0.15">
      <c r="A547" s="158">
        <v>545.0</v>
      </c>
      <c r="B547" s="158" t="s">
        <v>8</v>
      </c>
      <c r="C547" s="158" t="s">
        <f>"王淑娟"</f>
        <v>1056</v>
      </c>
      <c r="D547" s="158" t="s">
        <f>"15010111905"</f>
        <v>1057</v>
      </c>
      <c r="E547" s="158" t="s">
        <v>15</v>
      </c>
      <c r="F547" s="158"/>
      <c r="G547" s="158" t="s">
        <v>15</v>
      </c>
    </row>
    <row r="548" spans="1:7" ht="32.999496" customHeight="1" x14ac:dyDescent="0.15">
      <c r="A548" s="158">
        <v>546.0</v>
      </c>
      <c r="B548" s="158" t="s">
        <v>8</v>
      </c>
      <c r="C548" s="158" t="s">
        <f>"陆美丽"</f>
        <v>1058</v>
      </c>
      <c r="D548" s="158" t="s">
        <f>"15010111906"</f>
        <v>1059</v>
      </c>
      <c r="E548" s="158" t="s">
        <v>15</v>
      </c>
      <c r="F548" s="158"/>
      <c r="G548" s="158" t="s">
        <v>15</v>
      </c>
    </row>
    <row r="549" spans="1:7" ht="32.999496" customHeight="1" x14ac:dyDescent="0.15">
      <c r="A549" s="158">
        <v>547.0</v>
      </c>
      <c r="B549" s="158" t="s">
        <v>8</v>
      </c>
      <c r="C549" s="158" t="s">
        <f>"尚佩颖"</f>
        <v>1060</v>
      </c>
      <c r="D549" s="158" t="s">
        <f>"15010111907"</f>
        <v>1061</v>
      </c>
      <c r="E549" s="158">
        <v>72.12</v>
      </c>
      <c r="F549" s="158"/>
      <c r="G549" s="158">
        <v>72.12</v>
      </c>
    </row>
    <row r="550" spans="1:7" ht="32.999496" customHeight="1" x14ac:dyDescent="0.15">
      <c r="A550" s="158">
        <v>548.0</v>
      </c>
      <c r="B550" s="158" t="s">
        <v>8</v>
      </c>
      <c r="C550" s="158" t="s">
        <f>"高改过"</f>
        <v>1062</v>
      </c>
      <c r="D550" s="158" t="s">
        <f>"15010111908"</f>
        <v>1063</v>
      </c>
      <c r="E550" s="158">
        <v>60.19</v>
      </c>
      <c r="F550" s="158"/>
      <c r="G550" s="158">
        <v>60.19</v>
      </c>
    </row>
    <row r="551" spans="1:7" ht="32.999496" customHeight="1" x14ac:dyDescent="0.15">
      <c r="A551" s="158">
        <v>549.0</v>
      </c>
      <c r="B551" s="158" t="s">
        <v>8</v>
      </c>
      <c r="C551" s="158" t="s">
        <f>"乔敏"</f>
        <v>673</v>
      </c>
      <c r="D551" s="158" t="s">
        <f>"15010111909"</f>
        <v>1064</v>
      </c>
      <c r="E551" s="158">
        <v>58.79</v>
      </c>
      <c r="F551" s="158"/>
      <c r="G551" s="158">
        <v>58.79</v>
      </c>
    </row>
    <row r="552" spans="1:7" ht="32.999496" customHeight="1" x14ac:dyDescent="0.15">
      <c r="A552" s="158">
        <v>550.0</v>
      </c>
      <c r="B552" s="158" t="s">
        <v>8</v>
      </c>
      <c r="C552" s="158" t="s">
        <f>"李慧娟"</f>
        <v>1065</v>
      </c>
      <c r="D552" s="158" t="s">
        <f>"15010111910"</f>
        <v>1066</v>
      </c>
      <c r="E552" s="158">
        <v>52.129999999999995</v>
      </c>
      <c r="F552" s="158"/>
      <c r="G552" s="158">
        <v>52.129999999999995</v>
      </c>
    </row>
    <row r="553" spans="1:7" ht="32.999496" customHeight="1" x14ac:dyDescent="0.15">
      <c r="A553" s="158">
        <v>551.0</v>
      </c>
      <c r="B553" s="158" t="s">
        <v>8</v>
      </c>
      <c r="C553" s="158" t="s">
        <f>"杨锦秀"</f>
        <v>1067</v>
      </c>
      <c r="D553" s="158" t="s">
        <f>"15010111911"</f>
        <v>1068</v>
      </c>
      <c r="E553" s="158">
        <v>53.15</v>
      </c>
      <c r="F553" s="158"/>
      <c r="G553" s="158">
        <v>53.15</v>
      </c>
    </row>
    <row r="554" spans="1:7" ht="32.999496" customHeight="1" x14ac:dyDescent="0.15">
      <c r="A554" s="158">
        <v>552.0</v>
      </c>
      <c r="B554" s="158" t="s">
        <v>8</v>
      </c>
      <c r="C554" s="158" t="s">
        <f>"郝哲"</f>
        <v>1069</v>
      </c>
      <c r="D554" s="158" t="s">
        <f>"15010111912"</f>
        <v>1070</v>
      </c>
      <c r="E554" s="158">
        <v>60.32</v>
      </c>
      <c r="F554" s="158"/>
      <c r="G554" s="158">
        <v>60.32</v>
      </c>
    </row>
    <row r="555" spans="1:7" ht="32.999496" customHeight="1" x14ac:dyDescent="0.15">
      <c r="A555" s="158">
        <v>553.0</v>
      </c>
      <c r="B555" s="158" t="s">
        <v>8</v>
      </c>
      <c r="C555" s="158" t="s">
        <f>"袁鑫远"</f>
        <v>1071</v>
      </c>
      <c r="D555" s="158" t="s">
        <f>"15010111913"</f>
        <v>1072</v>
      </c>
      <c r="E555" s="158">
        <v>57.42</v>
      </c>
      <c r="F555" s="158"/>
      <c r="G555" s="158">
        <v>57.42</v>
      </c>
    </row>
    <row r="556" spans="1:7" ht="32.999496" customHeight="1" x14ac:dyDescent="0.15">
      <c r="A556" s="158">
        <v>554.0</v>
      </c>
      <c r="B556" s="158" t="s">
        <v>8</v>
      </c>
      <c r="C556" s="158" t="s">
        <f>"杨志敏"</f>
        <v>1073</v>
      </c>
      <c r="D556" s="158" t="s">
        <f>"15010111914"</f>
        <v>1074</v>
      </c>
      <c r="E556" s="158">
        <v>28.7</v>
      </c>
      <c r="F556" s="158"/>
      <c r="G556" s="158">
        <v>28.7</v>
      </c>
    </row>
    <row r="557" spans="1:7" ht="32.999496" customHeight="1" x14ac:dyDescent="0.15">
      <c r="A557" s="158">
        <v>555.0</v>
      </c>
      <c r="B557" s="158" t="s">
        <v>8</v>
      </c>
      <c r="C557" s="158" t="s">
        <f>"吴宇皓"</f>
        <v>1075</v>
      </c>
      <c r="D557" s="158" t="s">
        <f>"15010111915"</f>
        <v>1076</v>
      </c>
      <c r="E557" s="158">
        <v>61.61</v>
      </c>
      <c r="F557" s="158"/>
      <c r="G557" s="158">
        <v>61.61</v>
      </c>
    </row>
    <row r="558" spans="1:7" ht="32.999496" customHeight="1" x14ac:dyDescent="0.15">
      <c r="A558" s="158">
        <v>556.0</v>
      </c>
      <c r="B558" s="158" t="s">
        <v>8</v>
      </c>
      <c r="C558" s="158" t="s">
        <f>"曹宇"</f>
        <v>1077</v>
      </c>
      <c r="D558" s="158" t="s">
        <f>"15010111916"</f>
        <v>1078</v>
      </c>
      <c r="E558" s="158">
        <v>55.44</v>
      </c>
      <c r="F558" s="158"/>
      <c r="G558" s="158">
        <v>55.44</v>
      </c>
    </row>
    <row r="559" spans="1:7" ht="32.999496" customHeight="1" x14ac:dyDescent="0.15">
      <c r="A559" s="158">
        <v>557.0</v>
      </c>
      <c r="B559" s="158" t="s">
        <v>8</v>
      </c>
      <c r="C559" s="158" t="s">
        <f>"曹舒泱"</f>
        <v>1079</v>
      </c>
      <c r="D559" s="158" t="s">
        <f>"15010111917"</f>
        <v>1080</v>
      </c>
      <c r="E559" s="158">
        <v>68.47</v>
      </c>
      <c r="F559" s="158"/>
      <c r="G559" s="158">
        <v>68.47</v>
      </c>
    </row>
    <row r="560" spans="1:7" ht="32.999496" customHeight="1" x14ac:dyDescent="0.15">
      <c r="A560" s="158">
        <v>558.0</v>
      </c>
      <c r="B560" s="158" t="s">
        <v>8</v>
      </c>
      <c r="C560" s="158" t="s">
        <f>"白庭"</f>
        <v>1081</v>
      </c>
      <c r="D560" s="158" t="s">
        <f>"15010111918"</f>
        <v>1082</v>
      </c>
      <c r="E560" s="158" t="s">
        <v>15</v>
      </c>
      <c r="F560" s="158"/>
      <c r="G560" s="158" t="s">
        <v>15</v>
      </c>
    </row>
    <row r="561" spans="1:7" ht="32.999496" customHeight="1" x14ac:dyDescent="0.15">
      <c r="A561" s="158">
        <v>559.0</v>
      </c>
      <c r="B561" s="158" t="s">
        <v>8</v>
      </c>
      <c r="C561" s="158" t="s">
        <f>"王彦蓉"</f>
        <v>1083</v>
      </c>
      <c r="D561" s="158" t="s">
        <f>"15010111919"</f>
        <v>1084</v>
      </c>
      <c r="E561" s="158">
        <v>68.75999999999999</v>
      </c>
      <c r="F561" s="158"/>
      <c r="G561" s="158">
        <v>68.75999999999999</v>
      </c>
    </row>
    <row r="562" spans="1:7" ht="32.999496" customHeight="1" x14ac:dyDescent="0.15">
      <c r="A562" s="158">
        <v>560.0</v>
      </c>
      <c r="B562" s="158" t="s">
        <v>8</v>
      </c>
      <c r="C562" s="158" t="s">
        <f>"张志鹏"</f>
        <v>1085</v>
      </c>
      <c r="D562" s="158" t="s">
        <f>"15010111920"</f>
        <v>1086</v>
      </c>
      <c r="E562" s="158" t="s">
        <v>15</v>
      </c>
      <c r="F562" s="158"/>
      <c r="G562" s="158" t="s">
        <v>15</v>
      </c>
    </row>
    <row r="563" spans="1:7" ht="32.999496" customHeight="1" x14ac:dyDescent="0.15">
      <c r="A563" s="158">
        <v>561.0</v>
      </c>
      <c r="B563" s="158" t="s">
        <v>8</v>
      </c>
      <c r="C563" s="158" t="s">
        <f>"王璐"</f>
        <v>358</v>
      </c>
      <c r="D563" s="158" t="s">
        <f>"15010111921"</f>
        <v>1087</v>
      </c>
      <c r="E563" s="158">
        <v>60.28</v>
      </c>
      <c r="F563" s="158"/>
      <c r="G563" s="158">
        <v>60.28</v>
      </c>
    </row>
    <row r="564" spans="1:7" ht="32.999496" customHeight="1" x14ac:dyDescent="0.15">
      <c r="A564" s="158">
        <v>562.0</v>
      </c>
      <c r="B564" s="158" t="s">
        <v>8</v>
      </c>
      <c r="C564" s="158" t="s">
        <f>"王歆"</f>
        <v>1088</v>
      </c>
      <c r="D564" s="158" t="s">
        <f>"15010111922"</f>
        <v>1089</v>
      </c>
      <c r="E564" s="158">
        <v>59.79</v>
      </c>
      <c r="F564" s="158"/>
      <c r="G564" s="158">
        <v>59.79</v>
      </c>
    </row>
    <row r="565" spans="1:7" ht="32.999496" customHeight="1" x14ac:dyDescent="0.15">
      <c r="A565" s="158">
        <v>563.0</v>
      </c>
      <c r="B565" s="158" t="s">
        <v>8</v>
      </c>
      <c r="C565" s="158" t="s">
        <f>"越红梅"</f>
        <v>1090</v>
      </c>
      <c r="D565" s="158" t="s">
        <f>"15010111923"</f>
        <v>1091</v>
      </c>
      <c r="E565" s="158" t="s">
        <v>15</v>
      </c>
      <c r="F565" s="158"/>
      <c r="G565" s="158" t="s">
        <v>15</v>
      </c>
    </row>
    <row r="566" spans="1:7" ht="32.999496" customHeight="1" x14ac:dyDescent="0.15">
      <c r="A566" s="158">
        <v>564.0</v>
      </c>
      <c r="B566" s="158" t="s">
        <v>8</v>
      </c>
      <c r="C566" s="158" t="s">
        <f>"田媛"</f>
        <v>1092</v>
      </c>
      <c r="D566" s="158" t="s">
        <f>"15010111924"</f>
        <v>1093</v>
      </c>
      <c r="E566" s="158" t="s">
        <v>15</v>
      </c>
      <c r="F566" s="158"/>
      <c r="G566" s="158" t="s">
        <v>15</v>
      </c>
    </row>
    <row r="567" spans="1:7" ht="32.999496" customHeight="1" x14ac:dyDescent="0.15">
      <c r="A567" s="158">
        <v>565.0</v>
      </c>
      <c r="B567" s="158" t="s">
        <v>8</v>
      </c>
      <c r="C567" s="158" t="s">
        <f>"吴娇娇"</f>
        <v>1094</v>
      </c>
      <c r="D567" s="158" t="s">
        <f>"15010111925"</f>
        <v>1095</v>
      </c>
      <c r="E567" s="158">
        <v>57.489999999999995</v>
      </c>
      <c r="F567" s="158"/>
      <c r="G567" s="158">
        <v>57.489999999999995</v>
      </c>
    </row>
    <row r="568" spans="1:7" ht="32.999496" customHeight="1" x14ac:dyDescent="0.15">
      <c r="A568" s="158">
        <v>566.0</v>
      </c>
      <c r="B568" s="158" t="s">
        <v>8</v>
      </c>
      <c r="C568" s="158" t="s">
        <f>"张小芬"</f>
        <v>1096</v>
      </c>
      <c r="D568" s="158" t="s">
        <f>"15010111926"</f>
        <v>1097</v>
      </c>
      <c r="E568" s="158" t="s">
        <v>15</v>
      </c>
      <c r="F568" s="158"/>
      <c r="G568" s="158" t="s">
        <v>15</v>
      </c>
    </row>
    <row r="569" spans="1:7" ht="32.999496" customHeight="1" x14ac:dyDescent="0.15">
      <c r="A569" s="158">
        <v>567.0</v>
      </c>
      <c r="B569" s="158" t="s">
        <v>8</v>
      </c>
      <c r="C569" s="158" t="s">
        <f>"高圆"</f>
        <v>1098</v>
      </c>
      <c r="D569" s="158" t="s">
        <f>"15010111927"</f>
        <v>1099</v>
      </c>
      <c r="E569" s="158">
        <v>61.37</v>
      </c>
      <c r="F569" s="158"/>
      <c r="G569" s="158">
        <v>61.37</v>
      </c>
    </row>
    <row r="570" spans="1:7" ht="32.999496" customHeight="1" x14ac:dyDescent="0.15">
      <c r="A570" s="158">
        <v>568.0</v>
      </c>
      <c r="B570" s="158" t="s">
        <v>8</v>
      </c>
      <c r="C570" s="158" t="s">
        <f>"贾强"</f>
        <v>1100</v>
      </c>
      <c r="D570" s="158" t="s">
        <f>"15010111928"</f>
        <v>1101</v>
      </c>
      <c r="E570" s="158" t="s">
        <v>15</v>
      </c>
      <c r="F570" s="158"/>
      <c r="G570" s="158" t="s">
        <v>15</v>
      </c>
    </row>
    <row r="571" spans="1:7" ht="32.999496" customHeight="1" x14ac:dyDescent="0.15">
      <c r="A571" s="158">
        <v>569.0</v>
      </c>
      <c r="B571" s="158" t="s">
        <v>8</v>
      </c>
      <c r="C571" s="158" t="s">
        <f>"杨宇"</f>
        <v>387</v>
      </c>
      <c r="D571" s="158" t="s">
        <f>"15010111929"</f>
        <v>1102</v>
      </c>
      <c r="E571" s="158">
        <v>46.629999999999995</v>
      </c>
      <c r="F571" s="158"/>
      <c r="G571" s="158">
        <v>46.629999999999995</v>
      </c>
    </row>
    <row r="572" spans="1:7" ht="32.999496" customHeight="1" x14ac:dyDescent="0.15">
      <c r="A572" s="158">
        <v>570.0</v>
      </c>
      <c r="B572" s="158" t="s">
        <v>8</v>
      </c>
      <c r="C572" s="158" t="s">
        <f>"李晶"</f>
        <v>1103</v>
      </c>
      <c r="D572" s="158" t="s">
        <f>"15010111930"</f>
        <v>1104</v>
      </c>
      <c r="E572" s="158">
        <v>59.75</v>
      </c>
      <c r="F572" s="158"/>
      <c r="G572" s="158">
        <v>59.75</v>
      </c>
    </row>
    <row r="573" spans="1:7" ht="32.999496" customHeight="1" x14ac:dyDescent="0.15">
      <c r="A573" s="158">
        <v>571.0</v>
      </c>
      <c r="B573" s="158" t="s">
        <v>8</v>
      </c>
      <c r="C573" s="158" t="s">
        <f>"秦小雨"</f>
        <v>1105</v>
      </c>
      <c r="D573" s="158" t="s">
        <f>"15010112001"</f>
        <v>1106</v>
      </c>
      <c r="E573" s="158">
        <v>54.97</v>
      </c>
      <c r="F573" s="158">
        <v>2.5</v>
      </c>
      <c r="G573" s="158">
        <v>57.47</v>
      </c>
    </row>
    <row r="574" spans="1:7" ht="32.999496" customHeight="1" x14ac:dyDescent="0.15">
      <c r="A574" s="158">
        <v>572.0</v>
      </c>
      <c r="B574" s="158" t="s">
        <v>8</v>
      </c>
      <c r="C574" s="158" t="s">
        <f>"尉超"</f>
        <v>1107</v>
      </c>
      <c r="D574" s="158" t="s">
        <f>"15010112002"</f>
        <v>1108</v>
      </c>
      <c r="E574" s="158">
        <v>58.61</v>
      </c>
      <c r="F574" s="158"/>
      <c r="G574" s="158">
        <v>58.61</v>
      </c>
    </row>
    <row r="575" spans="1:7" ht="32.999496" customHeight="1" x14ac:dyDescent="0.15">
      <c r="A575" s="158">
        <v>573.0</v>
      </c>
      <c r="B575" s="158" t="s">
        <v>8</v>
      </c>
      <c r="C575" s="158" t="s">
        <f>"刘慧"</f>
        <v>430</v>
      </c>
      <c r="D575" s="158" t="s">
        <f>"15010112003"</f>
        <v>1109</v>
      </c>
      <c r="E575" s="158">
        <v>57.78</v>
      </c>
      <c r="F575" s="158"/>
      <c r="G575" s="158">
        <v>57.78</v>
      </c>
    </row>
    <row r="576" spans="1:7" ht="32.999496" customHeight="1" x14ac:dyDescent="0.15">
      <c r="A576" s="158">
        <v>574.0</v>
      </c>
      <c r="B576" s="158" t="s">
        <v>8</v>
      </c>
      <c r="C576" s="158" t="s">
        <f>"祁晶"</f>
        <v>1110</v>
      </c>
      <c r="D576" s="158" t="s">
        <f>"15010112004"</f>
        <v>1111</v>
      </c>
      <c r="E576" s="158">
        <v>59.44</v>
      </c>
      <c r="F576" s="158"/>
      <c r="G576" s="158">
        <v>59.44</v>
      </c>
    </row>
    <row r="577" spans="1:7" ht="32.999496" customHeight="1" x14ac:dyDescent="0.15">
      <c r="A577" s="158">
        <v>575.0</v>
      </c>
      <c r="B577" s="158" t="s">
        <v>8</v>
      </c>
      <c r="C577" s="158" t="s">
        <f>"张旭"</f>
        <v>1112</v>
      </c>
      <c r="D577" s="158" t="s">
        <f>"15010112005"</f>
        <v>1113</v>
      </c>
      <c r="E577" s="158">
        <v>53.269999999999996</v>
      </c>
      <c r="F577" s="158"/>
      <c r="G577" s="158">
        <v>53.269999999999996</v>
      </c>
    </row>
    <row r="578" spans="1:7" ht="32.999496" customHeight="1" x14ac:dyDescent="0.15">
      <c r="A578" s="158">
        <v>576.0</v>
      </c>
      <c r="B578" s="158" t="s">
        <v>8</v>
      </c>
      <c r="C578" s="158" t="s">
        <f>"闫娜"</f>
        <v>458</v>
      </c>
      <c r="D578" s="158" t="s">
        <f>"15010112006"</f>
        <v>1114</v>
      </c>
      <c r="E578" s="158">
        <v>58.5</v>
      </c>
      <c r="F578" s="158"/>
      <c r="G578" s="158">
        <v>58.5</v>
      </c>
    </row>
    <row r="579" spans="1:7" ht="32.999496" customHeight="1" x14ac:dyDescent="0.15">
      <c r="A579" s="158">
        <v>577.0</v>
      </c>
      <c r="B579" s="158" t="s">
        <v>8</v>
      </c>
      <c r="C579" s="158" t="s">
        <f>"訾苑"</f>
        <v>1115</v>
      </c>
      <c r="D579" s="158" t="s">
        <f>"15010112007"</f>
        <v>1116</v>
      </c>
      <c r="E579" s="158">
        <v>55.22</v>
      </c>
      <c r="F579" s="158"/>
      <c r="G579" s="158">
        <v>55.22</v>
      </c>
    </row>
    <row r="580" spans="1:7" ht="32.999496" customHeight="1" x14ac:dyDescent="0.15">
      <c r="A580" s="158">
        <v>578.0</v>
      </c>
      <c r="B580" s="158" t="s">
        <v>8</v>
      </c>
      <c r="C580" s="158" t="s">
        <f>"刘浩东"</f>
        <v>1117</v>
      </c>
      <c r="D580" s="158" t="s">
        <f>"15010112008"</f>
        <v>1118</v>
      </c>
      <c r="E580" s="158">
        <v>59.37</v>
      </c>
      <c r="F580" s="158"/>
      <c r="G580" s="158">
        <v>59.37</v>
      </c>
    </row>
    <row r="581" spans="1:7" ht="32.999496" customHeight="1" x14ac:dyDescent="0.15">
      <c r="A581" s="158">
        <v>579.0</v>
      </c>
      <c r="B581" s="158" t="s">
        <v>8</v>
      </c>
      <c r="C581" s="158" t="s">
        <f>"张晓泽"</f>
        <v>1119</v>
      </c>
      <c r="D581" s="158" t="s">
        <f>"15010112009"</f>
        <v>1120</v>
      </c>
      <c r="E581" s="158">
        <v>54.3</v>
      </c>
      <c r="F581" s="158"/>
      <c r="G581" s="158">
        <v>54.3</v>
      </c>
    </row>
    <row r="582" spans="1:7" ht="32.999496" customHeight="1" x14ac:dyDescent="0.15">
      <c r="A582" s="158">
        <v>580.0</v>
      </c>
      <c r="B582" s="158" t="s">
        <v>8</v>
      </c>
      <c r="C582" s="158" t="s">
        <f>"陈浩"</f>
        <v>1121</v>
      </c>
      <c r="D582" s="158" t="s">
        <f>"15010112010"</f>
        <v>1122</v>
      </c>
      <c r="E582" s="158" t="s">
        <v>15</v>
      </c>
      <c r="F582" s="158"/>
      <c r="G582" s="158" t="s">
        <v>15</v>
      </c>
    </row>
    <row r="583" spans="1:7" ht="32.999496" customHeight="1" x14ac:dyDescent="0.15">
      <c r="A583" s="158">
        <v>581.0</v>
      </c>
      <c r="B583" s="158" t="s">
        <v>8</v>
      </c>
      <c r="C583" s="158" t="s">
        <f>"郭宏耀"</f>
        <v>1123</v>
      </c>
      <c r="D583" s="158" t="s">
        <f>"15010112011"</f>
        <v>1124</v>
      </c>
      <c r="E583" s="158">
        <v>50.989999999999995</v>
      </c>
      <c r="F583" s="158"/>
      <c r="G583" s="158">
        <v>50.989999999999995</v>
      </c>
    </row>
    <row r="584" spans="1:7" ht="32.999496" customHeight="1" x14ac:dyDescent="0.15">
      <c r="A584" s="158">
        <v>582.0</v>
      </c>
      <c r="B584" s="158" t="s">
        <v>8</v>
      </c>
      <c r="C584" s="158" t="s">
        <f>"张澜"</f>
        <v>1125</v>
      </c>
      <c r="D584" s="158" t="s">
        <f>"15010112012"</f>
        <v>1126</v>
      </c>
      <c r="E584" s="158">
        <v>67.41</v>
      </c>
      <c r="F584" s="158"/>
      <c r="G584" s="158">
        <v>67.41</v>
      </c>
    </row>
    <row r="585" spans="1:7" ht="32.999496" customHeight="1" x14ac:dyDescent="0.15">
      <c r="A585" s="158">
        <v>583.0</v>
      </c>
      <c r="B585" s="158" t="s">
        <v>8</v>
      </c>
      <c r="C585" s="158" t="s">
        <f>"郭旭"</f>
        <v>1127</v>
      </c>
      <c r="D585" s="158" t="s">
        <f>"15010112013"</f>
        <v>1128</v>
      </c>
      <c r="E585" s="158">
        <v>55.18</v>
      </c>
      <c r="F585" s="158"/>
      <c r="G585" s="158">
        <v>55.18</v>
      </c>
    </row>
    <row r="586" spans="1:7" ht="32.999496" customHeight="1" x14ac:dyDescent="0.15">
      <c r="A586" s="158">
        <v>584.0</v>
      </c>
      <c r="B586" s="158" t="s">
        <v>8</v>
      </c>
      <c r="C586" s="158" t="s">
        <f>"马慧"</f>
        <v>1129</v>
      </c>
      <c r="D586" s="158" t="s">
        <f>"15010112014"</f>
        <v>1130</v>
      </c>
      <c r="E586" s="158">
        <v>66.62</v>
      </c>
      <c r="F586" s="158"/>
      <c r="G586" s="158">
        <v>66.62</v>
      </c>
    </row>
    <row r="587" spans="1:7" ht="32.999496" customHeight="1" x14ac:dyDescent="0.15">
      <c r="A587" s="158">
        <v>585.0</v>
      </c>
      <c r="B587" s="158" t="s">
        <v>8</v>
      </c>
      <c r="C587" s="158" t="s">
        <f>"李梦瑶"</f>
        <v>1131</v>
      </c>
      <c r="D587" s="158" t="s">
        <f>"15010112015"</f>
        <v>1132</v>
      </c>
      <c r="E587" s="158">
        <v>67.5</v>
      </c>
      <c r="F587" s="158"/>
      <c r="G587" s="158">
        <v>67.5</v>
      </c>
    </row>
    <row r="588" spans="1:7" ht="32.999496" customHeight="1" x14ac:dyDescent="0.15">
      <c r="A588" s="158">
        <v>586.0</v>
      </c>
      <c r="B588" s="158" t="s">
        <v>8</v>
      </c>
      <c r="C588" s="158" t="s">
        <f>"刘星宇"</f>
        <v>1133</v>
      </c>
      <c r="D588" s="158" t="s">
        <f>"15010112016"</f>
        <v>1134</v>
      </c>
      <c r="E588" s="158">
        <v>64.08</v>
      </c>
      <c r="F588" s="158"/>
      <c r="G588" s="158">
        <v>64.08</v>
      </c>
    </row>
    <row r="589" spans="1:7" ht="32.999496" customHeight="1" x14ac:dyDescent="0.15">
      <c r="A589" s="158">
        <v>587.0</v>
      </c>
      <c r="B589" s="158" t="s">
        <v>8</v>
      </c>
      <c r="C589" s="158" t="s">
        <f>"孟馨蕊"</f>
        <v>1135</v>
      </c>
      <c r="D589" s="158" t="s">
        <f>"15010112017"</f>
        <v>1136</v>
      </c>
      <c r="E589" s="158" t="s">
        <v>15</v>
      </c>
      <c r="F589" s="158"/>
      <c r="G589" s="158" t="s">
        <v>15</v>
      </c>
    </row>
    <row r="590" spans="1:7" ht="32.999496" customHeight="1" x14ac:dyDescent="0.15">
      <c r="A590" s="158">
        <v>588.0</v>
      </c>
      <c r="B590" s="158" t="s">
        <v>8</v>
      </c>
      <c r="C590" s="158" t="s">
        <f>"田芳"</f>
        <v>1137</v>
      </c>
      <c r="D590" s="158" t="s">
        <f>"15010112018"</f>
        <v>1138</v>
      </c>
      <c r="E590" s="158">
        <v>43.65</v>
      </c>
      <c r="F590" s="158"/>
      <c r="G590" s="158">
        <v>43.65</v>
      </c>
    </row>
    <row r="591" spans="1:7" ht="32.999496" customHeight="1" x14ac:dyDescent="0.15">
      <c r="A591" s="158">
        <v>589.0</v>
      </c>
      <c r="B591" s="158" t="s">
        <v>8</v>
      </c>
      <c r="C591" s="158" t="s">
        <f>"苏媛"</f>
        <v>1139</v>
      </c>
      <c r="D591" s="158" t="s">
        <f>"15010112019"</f>
        <v>1140</v>
      </c>
      <c r="E591" s="158">
        <v>48.16</v>
      </c>
      <c r="F591" s="158"/>
      <c r="G591" s="158">
        <v>48.16</v>
      </c>
    </row>
    <row r="592" spans="1:7" ht="32.999496" customHeight="1" x14ac:dyDescent="0.15">
      <c r="A592" s="158">
        <v>590.0</v>
      </c>
      <c r="B592" s="158" t="s">
        <v>8</v>
      </c>
      <c r="C592" s="158" t="s">
        <f>"王亮"</f>
        <v>1141</v>
      </c>
      <c r="D592" s="158" t="s">
        <f>"15010112020"</f>
        <v>1142</v>
      </c>
      <c r="E592" s="158">
        <v>61.71</v>
      </c>
      <c r="F592" s="158"/>
      <c r="G592" s="158">
        <v>61.71</v>
      </c>
    </row>
    <row r="593" spans="1:7" ht="32.999496" customHeight="1" x14ac:dyDescent="0.15">
      <c r="A593" s="158">
        <v>591.0</v>
      </c>
      <c r="B593" s="158" t="s">
        <v>8</v>
      </c>
      <c r="C593" s="158" t="s">
        <f>"王娜"</f>
        <v>106</v>
      </c>
      <c r="D593" s="158" t="s">
        <f>"15010112021"</f>
        <v>1143</v>
      </c>
      <c r="E593" s="158">
        <v>56.82</v>
      </c>
      <c r="F593" s="158"/>
      <c r="G593" s="158">
        <v>56.82</v>
      </c>
    </row>
    <row r="594" spans="1:7" ht="32.999496" customHeight="1" x14ac:dyDescent="0.15">
      <c r="A594" s="158">
        <v>592.0</v>
      </c>
      <c r="B594" s="158" t="s">
        <v>8</v>
      </c>
      <c r="C594" s="158" t="s">
        <f>"尔定图"</f>
        <v>1144</v>
      </c>
      <c r="D594" s="158" t="s">
        <f>"15010112022"</f>
        <v>1145</v>
      </c>
      <c r="E594" s="158">
        <v>53.18</v>
      </c>
      <c r="F594" s="158">
        <v>2.5</v>
      </c>
      <c r="G594" s="158">
        <v>55.68</v>
      </c>
    </row>
    <row r="595" spans="1:7" ht="32.999496" customHeight="1" x14ac:dyDescent="0.15">
      <c r="A595" s="158">
        <v>593.0</v>
      </c>
      <c r="B595" s="158" t="s">
        <v>8</v>
      </c>
      <c r="C595" s="158" t="s">
        <f>"苗艳艳"</f>
        <v>1146</v>
      </c>
      <c r="D595" s="158" t="s">
        <f>"15010112023"</f>
        <v>1147</v>
      </c>
      <c r="E595" s="158">
        <v>50.54</v>
      </c>
      <c r="F595" s="158"/>
      <c r="G595" s="158">
        <v>50.54</v>
      </c>
    </row>
    <row r="596" spans="1:7" ht="32.999496" customHeight="1" x14ac:dyDescent="0.15">
      <c r="A596" s="158">
        <v>594.0</v>
      </c>
      <c r="B596" s="158" t="s">
        <v>8</v>
      </c>
      <c r="C596" s="158" t="s">
        <f>"温志强"</f>
        <v>1148</v>
      </c>
      <c r="D596" s="158" t="s">
        <f>"15010112024"</f>
        <v>1149</v>
      </c>
      <c r="E596" s="158">
        <v>55.7</v>
      </c>
      <c r="F596" s="158"/>
      <c r="G596" s="158">
        <v>55.7</v>
      </c>
    </row>
    <row r="597" spans="1:7" ht="32.999496" customHeight="1" x14ac:dyDescent="0.15">
      <c r="A597" s="158">
        <v>595.0</v>
      </c>
      <c r="B597" s="158" t="s">
        <v>8</v>
      </c>
      <c r="C597" s="158" t="s">
        <f>"杨春鹃"</f>
        <v>1150</v>
      </c>
      <c r="D597" s="158" t="s">
        <f>"15010112025"</f>
        <v>1151</v>
      </c>
      <c r="E597" s="158" t="s">
        <v>15</v>
      </c>
      <c r="F597" s="158"/>
      <c r="G597" s="158" t="s">
        <v>15</v>
      </c>
    </row>
    <row r="598" spans="1:7" ht="32.999496" customHeight="1" x14ac:dyDescent="0.15">
      <c r="A598" s="158">
        <v>596.0</v>
      </c>
      <c r="B598" s="158" t="s">
        <v>8</v>
      </c>
      <c r="C598" s="158" t="s">
        <f>"谢鑫"</f>
        <v>1152</v>
      </c>
      <c r="D598" s="158" t="s">
        <f>"15010112026"</f>
        <v>1153</v>
      </c>
      <c r="E598" s="158" t="s">
        <v>15</v>
      </c>
      <c r="F598" s="158"/>
      <c r="G598" s="158" t="s">
        <v>15</v>
      </c>
    </row>
    <row r="599" spans="1:7" ht="32.999496" customHeight="1" x14ac:dyDescent="0.15">
      <c r="A599" s="158">
        <v>597.0</v>
      </c>
      <c r="B599" s="158" t="s">
        <v>8</v>
      </c>
      <c r="C599" s="158" t="s">
        <f>"刘荣"</f>
        <v>1154</v>
      </c>
      <c r="D599" s="158" t="s">
        <f>"15010112027"</f>
        <v>1155</v>
      </c>
      <c r="E599" s="158">
        <v>67.71000000000001</v>
      </c>
      <c r="F599" s="158"/>
      <c r="G599" s="158">
        <v>67.71000000000001</v>
      </c>
    </row>
    <row r="600" spans="1:7" ht="32.999496" customHeight="1" x14ac:dyDescent="0.15">
      <c r="A600" s="158">
        <v>598.0</v>
      </c>
      <c r="B600" s="158" t="s">
        <v>8</v>
      </c>
      <c r="C600" s="158" t="s">
        <f>"呼娜"</f>
        <v>1156</v>
      </c>
      <c r="D600" s="158" t="s">
        <f>"15010112028"</f>
        <v>1157</v>
      </c>
      <c r="E600" s="158" t="s">
        <v>15</v>
      </c>
      <c r="F600" s="158"/>
      <c r="G600" s="158" t="s">
        <v>15</v>
      </c>
    </row>
    <row r="601" spans="1:7" ht="32.999496" customHeight="1" x14ac:dyDescent="0.15">
      <c r="A601" s="158">
        <v>599.0</v>
      </c>
      <c r="B601" s="158" t="s">
        <v>8</v>
      </c>
      <c r="C601" s="158" t="s">
        <f>"越慧敏"</f>
        <v>1158</v>
      </c>
      <c r="D601" s="158" t="s">
        <f>"15010112029"</f>
        <v>1159</v>
      </c>
      <c r="E601" s="158" t="s">
        <v>15</v>
      </c>
      <c r="F601" s="158"/>
      <c r="G601" s="158" t="s">
        <v>15</v>
      </c>
    </row>
    <row r="602" spans="1:7" ht="32.999496" customHeight="1" x14ac:dyDescent="0.15">
      <c r="A602" s="158">
        <v>600.0</v>
      </c>
      <c r="B602" s="158" t="s">
        <v>8</v>
      </c>
      <c r="C602" s="158" t="s">
        <f>"赵星"</f>
        <v>834</v>
      </c>
      <c r="D602" s="158" t="s">
        <f>"15010112030"</f>
        <v>1160</v>
      </c>
      <c r="E602" s="158">
        <v>33.81</v>
      </c>
      <c r="F602" s="158"/>
      <c r="G602" s="158">
        <v>33.81</v>
      </c>
    </row>
    <row r="603" spans="1:7" ht="32.999496" customHeight="1" x14ac:dyDescent="0.15">
      <c r="A603" s="158">
        <v>601.0</v>
      </c>
      <c r="B603" s="158" t="s">
        <v>8</v>
      </c>
      <c r="C603" s="158" t="s">
        <f>"康娜"</f>
        <v>1161</v>
      </c>
      <c r="D603" s="158" t="s">
        <f>"15010112101"</f>
        <v>1162</v>
      </c>
      <c r="E603" s="158">
        <v>51.28</v>
      </c>
      <c r="F603" s="158"/>
      <c r="G603" s="158">
        <v>51.28</v>
      </c>
    </row>
    <row r="604" spans="1:7" ht="32.999496" customHeight="1" x14ac:dyDescent="0.15">
      <c r="A604" s="158">
        <v>602.0</v>
      </c>
      <c r="B604" s="158" t="s">
        <v>8</v>
      </c>
      <c r="C604" s="158" t="s">
        <f>"奇智"</f>
        <v>1163</v>
      </c>
      <c r="D604" s="158" t="s">
        <f>"15010112102"</f>
        <v>1164</v>
      </c>
      <c r="E604" s="158" t="s">
        <v>15</v>
      </c>
      <c r="F604" s="158">
        <v>2.5</v>
      </c>
      <c r="G604" s="158" t="s">
        <v>15</v>
      </c>
    </row>
    <row r="605" spans="1:7" ht="32.999496" customHeight="1" x14ac:dyDescent="0.15">
      <c r="A605" s="158">
        <v>603.0</v>
      </c>
      <c r="B605" s="158" t="s">
        <v>8</v>
      </c>
      <c r="C605" s="158" t="s">
        <f>"张焱龙"</f>
        <v>1165</v>
      </c>
      <c r="D605" s="158" t="s">
        <f>"15010112103"</f>
        <v>1166</v>
      </c>
      <c r="E605" s="158">
        <v>53.17</v>
      </c>
      <c r="F605" s="158"/>
      <c r="G605" s="158">
        <v>53.17</v>
      </c>
    </row>
    <row r="606" spans="1:7" ht="32.999496" customHeight="1" x14ac:dyDescent="0.15">
      <c r="A606" s="158">
        <v>604.0</v>
      </c>
      <c r="B606" s="158" t="s">
        <v>8</v>
      </c>
      <c r="C606" s="158" t="s">
        <f>"高龙"</f>
        <v>1167</v>
      </c>
      <c r="D606" s="158" t="s">
        <f>"15010112104"</f>
        <v>1168</v>
      </c>
      <c r="E606" s="158">
        <v>38.239999999999995</v>
      </c>
      <c r="F606" s="158"/>
      <c r="G606" s="158">
        <v>38.239999999999995</v>
      </c>
    </row>
    <row r="607" spans="1:7" ht="32.999496" customHeight="1" x14ac:dyDescent="0.15">
      <c r="A607" s="158">
        <v>605.0</v>
      </c>
      <c r="B607" s="158" t="s">
        <v>8</v>
      </c>
      <c r="C607" s="158" t="s">
        <f>"王毅"</f>
        <v>1169</v>
      </c>
      <c r="D607" s="158" t="s">
        <f>"15010112105"</f>
        <v>1170</v>
      </c>
      <c r="E607" s="158">
        <v>58.31</v>
      </c>
      <c r="F607" s="158"/>
      <c r="G607" s="158">
        <v>58.31</v>
      </c>
    </row>
    <row r="608" spans="1:7" ht="32.999496" customHeight="1" x14ac:dyDescent="0.15">
      <c r="A608" s="158">
        <v>606.0</v>
      </c>
      <c r="B608" s="158" t="s">
        <v>8</v>
      </c>
      <c r="C608" s="158" t="s">
        <f>"倪浩东"</f>
        <v>1171</v>
      </c>
      <c r="D608" s="158" t="s">
        <f>"15010112106"</f>
        <v>1172</v>
      </c>
      <c r="E608" s="158">
        <v>66.58</v>
      </c>
      <c r="F608" s="158"/>
      <c r="G608" s="158">
        <v>66.58</v>
      </c>
    </row>
    <row r="609" spans="1:7" ht="32.999496" customHeight="1" x14ac:dyDescent="0.15">
      <c r="A609" s="158">
        <v>607.0</v>
      </c>
      <c r="B609" s="158" t="s">
        <v>8</v>
      </c>
      <c r="C609" s="158" t="s">
        <f>"杨其龙"</f>
        <v>1173</v>
      </c>
      <c r="D609" s="158" t="s">
        <f>"15010112107"</f>
        <v>1174</v>
      </c>
      <c r="E609" s="158">
        <v>49.19</v>
      </c>
      <c r="F609" s="158"/>
      <c r="G609" s="158">
        <v>49.19</v>
      </c>
    </row>
    <row r="610" spans="1:7" ht="32.999496" customHeight="1" x14ac:dyDescent="0.15">
      <c r="A610" s="158">
        <v>608.0</v>
      </c>
      <c r="B610" s="158" t="s">
        <v>8</v>
      </c>
      <c r="C610" s="158" t="s">
        <f>"林雪梅"</f>
        <v>1175</v>
      </c>
      <c r="D610" s="158" t="s">
        <f>"15010112108"</f>
        <v>1176</v>
      </c>
      <c r="E610" s="158">
        <v>60.91</v>
      </c>
      <c r="F610" s="158">
        <v>2.5</v>
      </c>
      <c r="G610" s="158">
        <v>63.41</v>
      </c>
    </row>
    <row r="611" spans="1:7" ht="32.999496" customHeight="1" x14ac:dyDescent="0.15">
      <c r="A611" s="158">
        <v>609.0</v>
      </c>
      <c r="B611" s="158" t="s">
        <v>8</v>
      </c>
      <c r="C611" s="158" t="s">
        <f>"高磊"</f>
        <v>1177</v>
      </c>
      <c r="D611" s="158" t="s">
        <f>"15010112109"</f>
        <v>1178</v>
      </c>
      <c r="E611" s="158">
        <v>45.97</v>
      </c>
      <c r="F611" s="158"/>
      <c r="G611" s="158">
        <v>45.97</v>
      </c>
    </row>
    <row r="612" spans="1:7" ht="32.999496" customHeight="1" x14ac:dyDescent="0.15">
      <c r="A612" s="158">
        <v>610.0</v>
      </c>
      <c r="B612" s="158" t="s">
        <v>8</v>
      </c>
      <c r="C612" s="158" t="s">
        <f>"郭红利"</f>
        <v>1179</v>
      </c>
      <c r="D612" s="158" t="s">
        <f>"15010112110"</f>
        <v>1180</v>
      </c>
      <c r="E612" s="158">
        <v>53.34</v>
      </c>
      <c r="F612" s="158"/>
      <c r="G612" s="158">
        <v>53.34</v>
      </c>
    </row>
    <row r="613" spans="1:7" ht="32.999496" customHeight="1" x14ac:dyDescent="0.15">
      <c r="A613" s="158">
        <v>611.0</v>
      </c>
      <c r="B613" s="158" t="s">
        <v>8</v>
      </c>
      <c r="C613" s="158" t="s">
        <f>"日瓦迪"</f>
        <v>1181</v>
      </c>
      <c r="D613" s="158" t="s">
        <f>"15010112111"</f>
        <v>1182</v>
      </c>
      <c r="E613" s="158">
        <v>58.64</v>
      </c>
      <c r="F613" s="158">
        <v>2.5</v>
      </c>
      <c r="G613" s="158">
        <v>61.14</v>
      </c>
    </row>
    <row r="614" spans="1:7" ht="32.999496" customHeight="1" x14ac:dyDescent="0.15">
      <c r="A614" s="158">
        <v>612.0</v>
      </c>
      <c r="B614" s="158" t="s">
        <v>8</v>
      </c>
      <c r="C614" s="158" t="s">
        <f>"赵星"</f>
        <v>834</v>
      </c>
      <c r="D614" s="158" t="s">
        <f>"15010112112"</f>
        <v>1183</v>
      </c>
      <c r="E614" s="158">
        <v>54.019999999999996</v>
      </c>
      <c r="F614" s="158"/>
      <c r="G614" s="158">
        <v>54.019999999999996</v>
      </c>
    </row>
    <row r="615" spans="1:7" ht="32.999496" customHeight="1" x14ac:dyDescent="0.15">
      <c r="A615" s="158">
        <v>613.0</v>
      </c>
      <c r="B615" s="158" t="s">
        <v>8</v>
      </c>
      <c r="C615" s="158" t="s">
        <f>"邬静"</f>
        <v>1184</v>
      </c>
      <c r="D615" s="158" t="s">
        <f>"15010112113"</f>
        <v>1185</v>
      </c>
      <c r="E615" s="158">
        <v>61.68</v>
      </c>
      <c r="F615" s="158"/>
      <c r="G615" s="158">
        <v>61.68</v>
      </c>
    </row>
    <row r="616" spans="1:7" ht="32.999496" customHeight="1" x14ac:dyDescent="0.15">
      <c r="A616" s="158">
        <v>614.0</v>
      </c>
      <c r="B616" s="158" t="s">
        <v>8</v>
      </c>
      <c r="C616" s="158" t="s">
        <f>"白旭"</f>
        <v>1186</v>
      </c>
      <c r="D616" s="158" t="s">
        <f>"15010112114"</f>
        <v>1187</v>
      </c>
      <c r="E616" s="158" t="s">
        <v>15</v>
      </c>
      <c r="F616" s="158"/>
      <c r="G616" s="158" t="s">
        <v>15</v>
      </c>
    </row>
    <row r="617" spans="1:7" ht="32.999496" customHeight="1" x14ac:dyDescent="0.15">
      <c r="A617" s="158">
        <v>615.0</v>
      </c>
      <c r="B617" s="158" t="s">
        <v>8</v>
      </c>
      <c r="C617" s="158" t="s">
        <f>"王璐"</f>
        <v>358</v>
      </c>
      <c r="D617" s="158" t="s">
        <f>"15010112115"</f>
        <v>1188</v>
      </c>
      <c r="E617" s="158">
        <v>52.14</v>
      </c>
      <c r="F617" s="158"/>
      <c r="G617" s="158">
        <v>52.14</v>
      </c>
    </row>
    <row r="618" spans="1:7" ht="32.999496" customHeight="1" x14ac:dyDescent="0.15">
      <c r="A618" s="158">
        <v>616.0</v>
      </c>
      <c r="B618" s="158" t="s">
        <v>8</v>
      </c>
      <c r="C618" s="158" t="s">
        <f>"杨旭"</f>
        <v>1189</v>
      </c>
      <c r="D618" s="158" t="s">
        <f>"15010112116"</f>
        <v>1190</v>
      </c>
      <c r="E618" s="158">
        <v>45.29</v>
      </c>
      <c r="F618" s="158"/>
      <c r="G618" s="158">
        <v>45.29</v>
      </c>
    </row>
    <row r="619" spans="1:7" ht="32.999496" customHeight="1" x14ac:dyDescent="0.15">
      <c r="A619" s="158">
        <v>617.0</v>
      </c>
      <c r="B619" s="158" t="s">
        <v>8</v>
      </c>
      <c r="C619" s="158" t="s">
        <f>"王凯立"</f>
        <v>1191</v>
      </c>
      <c r="D619" s="158" t="s">
        <f>"15010112117"</f>
        <v>1192</v>
      </c>
      <c r="E619" s="158">
        <v>67.64</v>
      </c>
      <c r="F619" s="158"/>
      <c r="G619" s="158">
        <v>67.64</v>
      </c>
    </row>
    <row r="620" spans="1:7" ht="32.999496" customHeight="1" x14ac:dyDescent="0.15">
      <c r="A620" s="158">
        <v>618.0</v>
      </c>
      <c r="B620" s="158" t="s">
        <v>8</v>
      </c>
      <c r="C620" s="158" t="s">
        <f>"徐婉涵"</f>
        <v>1193</v>
      </c>
      <c r="D620" s="158" t="s">
        <f>"15010112118"</f>
        <v>1194</v>
      </c>
      <c r="E620" s="158">
        <v>48.11</v>
      </c>
      <c r="F620" s="158"/>
      <c r="G620" s="158">
        <v>48.11</v>
      </c>
    </row>
    <row r="621" spans="1:7" ht="32.999496" customHeight="1" x14ac:dyDescent="0.15">
      <c r="A621" s="158">
        <v>619.0</v>
      </c>
      <c r="B621" s="158" t="s">
        <v>8</v>
      </c>
      <c r="C621" s="158" t="s">
        <f>"吕雯雯"</f>
        <v>1195</v>
      </c>
      <c r="D621" s="158" t="s">
        <f>"15010112119"</f>
        <v>1196</v>
      </c>
      <c r="E621" s="158">
        <v>61.1</v>
      </c>
      <c r="F621" s="158"/>
      <c r="G621" s="158">
        <v>61.1</v>
      </c>
    </row>
    <row r="622" spans="1:7" ht="32.999496" customHeight="1" x14ac:dyDescent="0.15">
      <c r="A622" s="158">
        <v>620.0</v>
      </c>
      <c r="B622" s="158" t="s">
        <v>8</v>
      </c>
      <c r="C622" s="158" t="s">
        <f>"马源"</f>
        <v>1197</v>
      </c>
      <c r="D622" s="158" t="s">
        <f>"15010112120"</f>
        <v>1198</v>
      </c>
      <c r="E622" s="158">
        <v>56.47</v>
      </c>
      <c r="F622" s="158"/>
      <c r="G622" s="158">
        <v>56.47</v>
      </c>
    </row>
    <row r="623" spans="1:7" ht="32.999496" customHeight="1" x14ac:dyDescent="0.15">
      <c r="A623" s="158">
        <v>621.0</v>
      </c>
      <c r="B623" s="158" t="s">
        <v>8</v>
      </c>
      <c r="C623" s="158" t="s">
        <f>"张利平"</f>
        <v>1199</v>
      </c>
      <c r="D623" s="158" t="s">
        <f>"15010112121"</f>
        <v>1200</v>
      </c>
      <c r="E623" s="158" t="s">
        <v>15</v>
      </c>
      <c r="F623" s="158"/>
      <c r="G623" s="158" t="s">
        <v>15</v>
      </c>
    </row>
    <row r="624" spans="1:7" ht="32.999496" customHeight="1" x14ac:dyDescent="0.15">
      <c r="A624" s="158">
        <v>622.0</v>
      </c>
      <c r="B624" s="158" t="s">
        <v>8</v>
      </c>
      <c r="C624" s="158" t="s">
        <f>"高伟"</f>
        <v>1201</v>
      </c>
      <c r="D624" s="158" t="s">
        <f>"15010112122"</f>
        <v>1202</v>
      </c>
      <c r="E624" s="158">
        <v>65.49000000000001</v>
      </c>
      <c r="F624" s="158"/>
      <c r="G624" s="158">
        <v>65.49000000000001</v>
      </c>
    </row>
    <row r="625" spans="1:7" ht="32.999496" customHeight="1" x14ac:dyDescent="0.15">
      <c r="A625" s="158">
        <v>623.0</v>
      </c>
      <c r="B625" s="158" t="s">
        <v>8</v>
      </c>
      <c r="C625" s="158" t="s">
        <f>"杨银柱"</f>
        <v>1203</v>
      </c>
      <c r="D625" s="158" t="s">
        <f>"15010112123"</f>
        <v>1204</v>
      </c>
      <c r="E625" s="158" t="s">
        <v>15</v>
      </c>
      <c r="F625" s="158">
        <v>2.5</v>
      </c>
      <c r="G625" s="158" t="s">
        <v>15</v>
      </c>
    </row>
    <row r="626" spans="1:7" ht="32.999496" customHeight="1" x14ac:dyDescent="0.15">
      <c r="A626" s="158">
        <v>624.0</v>
      </c>
      <c r="B626" s="158" t="s">
        <v>8</v>
      </c>
      <c r="C626" s="158" t="s">
        <f>"郝亮"</f>
        <v>205</v>
      </c>
      <c r="D626" s="158" t="s">
        <f>"15010112124"</f>
        <v>1205</v>
      </c>
      <c r="E626" s="158">
        <v>56.71</v>
      </c>
      <c r="F626" s="158"/>
      <c r="G626" s="158">
        <v>56.71</v>
      </c>
    </row>
    <row r="627" spans="1:7" ht="32.999496" customHeight="1" x14ac:dyDescent="0.15">
      <c r="A627" s="158">
        <v>625.0</v>
      </c>
      <c r="B627" s="158" t="s">
        <v>8</v>
      </c>
      <c r="C627" s="158" t="s">
        <f>"薛霞"</f>
        <v>1206</v>
      </c>
      <c r="D627" s="158" t="s">
        <f>"15010112125"</f>
        <v>1207</v>
      </c>
      <c r="E627" s="158" t="s">
        <v>15</v>
      </c>
      <c r="F627" s="158"/>
      <c r="G627" s="158" t="s">
        <v>15</v>
      </c>
    </row>
    <row r="628" spans="1:7" ht="32.999496" customHeight="1" x14ac:dyDescent="0.15">
      <c r="A628" s="158">
        <v>626.0</v>
      </c>
      <c r="B628" s="158" t="s">
        <v>8</v>
      </c>
      <c r="C628" s="158" t="s">
        <f>"郭鑫宇"</f>
        <v>1208</v>
      </c>
      <c r="D628" s="158" t="s">
        <f>"15010112126"</f>
        <v>1209</v>
      </c>
      <c r="E628" s="158">
        <v>51.42</v>
      </c>
      <c r="F628" s="158"/>
      <c r="G628" s="158">
        <v>51.42</v>
      </c>
    </row>
    <row r="629" spans="1:7" ht="32.999496" customHeight="1" x14ac:dyDescent="0.15">
      <c r="A629" s="158">
        <v>627.0</v>
      </c>
      <c r="B629" s="158" t="s">
        <v>8</v>
      </c>
      <c r="C629" s="158" t="s">
        <f>"张录"</f>
        <v>1210</v>
      </c>
      <c r="D629" s="158" t="s">
        <f>"15010112127"</f>
        <v>1211</v>
      </c>
      <c r="E629" s="158" t="s">
        <v>15</v>
      </c>
      <c r="F629" s="158"/>
      <c r="G629" s="158" t="s">
        <v>15</v>
      </c>
    </row>
    <row r="630" spans="1:7" ht="32.999496" customHeight="1" x14ac:dyDescent="0.15">
      <c r="A630" s="158">
        <v>628.0</v>
      </c>
      <c r="B630" s="158" t="s">
        <v>8</v>
      </c>
      <c r="C630" s="158" t="s">
        <f>"杨帅"</f>
        <v>1212</v>
      </c>
      <c r="D630" s="158" t="s">
        <f>"15010112128"</f>
        <v>1213</v>
      </c>
      <c r="E630" s="158">
        <v>61.57</v>
      </c>
      <c r="F630" s="158"/>
      <c r="G630" s="158">
        <v>61.57</v>
      </c>
    </row>
    <row r="631" spans="1:7" ht="32.999496" customHeight="1" x14ac:dyDescent="0.15">
      <c r="A631" s="158">
        <v>629.0</v>
      </c>
      <c r="B631" s="158" t="s">
        <v>8</v>
      </c>
      <c r="C631" s="158" t="s">
        <f>"樊利强"</f>
        <v>1214</v>
      </c>
      <c r="D631" s="158" t="s">
        <f>"15010112129"</f>
        <v>1215</v>
      </c>
      <c r="E631" s="158">
        <v>55.57</v>
      </c>
      <c r="F631" s="158"/>
      <c r="G631" s="158">
        <v>55.57</v>
      </c>
    </row>
    <row r="632" spans="1:7" ht="32.999496" customHeight="1" x14ac:dyDescent="0.15">
      <c r="A632" s="158">
        <v>630.0</v>
      </c>
      <c r="B632" s="158" t="s">
        <v>8</v>
      </c>
      <c r="C632" s="158" t="s">
        <f>"刘波"</f>
        <v>1216</v>
      </c>
      <c r="D632" s="158" t="s">
        <f>"15010112130"</f>
        <v>1217</v>
      </c>
      <c r="E632" s="158">
        <v>50.92</v>
      </c>
      <c r="F632" s="158"/>
      <c r="G632" s="158">
        <v>50.92</v>
      </c>
    </row>
    <row r="633" spans="1:7" ht="32.999496" customHeight="1" x14ac:dyDescent="0.15">
      <c r="A633" s="158">
        <v>631.0</v>
      </c>
      <c r="B633" s="158" t="s">
        <v>8</v>
      </c>
      <c r="C633" s="158" t="s">
        <f>"刘霞"</f>
        <v>278</v>
      </c>
      <c r="D633" s="158" t="s">
        <f>"15010112201"</f>
        <v>1218</v>
      </c>
      <c r="E633" s="158" t="s">
        <v>15</v>
      </c>
      <c r="F633" s="158"/>
      <c r="G633" s="158" t="s">
        <v>15</v>
      </c>
    </row>
    <row r="634" spans="1:7" ht="32.999496" customHeight="1" x14ac:dyDescent="0.15">
      <c r="A634" s="158">
        <v>632.0</v>
      </c>
      <c r="B634" s="158" t="s">
        <v>8</v>
      </c>
      <c r="C634" s="158" t="s">
        <f>"孙睿晗"</f>
        <v>1219</v>
      </c>
      <c r="D634" s="158" t="s">
        <f>"15010112202"</f>
        <v>1220</v>
      </c>
      <c r="E634" s="158">
        <v>59.7</v>
      </c>
      <c r="F634" s="158">
        <v>2.5</v>
      </c>
      <c r="G634" s="158">
        <v>62.2</v>
      </c>
    </row>
    <row r="635" spans="1:7" ht="32.999496" customHeight="1" x14ac:dyDescent="0.15">
      <c r="A635" s="158">
        <v>633.0</v>
      </c>
      <c r="B635" s="158" t="s">
        <v>8</v>
      </c>
      <c r="C635" s="158" t="s">
        <f>"倪乐"</f>
        <v>1221</v>
      </c>
      <c r="D635" s="158" t="s">
        <f>"15010112203"</f>
        <v>1222</v>
      </c>
      <c r="E635" s="158">
        <v>47.620000000000005</v>
      </c>
      <c r="F635" s="158"/>
      <c r="G635" s="158">
        <v>47.620000000000005</v>
      </c>
    </row>
    <row r="636" spans="1:7" ht="32.999496" customHeight="1" x14ac:dyDescent="0.15">
      <c r="A636" s="158">
        <v>634.0</v>
      </c>
      <c r="B636" s="158" t="s">
        <v>8</v>
      </c>
      <c r="C636" s="158" t="s">
        <f>"高艳芳"</f>
        <v>1223</v>
      </c>
      <c r="D636" s="158" t="s">
        <f>"15010112204"</f>
        <v>1224</v>
      </c>
      <c r="E636" s="158">
        <v>31.78</v>
      </c>
      <c r="F636" s="158"/>
      <c r="G636" s="158">
        <v>31.78</v>
      </c>
    </row>
    <row r="637" spans="1:7" ht="32.999496" customHeight="1" x14ac:dyDescent="0.15">
      <c r="A637" s="158">
        <v>635.0</v>
      </c>
      <c r="B637" s="158" t="s">
        <v>8</v>
      </c>
      <c r="C637" s="158" t="s">
        <f>"李菲"</f>
        <v>1225</v>
      </c>
      <c r="D637" s="158" t="s">
        <f>"15010112205"</f>
        <v>1226</v>
      </c>
      <c r="E637" s="158" t="s">
        <v>15</v>
      </c>
      <c r="F637" s="158"/>
      <c r="G637" s="158" t="s">
        <v>15</v>
      </c>
    </row>
    <row r="638" spans="1:7" ht="32.999496" customHeight="1" x14ac:dyDescent="0.15">
      <c r="A638" s="158">
        <v>636.0</v>
      </c>
      <c r="B638" s="158" t="s">
        <v>8</v>
      </c>
      <c r="C638" s="158" t="s">
        <f>"翟茹"</f>
        <v>1227</v>
      </c>
      <c r="D638" s="158" t="s">
        <f>"15010112206"</f>
        <v>1228</v>
      </c>
      <c r="E638" s="158">
        <v>54.59</v>
      </c>
      <c r="F638" s="158"/>
      <c r="G638" s="158">
        <v>54.59</v>
      </c>
    </row>
    <row r="639" spans="1:7" ht="32.999496" customHeight="1" x14ac:dyDescent="0.15">
      <c r="A639" s="158">
        <v>637.0</v>
      </c>
      <c r="B639" s="158" t="s">
        <v>8</v>
      </c>
      <c r="C639" s="158" t="s">
        <f>"刘宇婷"</f>
        <v>1229</v>
      </c>
      <c r="D639" s="158" t="s">
        <f>"15010112207"</f>
        <v>1230</v>
      </c>
      <c r="E639" s="158">
        <v>67.85</v>
      </c>
      <c r="F639" s="158"/>
      <c r="G639" s="158">
        <v>67.85</v>
      </c>
    </row>
    <row r="640" spans="1:7" ht="32.999496" customHeight="1" x14ac:dyDescent="0.15">
      <c r="A640" s="158">
        <v>638.0</v>
      </c>
      <c r="B640" s="158" t="s">
        <v>8</v>
      </c>
      <c r="C640" s="158" t="s">
        <f>"王媛"</f>
        <v>207</v>
      </c>
      <c r="D640" s="158" t="s">
        <f>"15010112208"</f>
        <v>1231</v>
      </c>
      <c r="E640" s="158">
        <v>48.46</v>
      </c>
      <c r="F640" s="158"/>
      <c r="G640" s="158">
        <v>48.46</v>
      </c>
    </row>
    <row r="641" spans="1:7" ht="32.999496" customHeight="1" x14ac:dyDescent="0.15">
      <c r="A641" s="158">
        <v>639.0</v>
      </c>
      <c r="B641" s="158" t="s">
        <v>8</v>
      </c>
      <c r="C641" s="158" t="s">
        <f>"王越欣"</f>
        <v>1232</v>
      </c>
      <c r="D641" s="158" t="s">
        <f>"15010112209"</f>
        <v>1233</v>
      </c>
      <c r="E641" s="158">
        <v>62.14</v>
      </c>
      <c r="F641" s="158">
        <v>2.5</v>
      </c>
      <c r="G641" s="158">
        <v>64.64</v>
      </c>
    </row>
    <row r="642" spans="1:7" ht="32.999496" customHeight="1" x14ac:dyDescent="0.15">
      <c r="A642" s="158">
        <v>640.0</v>
      </c>
      <c r="B642" s="158" t="s">
        <v>8</v>
      </c>
      <c r="C642" s="158" t="s">
        <f>"王艳"</f>
        <v>195</v>
      </c>
      <c r="D642" s="158" t="s">
        <f>"15010112210"</f>
        <v>1234</v>
      </c>
      <c r="E642" s="158">
        <v>53.269999999999996</v>
      </c>
      <c r="F642" s="158"/>
      <c r="G642" s="158">
        <v>53.269999999999996</v>
      </c>
    </row>
    <row r="643" spans="1:7" ht="32.999496" customHeight="1" x14ac:dyDescent="0.15">
      <c r="A643" s="158">
        <v>641.0</v>
      </c>
      <c r="B643" s="158" t="s">
        <v>8</v>
      </c>
      <c r="C643" s="158" t="s">
        <f>"丁智军"</f>
        <v>1235</v>
      </c>
      <c r="D643" s="158" t="s">
        <f>"15010112211"</f>
        <v>1236</v>
      </c>
      <c r="E643" s="158">
        <v>64.27000000000001</v>
      </c>
      <c r="F643" s="158"/>
      <c r="G643" s="158">
        <v>64.27000000000001</v>
      </c>
    </row>
    <row r="644" spans="1:7" ht="32.999496" customHeight="1" x14ac:dyDescent="0.15">
      <c r="A644" s="158">
        <v>642.0</v>
      </c>
      <c r="B644" s="158" t="s">
        <v>8</v>
      </c>
      <c r="C644" s="158" t="s">
        <f>"陈娜"</f>
        <v>1237</v>
      </c>
      <c r="D644" s="158" t="s">
        <f>"15010112212"</f>
        <v>1238</v>
      </c>
      <c r="E644" s="158">
        <v>49.84</v>
      </c>
      <c r="F644" s="158"/>
      <c r="G644" s="158">
        <v>49.84</v>
      </c>
    </row>
    <row r="645" spans="1:7" ht="32.999496" customHeight="1" x14ac:dyDescent="0.15">
      <c r="A645" s="158">
        <v>643.0</v>
      </c>
      <c r="B645" s="158" t="s">
        <v>8</v>
      </c>
      <c r="C645" s="158" t="s">
        <f>"陈敏"</f>
        <v>1239</v>
      </c>
      <c r="D645" s="158" t="s">
        <f>"15010112213"</f>
        <v>1240</v>
      </c>
      <c r="E645" s="158">
        <v>64.75999999999999</v>
      </c>
      <c r="F645" s="158"/>
      <c r="G645" s="158">
        <v>64.75999999999999</v>
      </c>
    </row>
    <row r="646" spans="1:7" ht="32.999496" customHeight="1" x14ac:dyDescent="0.15">
      <c r="A646" s="158">
        <v>644.0</v>
      </c>
      <c r="B646" s="158" t="s">
        <v>8</v>
      </c>
      <c r="C646" s="158" t="s">
        <f>"井金"</f>
        <v>1241</v>
      </c>
      <c r="D646" s="158" t="s">
        <f>"15010112214"</f>
        <v>1242</v>
      </c>
      <c r="E646" s="158">
        <v>52.09</v>
      </c>
      <c r="F646" s="158"/>
      <c r="G646" s="158">
        <v>52.09</v>
      </c>
    </row>
    <row r="647" spans="1:7" ht="32.999496" customHeight="1" x14ac:dyDescent="0.15">
      <c r="A647" s="158">
        <v>645.0</v>
      </c>
      <c r="B647" s="158" t="s">
        <v>8</v>
      </c>
      <c r="C647" s="158" t="s">
        <f>"王红"</f>
        <v>1243</v>
      </c>
      <c r="D647" s="158" t="s">
        <f>"15010112215"</f>
        <v>1244</v>
      </c>
      <c r="E647" s="158" t="s">
        <v>15</v>
      </c>
      <c r="F647" s="158"/>
      <c r="G647" s="158" t="s">
        <v>15</v>
      </c>
    </row>
    <row r="648" spans="1:7" ht="32.999496" customHeight="1" x14ac:dyDescent="0.15">
      <c r="A648" s="158">
        <v>646.0</v>
      </c>
      <c r="B648" s="158" t="s">
        <v>8</v>
      </c>
      <c r="C648" s="158" t="s">
        <f>"王轲欣"</f>
        <v>1245</v>
      </c>
      <c r="D648" s="158" t="s">
        <f>"15010112216"</f>
        <v>1246</v>
      </c>
      <c r="E648" s="158" t="s">
        <v>15</v>
      </c>
      <c r="F648" s="158"/>
      <c r="G648" s="158" t="s">
        <v>15</v>
      </c>
    </row>
    <row r="649" spans="1:7" ht="32.999496" customHeight="1" x14ac:dyDescent="0.15">
      <c r="A649" s="158">
        <v>647.0</v>
      </c>
      <c r="B649" s="158" t="s">
        <v>8</v>
      </c>
      <c r="C649" s="158" t="s">
        <f>"张瑞梅"</f>
        <v>1247</v>
      </c>
      <c r="D649" s="158" t="s">
        <f>"15010112217"</f>
        <v>1248</v>
      </c>
      <c r="E649" s="158" t="s">
        <v>15</v>
      </c>
      <c r="F649" s="158"/>
      <c r="G649" s="158" t="s">
        <v>15</v>
      </c>
    </row>
    <row r="650" spans="1:7" ht="32.999496" customHeight="1" x14ac:dyDescent="0.15">
      <c r="A650" s="158">
        <v>648.0</v>
      </c>
      <c r="B650" s="158" t="s">
        <v>8</v>
      </c>
      <c r="C650" s="158" t="s">
        <f>"杜敏"</f>
        <v>1249</v>
      </c>
      <c r="D650" s="158" t="s">
        <f>"15010112218"</f>
        <v>1250</v>
      </c>
      <c r="E650" s="158" t="s">
        <v>15</v>
      </c>
      <c r="F650" s="158"/>
      <c r="G650" s="158" t="s">
        <v>15</v>
      </c>
    </row>
    <row r="651" spans="1:7" ht="32.999496" customHeight="1" x14ac:dyDescent="0.15">
      <c r="A651" s="158">
        <v>649.0</v>
      </c>
      <c r="B651" s="158" t="s">
        <v>8</v>
      </c>
      <c r="C651" s="158" t="s">
        <f>"赵丹"</f>
        <v>810</v>
      </c>
      <c r="D651" s="158" t="s">
        <f>"15010112219"</f>
        <v>1251</v>
      </c>
      <c r="E651" s="158">
        <v>55.1</v>
      </c>
      <c r="F651" s="158"/>
      <c r="G651" s="158">
        <v>55.1</v>
      </c>
    </row>
    <row r="652" spans="1:7" ht="32.999496" customHeight="1" x14ac:dyDescent="0.15">
      <c r="A652" s="158">
        <v>650.0</v>
      </c>
      <c r="B652" s="158" t="s">
        <v>8</v>
      </c>
      <c r="C652" s="158" t="s">
        <f>"李洋"</f>
        <v>1252</v>
      </c>
      <c r="D652" s="158" t="s">
        <f>"15010112220"</f>
        <v>1253</v>
      </c>
      <c r="E652" s="158" t="s">
        <v>15</v>
      </c>
      <c r="F652" s="158"/>
      <c r="G652" s="158" t="s">
        <v>15</v>
      </c>
    </row>
    <row r="653" spans="1:7" ht="32.999496" customHeight="1" x14ac:dyDescent="0.15">
      <c r="A653" s="158">
        <v>651.0</v>
      </c>
      <c r="B653" s="158" t="s">
        <v>8</v>
      </c>
      <c r="C653" s="158" t="s">
        <f>"任宇"</f>
        <v>1254</v>
      </c>
      <c r="D653" s="158" t="s">
        <f>"15010112221"</f>
        <v>1255</v>
      </c>
      <c r="E653" s="158" t="s">
        <v>15</v>
      </c>
      <c r="F653" s="158"/>
      <c r="G653" s="158" t="s">
        <v>15</v>
      </c>
    </row>
    <row r="654" spans="1:7" ht="32.999496" customHeight="1" x14ac:dyDescent="0.15">
      <c r="A654" s="158">
        <v>652.0</v>
      </c>
      <c r="B654" s="158" t="s">
        <v>8</v>
      </c>
      <c r="C654" s="158" t="s">
        <f>"杨娜"</f>
        <v>534</v>
      </c>
      <c r="D654" s="158" t="s">
        <f>"15010112222"</f>
        <v>1256</v>
      </c>
      <c r="E654" s="158">
        <v>52.5</v>
      </c>
      <c r="F654" s="158"/>
      <c r="G654" s="158">
        <v>52.5</v>
      </c>
    </row>
    <row r="655" spans="1:7" ht="32.999496" customHeight="1" x14ac:dyDescent="0.15">
      <c r="A655" s="158">
        <v>653.0</v>
      </c>
      <c r="B655" s="158" t="s">
        <v>8</v>
      </c>
      <c r="C655" s="158" t="s">
        <f>"白帆"</f>
        <v>1257</v>
      </c>
      <c r="D655" s="158" t="s">
        <f>"15010112223"</f>
        <v>1258</v>
      </c>
      <c r="E655" s="158">
        <v>68.42</v>
      </c>
      <c r="F655" s="158">
        <v>2.5</v>
      </c>
      <c r="G655" s="158">
        <v>70.92</v>
      </c>
    </row>
    <row r="656" spans="1:7" ht="32.999496" customHeight="1" x14ac:dyDescent="0.15">
      <c r="A656" s="158">
        <v>654.0</v>
      </c>
      <c r="B656" s="158" t="s">
        <v>8</v>
      </c>
      <c r="C656" s="158" t="s">
        <f>"李阳"</f>
        <v>1259</v>
      </c>
      <c r="D656" s="158" t="s">
        <f>"15010112224"</f>
        <v>1260</v>
      </c>
      <c r="E656" s="158">
        <v>58.41</v>
      </c>
      <c r="F656" s="158"/>
      <c r="G656" s="158">
        <v>58.41</v>
      </c>
    </row>
    <row r="657" spans="1:7" ht="32.999496" customHeight="1" x14ac:dyDescent="0.15">
      <c r="A657" s="158">
        <v>655.0</v>
      </c>
      <c r="B657" s="158" t="s">
        <v>8</v>
      </c>
      <c r="C657" s="158" t="s">
        <f>"常乐"</f>
        <v>1261</v>
      </c>
      <c r="D657" s="158" t="s">
        <f>"15010112225"</f>
        <v>1262</v>
      </c>
      <c r="E657" s="158" t="s">
        <v>15</v>
      </c>
      <c r="F657" s="158"/>
      <c r="G657" s="158" t="s">
        <v>15</v>
      </c>
    </row>
    <row r="658" spans="1:7" ht="32.999496" customHeight="1" x14ac:dyDescent="0.15">
      <c r="A658" s="158">
        <v>656.0</v>
      </c>
      <c r="B658" s="158" t="s">
        <v>8</v>
      </c>
      <c r="C658" s="158" t="s">
        <f>"丁悦"</f>
        <v>1263</v>
      </c>
      <c r="D658" s="158" t="s">
        <f>"15010112226"</f>
        <v>1264</v>
      </c>
      <c r="E658" s="158">
        <v>68.72</v>
      </c>
      <c r="F658" s="158"/>
      <c r="G658" s="158">
        <v>68.72</v>
      </c>
    </row>
    <row r="659" spans="1:7" ht="32.999496" customHeight="1" x14ac:dyDescent="0.15">
      <c r="A659" s="158">
        <v>657.0</v>
      </c>
      <c r="B659" s="158" t="s">
        <v>8</v>
      </c>
      <c r="C659" s="158" t="s">
        <f>"苏日娜"</f>
        <v>1265</v>
      </c>
      <c r="D659" s="158" t="s">
        <f>"15010112227"</f>
        <v>1266</v>
      </c>
      <c r="E659" s="158" t="s">
        <v>15</v>
      </c>
      <c r="F659" s="158"/>
      <c r="G659" s="158" t="s">
        <v>15</v>
      </c>
    </row>
    <row r="660" spans="1:7" ht="32.999496" customHeight="1" x14ac:dyDescent="0.15">
      <c r="A660" s="158">
        <v>658.0</v>
      </c>
      <c r="B660" s="158" t="s">
        <v>8</v>
      </c>
      <c r="C660" s="158" t="s">
        <f>"折虎"</f>
        <v>1267</v>
      </c>
      <c r="D660" s="158" t="s">
        <f>"15010112228"</f>
        <v>1268</v>
      </c>
      <c r="E660" s="158">
        <v>38.79</v>
      </c>
      <c r="F660" s="158"/>
      <c r="G660" s="158">
        <v>38.79</v>
      </c>
    </row>
    <row r="661" spans="1:7" ht="32.999496" customHeight="1" x14ac:dyDescent="0.15">
      <c r="A661" s="158">
        <v>659.0</v>
      </c>
      <c r="B661" s="158" t="s">
        <v>8</v>
      </c>
      <c r="C661" s="158" t="s">
        <f>"杨倩"</f>
        <v>554</v>
      </c>
      <c r="D661" s="158" t="s">
        <f>"15010112229"</f>
        <v>1269</v>
      </c>
      <c r="E661" s="158">
        <v>49.36</v>
      </c>
      <c r="F661" s="158"/>
      <c r="G661" s="158">
        <v>49.36</v>
      </c>
    </row>
    <row r="662" spans="1:7" ht="32.999496" customHeight="1" x14ac:dyDescent="0.15">
      <c r="A662" s="158">
        <v>660.0</v>
      </c>
      <c r="B662" s="158" t="s">
        <v>8</v>
      </c>
      <c r="C662" s="158" t="s">
        <f>"郭荣"</f>
        <v>1270</v>
      </c>
      <c r="D662" s="158" t="s">
        <f>"15010112230"</f>
        <v>1271</v>
      </c>
      <c r="E662" s="158" t="s">
        <v>15</v>
      </c>
      <c r="F662" s="158"/>
      <c r="G662" s="158" t="s">
        <v>15</v>
      </c>
    </row>
    <row r="663" spans="1:7" ht="32.999496" customHeight="1" x14ac:dyDescent="0.15">
      <c r="A663" s="158">
        <v>661.0</v>
      </c>
      <c r="B663" s="158" t="s">
        <v>8</v>
      </c>
      <c r="C663" s="158" t="s">
        <f>"臧禺达"</f>
        <v>1272</v>
      </c>
      <c r="D663" s="158" t="s">
        <f>"15010112301"</f>
        <v>1273</v>
      </c>
      <c r="E663" s="158">
        <v>48.42</v>
      </c>
      <c r="F663" s="158"/>
      <c r="G663" s="158">
        <v>48.42</v>
      </c>
    </row>
    <row r="664" spans="1:7" ht="32.999496" customHeight="1" x14ac:dyDescent="0.15">
      <c r="A664" s="158">
        <v>662.0</v>
      </c>
      <c r="B664" s="158" t="s">
        <v>8</v>
      </c>
      <c r="C664" s="158" t="s">
        <f>"乔志强"</f>
        <v>1274</v>
      </c>
      <c r="D664" s="158" t="s">
        <f>"15010112302"</f>
        <v>1275</v>
      </c>
      <c r="E664" s="158" t="s">
        <v>15</v>
      </c>
      <c r="F664" s="158"/>
      <c r="G664" s="158" t="s">
        <v>15</v>
      </c>
    </row>
    <row r="665" spans="1:7" ht="32.999496" customHeight="1" x14ac:dyDescent="0.15">
      <c r="A665" s="158">
        <v>663.0</v>
      </c>
      <c r="B665" s="158" t="s">
        <v>8</v>
      </c>
      <c r="C665" s="158" t="s">
        <f>"刘洋"</f>
        <v>426</v>
      </c>
      <c r="D665" s="158" t="s">
        <f>"15010112303"</f>
        <v>1276</v>
      </c>
      <c r="E665" s="158">
        <v>50.84</v>
      </c>
      <c r="F665" s="158"/>
      <c r="G665" s="158">
        <v>50.84</v>
      </c>
    </row>
    <row r="666" spans="1:7" ht="32.999496" customHeight="1" x14ac:dyDescent="0.15">
      <c r="A666" s="158">
        <v>664.0</v>
      </c>
      <c r="B666" s="158" t="s">
        <v>8</v>
      </c>
      <c r="C666" s="158" t="s">
        <f>"尚丽"</f>
        <v>1277</v>
      </c>
      <c r="D666" s="158" t="s">
        <f>"15010112304"</f>
        <v>1278</v>
      </c>
      <c r="E666" s="158">
        <v>30.81</v>
      </c>
      <c r="F666" s="158"/>
      <c r="G666" s="158">
        <v>30.81</v>
      </c>
    </row>
    <row r="667" spans="1:7" ht="32.999496" customHeight="1" x14ac:dyDescent="0.15">
      <c r="A667" s="158">
        <v>665.0</v>
      </c>
      <c r="B667" s="158" t="s">
        <v>8</v>
      </c>
      <c r="C667" s="158" t="s">
        <f>"王荣"</f>
        <v>1279</v>
      </c>
      <c r="D667" s="158" t="s">
        <f>"15010112305"</f>
        <v>1280</v>
      </c>
      <c r="E667" s="158" t="s">
        <v>15</v>
      </c>
      <c r="F667" s="158"/>
      <c r="G667" s="158" t="s">
        <v>15</v>
      </c>
    </row>
    <row r="668" spans="1:7" ht="32.999496" customHeight="1" x14ac:dyDescent="0.15">
      <c r="A668" s="158">
        <v>666.0</v>
      </c>
      <c r="B668" s="158" t="s">
        <v>8</v>
      </c>
      <c r="C668" s="158" t="s">
        <f>"李明月"</f>
        <v>1281</v>
      </c>
      <c r="D668" s="158" t="s">
        <f>"15010112306"</f>
        <v>1282</v>
      </c>
      <c r="E668" s="158" t="s">
        <v>15</v>
      </c>
      <c r="F668" s="158">
        <v>2.5</v>
      </c>
      <c r="G668" s="158" t="s">
        <v>15</v>
      </c>
    </row>
    <row r="669" spans="1:7" ht="32.999496" customHeight="1" x14ac:dyDescent="0.15">
      <c r="A669" s="158">
        <v>667.0</v>
      </c>
      <c r="B669" s="158" t="s">
        <v>8</v>
      </c>
      <c r="C669" s="158" t="s">
        <f>"杨宏晓"</f>
        <v>1283</v>
      </c>
      <c r="D669" s="158" t="s">
        <f>"15010112307"</f>
        <v>1284</v>
      </c>
      <c r="E669" s="158" t="s">
        <v>15</v>
      </c>
      <c r="F669" s="158"/>
      <c r="G669" s="158" t="s">
        <v>15</v>
      </c>
    </row>
    <row r="670" spans="1:7" ht="32.999496" customHeight="1" x14ac:dyDescent="0.15">
      <c r="A670" s="158">
        <v>668.0</v>
      </c>
      <c r="B670" s="158" t="s">
        <v>8</v>
      </c>
      <c r="C670" s="158" t="s">
        <f>"张虹"</f>
        <v>1285</v>
      </c>
      <c r="D670" s="158" t="s">
        <f>"15010112308"</f>
        <v>1286</v>
      </c>
      <c r="E670" s="158">
        <v>52.34</v>
      </c>
      <c r="F670" s="158"/>
      <c r="G670" s="158">
        <v>52.34</v>
      </c>
    </row>
    <row r="671" spans="1:7" ht="32.999496" customHeight="1" x14ac:dyDescent="0.15">
      <c r="A671" s="158">
        <v>669.0</v>
      </c>
      <c r="B671" s="158" t="s">
        <v>8</v>
      </c>
      <c r="C671" s="158" t="s">
        <f>"白海燕"</f>
        <v>1287</v>
      </c>
      <c r="D671" s="158" t="s">
        <f>"15010112309"</f>
        <v>1288</v>
      </c>
      <c r="E671" s="158">
        <v>57.78</v>
      </c>
      <c r="F671" s="158"/>
      <c r="G671" s="158">
        <v>57.78</v>
      </c>
    </row>
    <row r="672" spans="1:7" ht="32.999496" customHeight="1" x14ac:dyDescent="0.15">
      <c r="A672" s="158">
        <v>670.0</v>
      </c>
      <c r="B672" s="158" t="s">
        <v>8</v>
      </c>
      <c r="C672" s="158" t="s">
        <f>"高鹏"</f>
        <v>1289</v>
      </c>
      <c r="D672" s="158" t="s">
        <f>"15010112310"</f>
        <v>1290</v>
      </c>
      <c r="E672" s="158" t="s">
        <v>15</v>
      </c>
      <c r="F672" s="158"/>
      <c r="G672" s="158" t="s">
        <v>15</v>
      </c>
    </row>
    <row r="673" spans="1:7" ht="32.999496" customHeight="1" x14ac:dyDescent="0.15">
      <c r="A673" s="158">
        <v>671.0</v>
      </c>
      <c r="B673" s="158" t="s">
        <v>8</v>
      </c>
      <c r="C673" s="158" t="s">
        <f>"李伟"</f>
        <v>1291</v>
      </c>
      <c r="D673" s="158" t="s">
        <f>"15010112311"</f>
        <v>1292</v>
      </c>
      <c r="E673" s="158">
        <v>60.66</v>
      </c>
      <c r="F673" s="158"/>
      <c r="G673" s="158">
        <v>60.66</v>
      </c>
    </row>
    <row r="674" spans="1:7" ht="32.999496" customHeight="1" x14ac:dyDescent="0.15">
      <c r="A674" s="158">
        <v>672.0</v>
      </c>
      <c r="B674" s="158" t="s">
        <v>8</v>
      </c>
      <c r="C674" s="158" t="s">
        <f>"张丽霞"</f>
        <v>1293</v>
      </c>
      <c r="D674" s="158" t="s">
        <f>"15010112312"</f>
        <v>1294</v>
      </c>
      <c r="E674" s="158">
        <v>55.47</v>
      </c>
      <c r="F674" s="158"/>
      <c r="G674" s="158">
        <v>55.47</v>
      </c>
    </row>
    <row r="675" spans="1:7" ht="32.999496" customHeight="1" x14ac:dyDescent="0.15">
      <c r="A675" s="158">
        <v>673.0</v>
      </c>
      <c r="B675" s="158" t="s">
        <v>8</v>
      </c>
      <c r="C675" s="158" t="s">
        <f>"张霞"</f>
        <v>1295</v>
      </c>
      <c r="D675" s="158" t="s">
        <f>"15010112313"</f>
        <v>1296</v>
      </c>
      <c r="E675" s="158">
        <v>61.76</v>
      </c>
      <c r="F675" s="158"/>
      <c r="G675" s="158">
        <v>61.76</v>
      </c>
    </row>
    <row r="676" spans="1:7" ht="32.999496" customHeight="1" x14ac:dyDescent="0.15">
      <c r="A676" s="158">
        <v>674.0</v>
      </c>
      <c r="B676" s="158" t="s">
        <v>8</v>
      </c>
      <c r="C676" s="158" t="s">
        <f>"撖霞"</f>
        <v>1297</v>
      </c>
      <c r="D676" s="158" t="s">
        <f>"15010112314"</f>
        <v>1298</v>
      </c>
      <c r="E676" s="158">
        <v>59.4</v>
      </c>
      <c r="F676" s="158"/>
      <c r="G676" s="158">
        <v>59.4</v>
      </c>
    </row>
    <row r="677" spans="1:7" ht="32.999496" customHeight="1" x14ac:dyDescent="0.15">
      <c r="A677" s="158">
        <v>675.0</v>
      </c>
      <c r="B677" s="158" t="s">
        <v>8</v>
      </c>
      <c r="C677" s="158" t="s">
        <f>"吴越"</f>
        <v>1299</v>
      </c>
      <c r="D677" s="158" t="s">
        <f>"15010112315"</f>
        <v>1300</v>
      </c>
      <c r="E677" s="158" t="s">
        <v>15</v>
      </c>
      <c r="F677" s="158"/>
      <c r="G677" s="158" t="s">
        <v>15</v>
      </c>
    </row>
    <row r="678" spans="1:7" ht="32.999496" customHeight="1" x14ac:dyDescent="0.15">
      <c r="A678" s="158">
        <v>676.0</v>
      </c>
      <c r="B678" s="158" t="s">
        <v>8</v>
      </c>
      <c r="C678" s="158" t="s">
        <f>"李腊梅"</f>
        <v>1301</v>
      </c>
      <c r="D678" s="158" t="s">
        <f>"15010112316"</f>
        <v>1302</v>
      </c>
      <c r="E678" s="158">
        <v>58.75</v>
      </c>
      <c r="F678" s="158"/>
      <c r="G678" s="158">
        <v>58.75</v>
      </c>
    </row>
    <row r="679" spans="1:7" ht="32.999496" customHeight="1" x14ac:dyDescent="0.15">
      <c r="A679" s="158">
        <v>677.0</v>
      </c>
      <c r="B679" s="158" t="s">
        <v>8</v>
      </c>
      <c r="C679" s="158" t="s">
        <f>"何欣"</f>
        <v>1303</v>
      </c>
      <c r="D679" s="158" t="s">
        <f>"15010112317"</f>
        <v>1304</v>
      </c>
      <c r="E679" s="158">
        <v>62.07</v>
      </c>
      <c r="F679" s="158"/>
      <c r="G679" s="158">
        <v>62.07</v>
      </c>
    </row>
    <row r="680" spans="1:7" ht="32.999496" customHeight="1" x14ac:dyDescent="0.15">
      <c r="A680" s="158">
        <v>678.0</v>
      </c>
      <c r="B680" s="158" t="s">
        <v>8</v>
      </c>
      <c r="C680" s="158" t="s">
        <f>"王昊"</f>
        <v>1305</v>
      </c>
      <c r="D680" s="158" t="s">
        <f>"15010112318"</f>
        <v>1306</v>
      </c>
      <c r="E680" s="158">
        <v>67.05</v>
      </c>
      <c r="F680" s="158"/>
      <c r="G680" s="158">
        <v>67.05</v>
      </c>
    </row>
    <row r="681" spans="1:7" ht="32.999496" customHeight="1" x14ac:dyDescent="0.15">
      <c r="A681" s="158">
        <v>679.0</v>
      </c>
      <c r="B681" s="158" t="s">
        <v>8</v>
      </c>
      <c r="C681" s="158" t="s">
        <f>"胡白羽"</f>
        <v>1307</v>
      </c>
      <c r="D681" s="158" t="s">
        <f>"15010112319"</f>
        <v>1308</v>
      </c>
      <c r="E681" s="158">
        <v>60.84</v>
      </c>
      <c r="F681" s="158"/>
      <c r="G681" s="158">
        <v>60.84</v>
      </c>
    </row>
    <row r="682" spans="1:7" ht="32.999496" customHeight="1" x14ac:dyDescent="0.15">
      <c r="A682" s="158">
        <v>680.0</v>
      </c>
      <c r="B682" s="158" t="s">
        <v>8</v>
      </c>
      <c r="C682" s="158" t="s">
        <f>"郝宝佳"</f>
        <v>1309</v>
      </c>
      <c r="D682" s="158" t="s">
        <f>"15010112320"</f>
        <v>1310</v>
      </c>
      <c r="E682" s="158">
        <v>54.86</v>
      </c>
      <c r="F682" s="158"/>
      <c r="G682" s="158">
        <v>54.86</v>
      </c>
    </row>
    <row r="683" spans="1:7" ht="32.999496" customHeight="1" x14ac:dyDescent="0.15">
      <c r="A683" s="158">
        <v>681.0</v>
      </c>
      <c r="B683" s="158" t="s">
        <v>8</v>
      </c>
      <c r="C683" s="158" t="s">
        <f>"张文静"</f>
        <v>1311</v>
      </c>
      <c r="D683" s="158" t="s">
        <f>"15010112321"</f>
        <v>1312</v>
      </c>
      <c r="E683" s="158">
        <v>66.87</v>
      </c>
      <c r="F683" s="158"/>
      <c r="G683" s="158">
        <v>66.87</v>
      </c>
    </row>
    <row r="684" spans="1:7" ht="32.999496" customHeight="1" x14ac:dyDescent="0.15">
      <c r="A684" s="158">
        <v>682.0</v>
      </c>
      <c r="B684" s="158" t="s">
        <v>8</v>
      </c>
      <c r="C684" s="158" t="s">
        <f>"楠定"</f>
        <v>1313</v>
      </c>
      <c r="D684" s="158" t="s">
        <f>"15010112322"</f>
        <v>1314</v>
      </c>
      <c r="E684" s="158">
        <v>57.77</v>
      </c>
      <c r="F684" s="158">
        <v>2.5</v>
      </c>
      <c r="G684" s="158">
        <v>60.27</v>
      </c>
    </row>
    <row r="685" spans="1:7" ht="32.999496" customHeight="1" x14ac:dyDescent="0.15">
      <c r="A685" s="158">
        <v>683.0</v>
      </c>
      <c r="B685" s="158" t="s">
        <v>8</v>
      </c>
      <c r="C685" s="158" t="s">
        <f>"庞璐"</f>
        <v>1315</v>
      </c>
      <c r="D685" s="158" t="s">
        <f>"15010112323"</f>
        <v>1316</v>
      </c>
      <c r="E685" s="158">
        <v>55.260000000000005</v>
      </c>
      <c r="F685" s="158"/>
      <c r="G685" s="158">
        <v>55.260000000000005</v>
      </c>
    </row>
    <row r="686" spans="1:7" ht="32.999496" customHeight="1" x14ac:dyDescent="0.15">
      <c r="A686" s="158">
        <v>684.0</v>
      </c>
      <c r="B686" s="158" t="s">
        <v>8</v>
      </c>
      <c r="C686" s="158" t="s">
        <f>"王霞"</f>
        <v>1317</v>
      </c>
      <c r="D686" s="158" t="s">
        <f>"15010112324"</f>
        <v>1318</v>
      </c>
      <c r="E686" s="158">
        <v>52.06</v>
      </c>
      <c r="F686" s="158"/>
      <c r="G686" s="158">
        <v>52.06</v>
      </c>
    </row>
    <row r="687" spans="1:7" ht="32.999496" customHeight="1" x14ac:dyDescent="0.15">
      <c r="A687" s="158">
        <v>685.0</v>
      </c>
      <c r="B687" s="158" t="s">
        <v>8</v>
      </c>
      <c r="C687" s="158" t="s">
        <f>"崔鹏羿"</f>
        <v>1319</v>
      </c>
      <c r="D687" s="158" t="s">
        <f>"15010112325"</f>
        <v>1320</v>
      </c>
      <c r="E687" s="158">
        <v>59.95</v>
      </c>
      <c r="F687" s="158"/>
      <c r="G687" s="158">
        <v>59.95</v>
      </c>
    </row>
    <row r="688" spans="1:7" ht="32.999496" customHeight="1" x14ac:dyDescent="0.15">
      <c r="A688" s="158">
        <v>686.0</v>
      </c>
      <c r="B688" s="158" t="s">
        <v>8</v>
      </c>
      <c r="C688" s="158" t="s">
        <f>"刘雨鑫"</f>
        <v>1321</v>
      </c>
      <c r="D688" s="158" t="s">
        <f>"15010112326"</f>
        <v>1322</v>
      </c>
      <c r="E688" s="158" t="s">
        <v>15</v>
      </c>
      <c r="F688" s="158"/>
      <c r="G688" s="158" t="s">
        <v>15</v>
      </c>
    </row>
    <row r="689" spans="1:7" ht="32.999496" customHeight="1" x14ac:dyDescent="0.15">
      <c r="A689" s="158">
        <v>687.0</v>
      </c>
      <c r="B689" s="158" t="s">
        <v>8</v>
      </c>
      <c r="C689" s="158" t="s">
        <f>"郭宇容"</f>
        <v>1323</v>
      </c>
      <c r="D689" s="158" t="s">
        <f>"15010112327"</f>
        <v>1324</v>
      </c>
      <c r="E689" s="158">
        <v>60.13</v>
      </c>
      <c r="F689" s="158"/>
      <c r="G689" s="158">
        <v>60.13</v>
      </c>
    </row>
    <row r="690" spans="1:7" ht="32.999496" customHeight="1" x14ac:dyDescent="0.15">
      <c r="A690" s="158">
        <v>688.0</v>
      </c>
      <c r="B690" s="158" t="s">
        <v>8</v>
      </c>
      <c r="C690" s="158" t="s">
        <f>"张栓"</f>
        <v>1325</v>
      </c>
      <c r="D690" s="158" t="s">
        <f>"15010112328"</f>
        <v>1326</v>
      </c>
      <c r="E690" s="158">
        <v>54.4</v>
      </c>
      <c r="F690" s="158"/>
      <c r="G690" s="158">
        <v>54.4</v>
      </c>
    </row>
    <row r="691" spans="1:7" ht="32.999496" customHeight="1" x14ac:dyDescent="0.15">
      <c r="A691" s="158">
        <v>689.0</v>
      </c>
      <c r="B691" s="158" t="s">
        <v>8</v>
      </c>
      <c r="C691" s="158" t="s">
        <f>"杨慧"</f>
        <v>491</v>
      </c>
      <c r="D691" s="158" t="s">
        <f>"15010112329"</f>
        <v>1327</v>
      </c>
      <c r="E691" s="158">
        <v>54.45</v>
      </c>
      <c r="F691" s="158"/>
      <c r="G691" s="158">
        <v>54.45</v>
      </c>
    </row>
    <row r="692" spans="1:7" ht="32.999496" customHeight="1" x14ac:dyDescent="0.15">
      <c r="A692" s="158">
        <v>690.0</v>
      </c>
      <c r="B692" s="158" t="s">
        <v>8</v>
      </c>
      <c r="C692" s="158" t="s">
        <f>"张雪祎"</f>
        <v>1328</v>
      </c>
      <c r="D692" s="158" t="s">
        <f>"15010112330"</f>
        <v>1329</v>
      </c>
      <c r="E692" s="158">
        <v>60.65</v>
      </c>
      <c r="F692" s="158"/>
      <c r="G692" s="158">
        <v>60.65</v>
      </c>
    </row>
    <row r="693" spans="1:7" ht="32.999496" customHeight="1" x14ac:dyDescent="0.15">
      <c r="A693" s="158">
        <v>691.0</v>
      </c>
      <c r="B693" s="158" t="s">
        <v>8</v>
      </c>
      <c r="C693" s="158" t="s">
        <f>"王慧敏"</f>
        <v>1330</v>
      </c>
      <c r="D693" s="158" t="s">
        <f>"15010112401"</f>
        <v>1331</v>
      </c>
      <c r="E693" s="158" t="s">
        <v>15</v>
      </c>
      <c r="F693" s="158"/>
      <c r="G693" s="158" t="s">
        <v>15</v>
      </c>
    </row>
    <row r="694" spans="1:7" ht="32.999496" customHeight="1" x14ac:dyDescent="0.15">
      <c r="A694" s="158">
        <v>692.0</v>
      </c>
      <c r="B694" s="158" t="s">
        <v>8</v>
      </c>
      <c r="C694" s="158" t="s">
        <f>"訾宇娇"</f>
        <v>1332</v>
      </c>
      <c r="D694" s="158" t="s">
        <f>"15010112402"</f>
        <v>1333</v>
      </c>
      <c r="E694" s="158" t="s">
        <v>15</v>
      </c>
      <c r="F694" s="158"/>
      <c r="G694" s="158" t="s">
        <v>15</v>
      </c>
    </row>
    <row r="695" spans="1:7" ht="32.999496" customHeight="1" x14ac:dyDescent="0.15">
      <c r="A695" s="158">
        <v>693.0</v>
      </c>
      <c r="B695" s="158" t="s">
        <v>8</v>
      </c>
      <c r="C695" s="158" t="s">
        <f>"郝利"</f>
        <v>1334</v>
      </c>
      <c r="D695" s="158" t="s">
        <f>"15010112403"</f>
        <v>1335</v>
      </c>
      <c r="E695" s="158">
        <v>62.75</v>
      </c>
      <c r="F695" s="158"/>
      <c r="G695" s="158">
        <v>62.75</v>
      </c>
    </row>
    <row r="696" spans="1:7" ht="32.999496" customHeight="1" x14ac:dyDescent="0.15">
      <c r="A696" s="158">
        <v>694.0</v>
      </c>
      <c r="B696" s="158" t="s">
        <v>8</v>
      </c>
      <c r="C696" s="158" t="s">
        <f>"兰秉昇"</f>
        <v>1336</v>
      </c>
      <c r="D696" s="158" t="s">
        <f>"15010112404"</f>
        <v>1337</v>
      </c>
      <c r="E696" s="158">
        <v>66.9</v>
      </c>
      <c r="F696" s="158"/>
      <c r="G696" s="158">
        <v>66.9</v>
      </c>
    </row>
    <row r="697" spans="1:7" ht="32.999496" customHeight="1" x14ac:dyDescent="0.15">
      <c r="A697" s="158">
        <v>695.0</v>
      </c>
      <c r="B697" s="158" t="s">
        <v>8</v>
      </c>
      <c r="C697" s="158" t="s">
        <f>"张小凤"</f>
        <v>1338</v>
      </c>
      <c r="D697" s="158" t="s">
        <f>"15010112405"</f>
        <v>1339</v>
      </c>
      <c r="E697" s="158">
        <v>67.11</v>
      </c>
      <c r="F697" s="158"/>
      <c r="G697" s="158">
        <v>67.11</v>
      </c>
    </row>
    <row r="698" spans="1:7" ht="32.999496" customHeight="1" x14ac:dyDescent="0.15">
      <c r="A698" s="158">
        <v>696.0</v>
      </c>
      <c r="B698" s="158" t="s">
        <v>8</v>
      </c>
      <c r="C698" s="158" t="s">
        <f>"白季鑫"</f>
        <v>1340</v>
      </c>
      <c r="D698" s="158" t="s">
        <f>"15010112406"</f>
        <v>1341</v>
      </c>
      <c r="E698" s="158" t="s">
        <v>15</v>
      </c>
      <c r="F698" s="158"/>
      <c r="G698" s="158" t="s">
        <v>15</v>
      </c>
    </row>
    <row r="699" spans="1:7" ht="32.999496" customHeight="1" x14ac:dyDescent="0.15">
      <c r="A699" s="158">
        <v>697.0</v>
      </c>
      <c r="B699" s="158" t="s">
        <v>8</v>
      </c>
      <c r="C699" s="158" t="s">
        <f>"郭锦浩"</f>
        <v>1342</v>
      </c>
      <c r="D699" s="158" t="s">
        <f>"15010112407"</f>
        <v>1343</v>
      </c>
      <c r="E699" s="158">
        <v>67.83</v>
      </c>
      <c r="F699" s="158"/>
      <c r="G699" s="158">
        <v>67.83</v>
      </c>
    </row>
    <row r="700" spans="1:7" ht="32.999496" customHeight="1" x14ac:dyDescent="0.15">
      <c r="A700" s="158">
        <v>698.0</v>
      </c>
      <c r="B700" s="158" t="s">
        <v>8</v>
      </c>
      <c r="C700" s="158" t="s">
        <f>"王凯宁"</f>
        <v>1344</v>
      </c>
      <c r="D700" s="158" t="s">
        <f>"15010112408"</f>
        <v>1345</v>
      </c>
      <c r="E700" s="158">
        <v>62.13</v>
      </c>
      <c r="F700" s="158"/>
      <c r="G700" s="158">
        <v>62.13</v>
      </c>
    </row>
    <row r="701" spans="1:7" ht="32.999496" customHeight="1" x14ac:dyDescent="0.15">
      <c r="A701" s="158">
        <v>699.0</v>
      </c>
      <c r="B701" s="158" t="s">
        <v>8</v>
      </c>
      <c r="C701" s="158" t="s">
        <f>"尚鲜梅"</f>
        <v>1346</v>
      </c>
      <c r="D701" s="158" t="s">
        <f>"15010112409"</f>
        <v>1347</v>
      </c>
      <c r="E701" s="158">
        <v>54.26</v>
      </c>
      <c r="F701" s="158"/>
      <c r="G701" s="158">
        <v>54.26</v>
      </c>
    </row>
    <row r="702" spans="1:7" ht="32.999496" customHeight="1" x14ac:dyDescent="0.15">
      <c r="A702" s="158">
        <v>700.0</v>
      </c>
      <c r="B702" s="158" t="s">
        <v>8</v>
      </c>
      <c r="C702" s="158" t="s">
        <f>"董慧"</f>
        <v>1348</v>
      </c>
      <c r="D702" s="158" t="s">
        <f>"15010112410"</f>
        <v>1349</v>
      </c>
      <c r="E702" s="158" t="s">
        <v>15</v>
      </c>
      <c r="F702" s="158"/>
      <c r="G702" s="158" t="s">
        <v>15</v>
      </c>
    </row>
    <row r="703" spans="1:7" ht="32.999496" customHeight="1" x14ac:dyDescent="0.15">
      <c r="A703" s="158">
        <v>701.0</v>
      </c>
      <c r="B703" s="158" t="s">
        <v>8</v>
      </c>
      <c r="C703" s="158" t="s">
        <f>"奥艳茹"</f>
        <v>1350</v>
      </c>
      <c r="D703" s="158" t="s">
        <f>"15010112411"</f>
        <v>1351</v>
      </c>
      <c r="E703" s="158" t="s">
        <v>15</v>
      </c>
      <c r="F703" s="158"/>
      <c r="G703" s="158" t="s">
        <v>15</v>
      </c>
    </row>
    <row r="704" spans="1:7" ht="32.999496" customHeight="1" x14ac:dyDescent="0.15">
      <c r="A704" s="158">
        <v>702.0</v>
      </c>
      <c r="B704" s="158" t="s">
        <v>8</v>
      </c>
      <c r="C704" s="158" t="s">
        <f>"李耀"</f>
        <v>1352</v>
      </c>
      <c r="D704" s="158" t="s">
        <f>"15010112412"</f>
        <v>1353</v>
      </c>
      <c r="E704" s="158">
        <v>50.739999999999995</v>
      </c>
      <c r="F704" s="158"/>
      <c r="G704" s="158">
        <v>50.739999999999995</v>
      </c>
    </row>
    <row r="705" spans="1:7" ht="32.999496" customHeight="1" x14ac:dyDescent="0.15">
      <c r="A705" s="158">
        <v>703.0</v>
      </c>
      <c r="B705" s="158" t="s">
        <v>8</v>
      </c>
      <c r="C705" s="158" t="s">
        <f>"王丽"</f>
        <v>1354</v>
      </c>
      <c r="D705" s="158" t="s">
        <f>"15010112413"</f>
        <v>1355</v>
      </c>
      <c r="E705" s="158">
        <v>61.41</v>
      </c>
      <c r="F705" s="158"/>
      <c r="G705" s="158">
        <v>61.41</v>
      </c>
    </row>
    <row r="706" spans="1:7" ht="32.999496" customHeight="1" x14ac:dyDescent="0.15">
      <c r="A706" s="158">
        <v>704.0</v>
      </c>
      <c r="B706" s="158" t="s">
        <v>8</v>
      </c>
      <c r="C706" s="158" t="s">
        <f>"张雨"</f>
        <v>1356</v>
      </c>
      <c r="D706" s="158" t="s">
        <f>"15010112414"</f>
        <v>1357</v>
      </c>
      <c r="E706" s="158">
        <v>48.54</v>
      </c>
      <c r="F706" s="158"/>
      <c r="G706" s="158">
        <v>48.54</v>
      </c>
    </row>
    <row r="707" spans="1:7" ht="32.999496" customHeight="1" x14ac:dyDescent="0.15">
      <c r="A707" s="158">
        <v>705.0</v>
      </c>
      <c r="B707" s="158" t="s">
        <v>8</v>
      </c>
      <c r="C707" s="158" t="s">
        <f>"吴迪"</f>
        <v>1358</v>
      </c>
      <c r="D707" s="158" t="s">
        <f>"15010112415"</f>
        <v>1359</v>
      </c>
      <c r="E707" s="158" t="s">
        <v>15</v>
      </c>
      <c r="F707" s="158"/>
      <c r="G707" s="158" t="s">
        <v>15</v>
      </c>
    </row>
    <row r="708" spans="1:7" ht="32.999496" customHeight="1" x14ac:dyDescent="0.15">
      <c r="A708" s="158">
        <v>706.0</v>
      </c>
      <c r="B708" s="158" t="s">
        <v>8</v>
      </c>
      <c r="C708" s="158" t="s">
        <f>"王耀龙"</f>
        <v>1360</v>
      </c>
      <c r="D708" s="158" t="s">
        <f>"15010112416"</f>
        <v>1361</v>
      </c>
      <c r="E708" s="158" t="s">
        <v>15</v>
      </c>
      <c r="F708" s="158"/>
      <c r="G708" s="158" t="s">
        <v>15</v>
      </c>
    </row>
    <row r="709" spans="1:7" ht="32.999496" customHeight="1" x14ac:dyDescent="0.15">
      <c r="A709" s="158">
        <v>707.0</v>
      </c>
      <c r="B709" s="158" t="s">
        <v>8</v>
      </c>
      <c r="C709" s="158" t="s">
        <f>"蒋瑶"</f>
        <v>1362</v>
      </c>
      <c r="D709" s="158" t="s">
        <f>"15010112417"</f>
        <v>1363</v>
      </c>
      <c r="E709" s="158">
        <v>45.260000000000005</v>
      </c>
      <c r="F709" s="158"/>
      <c r="G709" s="158">
        <v>45.260000000000005</v>
      </c>
    </row>
    <row r="710" spans="1:7" ht="32.999496" customHeight="1" x14ac:dyDescent="0.15">
      <c r="A710" s="158">
        <v>708.0</v>
      </c>
      <c r="B710" s="158" t="s">
        <v>8</v>
      </c>
      <c r="C710" s="158" t="s">
        <f>"杨露"</f>
        <v>1364</v>
      </c>
      <c r="D710" s="158" t="s">
        <f>"15010112418"</f>
        <v>1365</v>
      </c>
      <c r="E710" s="158">
        <v>46.67</v>
      </c>
      <c r="F710" s="158"/>
      <c r="G710" s="158">
        <v>46.67</v>
      </c>
    </row>
    <row r="711" spans="1:7" ht="32.999496" customHeight="1" x14ac:dyDescent="0.15">
      <c r="A711" s="158">
        <v>709.0</v>
      </c>
      <c r="B711" s="158" t="s">
        <v>8</v>
      </c>
      <c r="C711" s="158" t="s">
        <f>"王雪"</f>
        <v>1366</v>
      </c>
      <c r="D711" s="158" t="s">
        <f>"15010112419"</f>
        <v>1367</v>
      </c>
      <c r="E711" s="158">
        <v>59.72</v>
      </c>
      <c r="F711" s="158"/>
      <c r="G711" s="158">
        <v>59.72</v>
      </c>
    </row>
    <row r="712" spans="1:7" ht="32.999496" customHeight="1" x14ac:dyDescent="0.15">
      <c r="A712" s="158">
        <v>710.0</v>
      </c>
      <c r="B712" s="158" t="s">
        <v>8</v>
      </c>
      <c r="C712" s="158" t="s">
        <f>"许智敏"</f>
        <v>1368</v>
      </c>
      <c r="D712" s="158" t="s">
        <f>"15010112420"</f>
        <v>1369</v>
      </c>
      <c r="E712" s="158">
        <v>58.82</v>
      </c>
      <c r="F712" s="158"/>
      <c r="G712" s="158">
        <v>58.82</v>
      </c>
    </row>
    <row r="713" spans="1:7" ht="32.999496" customHeight="1" x14ac:dyDescent="0.15">
      <c r="A713" s="158">
        <v>711.0</v>
      </c>
      <c r="B713" s="158" t="s">
        <v>8</v>
      </c>
      <c r="C713" s="158" t="s">
        <f>"屈芳瑞"</f>
        <v>1370</v>
      </c>
      <c r="D713" s="158" t="s">
        <f>"15010112421"</f>
        <v>1371</v>
      </c>
      <c r="E713" s="158">
        <v>51.019999999999996</v>
      </c>
      <c r="F713" s="158"/>
      <c r="G713" s="158">
        <v>51.019999999999996</v>
      </c>
    </row>
    <row r="714" spans="1:7" ht="32.999496" customHeight="1" x14ac:dyDescent="0.15">
      <c r="A714" s="158">
        <v>712.0</v>
      </c>
      <c r="B714" s="158" t="s">
        <v>8</v>
      </c>
      <c r="C714" s="158" t="s">
        <f>"丁丽"</f>
        <v>1372</v>
      </c>
      <c r="D714" s="158" t="s">
        <f>"15010112422"</f>
        <v>1373</v>
      </c>
      <c r="E714" s="158" t="s">
        <v>15</v>
      </c>
      <c r="F714" s="158"/>
      <c r="G714" s="158" t="s">
        <v>15</v>
      </c>
    </row>
    <row r="715" spans="1:7" ht="32.999496" customHeight="1" x14ac:dyDescent="0.15">
      <c r="A715" s="158">
        <v>713.0</v>
      </c>
      <c r="B715" s="158" t="s">
        <v>8</v>
      </c>
      <c r="C715" s="158" t="s">
        <f>"郭忠"</f>
        <v>1374</v>
      </c>
      <c r="D715" s="158" t="s">
        <f>"15010112423"</f>
        <v>1375</v>
      </c>
      <c r="E715" s="158">
        <v>44.39</v>
      </c>
      <c r="F715" s="158"/>
      <c r="G715" s="158">
        <v>44.39</v>
      </c>
    </row>
    <row r="716" spans="1:7" ht="32.999496" customHeight="1" x14ac:dyDescent="0.15">
      <c r="A716" s="158">
        <v>714.0</v>
      </c>
      <c r="B716" s="158" t="s">
        <v>8</v>
      </c>
      <c r="C716" s="158" t="s">
        <f>"徐利军"</f>
        <v>1376</v>
      </c>
      <c r="D716" s="158" t="s">
        <f>"15010112424"</f>
        <v>1377</v>
      </c>
      <c r="E716" s="158" t="s">
        <v>15</v>
      </c>
      <c r="F716" s="158"/>
      <c r="G716" s="158" t="s">
        <v>15</v>
      </c>
    </row>
    <row r="717" spans="1:7" ht="32.999496" customHeight="1" x14ac:dyDescent="0.15">
      <c r="A717" s="158">
        <v>715.0</v>
      </c>
      <c r="B717" s="158" t="s">
        <v>8</v>
      </c>
      <c r="C717" s="158" t="s">
        <f>"王娟"</f>
        <v>703</v>
      </c>
      <c r="D717" s="158" t="s">
        <f>"15010112425"</f>
        <v>1378</v>
      </c>
      <c r="E717" s="158" t="s">
        <v>15</v>
      </c>
      <c r="F717" s="158"/>
      <c r="G717" s="158" t="s">
        <v>15</v>
      </c>
    </row>
    <row r="718" spans="1:7" ht="32.999496" customHeight="1" x14ac:dyDescent="0.15">
      <c r="A718" s="158">
        <v>716.0</v>
      </c>
      <c r="B718" s="158" t="s">
        <v>8</v>
      </c>
      <c r="C718" s="158" t="s">
        <f>"袁鲜"</f>
        <v>1379</v>
      </c>
      <c r="D718" s="158" t="s">
        <f>"15010112426"</f>
        <v>1380</v>
      </c>
      <c r="E718" s="158">
        <v>59.17</v>
      </c>
      <c r="F718" s="158"/>
      <c r="G718" s="158">
        <v>59.17</v>
      </c>
    </row>
    <row r="719" spans="1:7" ht="32.999496" customHeight="1" x14ac:dyDescent="0.15">
      <c r="A719" s="158">
        <v>717.0</v>
      </c>
      <c r="B719" s="158" t="s">
        <v>8</v>
      </c>
      <c r="C719" s="158" t="s">
        <f>"郝泰隆"</f>
        <v>1381</v>
      </c>
      <c r="D719" s="158" t="s">
        <f>"15010112427"</f>
        <v>1382</v>
      </c>
      <c r="E719" s="158" t="s">
        <v>15</v>
      </c>
      <c r="F719" s="158"/>
      <c r="G719" s="158" t="s">
        <v>15</v>
      </c>
    </row>
    <row r="720" spans="1:7" ht="32.999496" customHeight="1" x14ac:dyDescent="0.15">
      <c r="A720" s="158">
        <v>718.0</v>
      </c>
      <c r="B720" s="158" t="s">
        <v>8</v>
      </c>
      <c r="C720" s="158" t="s">
        <f>"刘艺高"</f>
        <v>1383</v>
      </c>
      <c r="D720" s="158" t="s">
        <f>"15010112428"</f>
        <v>1384</v>
      </c>
      <c r="E720" s="158">
        <v>67.9</v>
      </c>
      <c r="F720" s="158">
        <v>2.5</v>
      </c>
      <c r="G720" s="158">
        <v>70.4</v>
      </c>
    </row>
    <row r="721" spans="1:7" ht="32.999496" customHeight="1" x14ac:dyDescent="0.15">
      <c r="A721" s="158">
        <v>719.0</v>
      </c>
      <c r="B721" s="158" t="s">
        <v>8</v>
      </c>
      <c r="C721" s="158" t="s">
        <f>"胡少璇"</f>
        <v>1385</v>
      </c>
      <c r="D721" s="158" t="s">
        <f>"15010112429"</f>
        <v>1386</v>
      </c>
      <c r="E721" s="158">
        <v>55.120000000000005</v>
      </c>
      <c r="F721" s="158"/>
      <c r="G721" s="158">
        <v>55.120000000000005</v>
      </c>
    </row>
    <row r="722" spans="1:7" ht="32.999496" customHeight="1" x14ac:dyDescent="0.15">
      <c r="A722" s="158">
        <v>720.0</v>
      </c>
      <c r="B722" s="158" t="s">
        <v>8</v>
      </c>
      <c r="C722" s="158" t="s">
        <f>"高海波"</f>
        <v>1387</v>
      </c>
      <c r="D722" s="158" t="s">
        <f>"15010112430"</f>
        <v>1388</v>
      </c>
      <c r="E722" s="158">
        <v>54.79</v>
      </c>
      <c r="F722" s="158"/>
      <c r="G722" s="158">
        <v>54.79</v>
      </c>
    </row>
    <row r="723" spans="1:7" ht="32.999496" customHeight="1" x14ac:dyDescent="0.15">
      <c r="A723" s="158">
        <v>721.0</v>
      </c>
      <c r="B723" s="158" t="s">
        <v>8</v>
      </c>
      <c r="C723" s="158" t="s">
        <f>"屈杰"</f>
        <v>1389</v>
      </c>
      <c r="D723" s="158" t="s">
        <f>"15010112501"</f>
        <v>1390</v>
      </c>
      <c r="E723" s="158">
        <v>63.25</v>
      </c>
      <c r="F723" s="158"/>
      <c r="G723" s="158">
        <v>63.25</v>
      </c>
    </row>
    <row r="724" spans="1:7" ht="32.999496" customHeight="1" x14ac:dyDescent="0.15">
      <c r="A724" s="158">
        <v>722.0</v>
      </c>
      <c r="B724" s="158" t="s">
        <v>8</v>
      </c>
      <c r="C724" s="158" t="s">
        <f>"石小云"</f>
        <v>1391</v>
      </c>
      <c r="D724" s="158" t="s">
        <f>"15010112502"</f>
        <v>1392</v>
      </c>
      <c r="E724" s="158">
        <v>47.57</v>
      </c>
      <c r="F724" s="158"/>
      <c r="G724" s="158">
        <v>47.57</v>
      </c>
    </row>
    <row r="725" spans="1:7" ht="32.999496" customHeight="1" x14ac:dyDescent="0.15">
      <c r="A725" s="158">
        <v>723.0</v>
      </c>
      <c r="B725" s="158" t="s">
        <v>8</v>
      </c>
      <c r="C725" s="158" t="s">
        <f>"白向东"</f>
        <v>1393</v>
      </c>
      <c r="D725" s="158" t="s">
        <f>"15010112503"</f>
        <v>1394</v>
      </c>
      <c r="E725" s="158" t="s">
        <v>15</v>
      </c>
      <c r="F725" s="158"/>
      <c r="G725" s="158" t="s">
        <v>15</v>
      </c>
    </row>
    <row r="726" spans="1:7" ht="32.999496" customHeight="1" x14ac:dyDescent="0.15">
      <c r="A726" s="158">
        <v>724.0</v>
      </c>
      <c r="B726" s="158" t="s">
        <v>8</v>
      </c>
      <c r="C726" s="158" t="s">
        <f>"王瑞源"</f>
        <v>1395</v>
      </c>
      <c r="D726" s="158" t="s">
        <f>"15010112504"</f>
        <v>1396</v>
      </c>
      <c r="E726" s="158" t="s">
        <v>15</v>
      </c>
      <c r="F726" s="158"/>
      <c r="G726" s="158" t="s">
        <v>15</v>
      </c>
    </row>
    <row r="727" spans="1:7" ht="32.999496" customHeight="1" x14ac:dyDescent="0.15">
      <c r="A727" s="158">
        <v>725.0</v>
      </c>
      <c r="B727" s="158" t="s">
        <v>8</v>
      </c>
      <c r="C727" s="158" t="s">
        <f>"韩雨芙"</f>
        <v>1397</v>
      </c>
      <c r="D727" s="158" t="s">
        <f>"15010112505"</f>
        <v>1398</v>
      </c>
      <c r="E727" s="158">
        <v>23.4</v>
      </c>
      <c r="F727" s="158"/>
      <c r="G727" s="158">
        <v>23.4</v>
      </c>
    </row>
    <row r="728" spans="1:7" ht="32.999496" customHeight="1" x14ac:dyDescent="0.15">
      <c r="A728" s="158">
        <v>726.0</v>
      </c>
      <c r="B728" s="158" t="s">
        <v>8</v>
      </c>
      <c r="C728" s="158" t="s">
        <f>"牛玉蓉"</f>
        <v>1399</v>
      </c>
      <c r="D728" s="158" t="s">
        <f>"15010112506"</f>
        <v>1400</v>
      </c>
      <c r="E728" s="158">
        <v>47.2</v>
      </c>
      <c r="F728" s="158"/>
      <c r="G728" s="158">
        <v>47.2</v>
      </c>
    </row>
    <row r="729" spans="1:7" ht="32.999496" customHeight="1" x14ac:dyDescent="0.15">
      <c r="A729" s="158">
        <v>727.0</v>
      </c>
      <c r="B729" s="158" t="s">
        <v>8</v>
      </c>
      <c r="C729" s="158" t="s">
        <f>"燕丽荣"</f>
        <v>1401</v>
      </c>
      <c r="D729" s="158" t="s">
        <f>"15010112507"</f>
        <v>1402</v>
      </c>
      <c r="E729" s="158">
        <v>47.44</v>
      </c>
      <c r="F729" s="158"/>
      <c r="G729" s="158">
        <v>47.44</v>
      </c>
    </row>
    <row r="730" spans="1:7" ht="32.999496" customHeight="1" x14ac:dyDescent="0.15">
      <c r="A730" s="158">
        <v>728.0</v>
      </c>
      <c r="B730" s="158" t="s">
        <v>8</v>
      </c>
      <c r="C730" s="158" t="s">
        <f>"陈璐"</f>
        <v>1403</v>
      </c>
      <c r="D730" s="158" t="s">
        <f>"15010112508"</f>
        <v>1404</v>
      </c>
      <c r="E730" s="158" t="s">
        <v>15</v>
      </c>
      <c r="F730" s="158"/>
      <c r="G730" s="158" t="s">
        <v>15</v>
      </c>
    </row>
    <row r="731" spans="1:7" ht="32.999496" customHeight="1" x14ac:dyDescent="0.15">
      <c r="A731" s="158">
        <v>729.0</v>
      </c>
      <c r="B731" s="158" t="s">
        <v>8</v>
      </c>
      <c r="C731" s="158" t="s">
        <f>"郝译东"</f>
        <v>1405</v>
      </c>
      <c r="D731" s="158" t="s">
        <f>"15010112509"</f>
        <v>1406</v>
      </c>
      <c r="E731" s="158">
        <v>48.57</v>
      </c>
      <c r="F731" s="158"/>
      <c r="G731" s="158">
        <v>48.57</v>
      </c>
    </row>
    <row r="732" spans="1:7" ht="32.999496" customHeight="1" x14ac:dyDescent="0.15">
      <c r="A732" s="158">
        <v>730.0</v>
      </c>
      <c r="B732" s="158" t="s">
        <v>8</v>
      </c>
      <c r="C732" s="158" t="s">
        <f>"刘佳"</f>
        <v>1407</v>
      </c>
      <c r="D732" s="158" t="s">
        <f>"15010112510"</f>
        <v>1408</v>
      </c>
      <c r="E732" s="158">
        <v>59.62</v>
      </c>
      <c r="F732" s="158"/>
      <c r="G732" s="158">
        <v>59.62</v>
      </c>
    </row>
    <row r="733" spans="1:7" ht="32.999496" customHeight="1" x14ac:dyDescent="0.15">
      <c r="A733" s="158">
        <v>731.0</v>
      </c>
      <c r="B733" s="158" t="s">
        <v>8</v>
      </c>
      <c r="C733" s="158" t="s">
        <f>"张凤"</f>
        <v>1409</v>
      </c>
      <c r="D733" s="158" t="s">
        <f>"15010112511"</f>
        <v>1410</v>
      </c>
      <c r="E733" s="158" t="s">
        <v>15</v>
      </c>
      <c r="F733" s="158"/>
      <c r="G733" s="158" t="s">
        <v>15</v>
      </c>
    </row>
    <row r="734" spans="1:7" ht="32.999496" customHeight="1" x14ac:dyDescent="0.15">
      <c r="A734" s="158">
        <v>732.0</v>
      </c>
      <c r="B734" s="158" t="s">
        <v>8</v>
      </c>
      <c r="C734" s="158" t="s">
        <f>"王露"</f>
        <v>1411</v>
      </c>
      <c r="D734" s="158" t="s">
        <f>"15010112512"</f>
        <v>1412</v>
      </c>
      <c r="E734" s="158" t="s">
        <v>15</v>
      </c>
      <c r="F734" s="158"/>
      <c r="G734" s="158" t="s">
        <v>15</v>
      </c>
    </row>
    <row r="735" spans="1:7" ht="32.999496" customHeight="1" x14ac:dyDescent="0.15">
      <c r="A735" s="158">
        <v>733.0</v>
      </c>
      <c r="B735" s="158" t="s">
        <v>8</v>
      </c>
      <c r="C735" s="158" t="s">
        <f>"张健"</f>
        <v>1413</v>
      </c>
      <c r="D735" s="158" t="s">
        <f>"15010112513"</f>
        <v>1414</v>
      </c>
      <c r="E735" s="158">
        <v>67.78</v>
      </c>
      <c r="F735" s="158"/>
      <c r="G735" s="158">
        <v>67.78</v>
      </c>
    </row>
    <row r="736" spans="1:7" ht="32.999496" customHeight="1" x14ac:dyDescent="0.15">
      <c r="A736" s="158">
        <v>734.0</v>
      </c>
      <c r="B736" s="158" t="s">
        <v>8</v>
      </c>
      <c r="C736" s="158" t="s">
        <f>"韩瑞霞"</f>
        <v>1415</v>
      </c>
      <c r="D736" s="158" t="s">
        <f>"15010112514"</f>
        <v>1416</v>
      </c>
      <c r="E736" s="158">
        <v>49.21</v>
      </c>
      <c r="F736" s="158"/>
      <c r="G736" s="158">
        <v>49.21</v>
      </c>
    </row>
    <row r="737" spans="1:7" ht="32.999496" customHeight="1" x14ac:dyDescent="0.15">
      <c r="A737" s="158">
        <v>735.0</v>
      </c>
      <c r="B737" s="158" t="s">
        <v>8</v>
      </c>
      <c r="C737" s="158" t="s">
        <f>"温月"</f>
        <v>1417</v>
      </c>
      <c r="D737" s="158" t="s">
        <f>"15010112515"</f>
        <v>1418</v>
      </c>
      <c r="E737" s="158">
        <v>61.06</v>
      </c>
      <c r="F737" s="158"/>
      <c r="G737" s="158">
        <v>61.06</v>
      </c>
    </row>
    <row r="738" spans="1:7" ht="32.999496" customHeight="1" x14ac:dyDescent="0.15">
      <c r="A738" s="158">
        <v>736.0</v>
      </c>
      <c r="B738" s="158" t="s">
        <v>8</v>
      </c>
      <c r="C738" s="158" t="s">
        <f>"张书浴"</f>
        <v>1419</v>
      </c>
      <c r="D738" s="158" t="s">
        <f>"15010112516"</f>
        <v>1420</v>
      </c>
      <c r="E738" s="158">
        <v>57.55</v>
      </c>
      <c r="F738" s="158"/>
      <c r="G738" s="158">
        <v>57.55</v>
      </c>
    </row>
    <row r="739" spans="1:7" ht="32.999496" customHeight="1" x14ac:dyDescent="0.15">
      <c r="A739" s="158">
        <v>737.0</v>
      </c>
      <c r="B739" s="158" t="s">
        <v>8</v>
      </c>
      <c r="C739" s="158" t="s">
        <f>"王舒婷"</f>
        <v>1421</v>
      </c>
      <c r="D739" s="158" t="s">
        <f>"15010112517"</f>
        <v>1422</v>
      </c>
      <c r="E739" s="158">
        <v>57.66</v>
      </c>
      <c r="F739" s="158"/>
      <c r="G739" s="158">
        <v>57.66</v>
      </c>
    </row>
    <row r="740" spans="1:7" ht="32.999496" customHeight="1" x14ac:dyDescent="0.15">
      <c r="A740" s="158">
        <v>738.0</v>
      </c>
      <c r="B740" s="158" t="s">
        <v>8</v>
      </c>
      <c r="C740" s="158" t="s">
        <f>"张淇"</f>
        <v>1423</v>
      </c>
      <c r="D740" s="158" t="s">
        <f>"15010112518"</f>
        <v>1424</v>
      </c>
      <c r="E740" s="158">
        <v>70.28999999999999</v>
      </c>
      <c r="F740" s="158">
        <v>2.5</v>
      </c>
      <c r="G740" s="158">
        <v>72.78999999999999</v>
      </c>
    </row>
    <row r="741" spans="1:7" ht="32.999496" customHeight="1" x14ac:dyDescent="0.15">
      <c r="A741" s="158">
        <v>739.0</v>
      </c>
      <c r="B741" s="158" t="s">
        <v>8</v>
      </c>
      <c r="C741" s="158" t="s">
        <f>"云伟"</f>
        <v>1425</v>
      </c>
      <c r="D741" s="158" t="s">
        <f>"15010112519"</f>
        <v>1426</v>
      </c>
      <c r="E741" s="158">
        <v>51.11</v>
      </c>
      <c r="F741" s="158"/>
      <c r="G741" s="158">
        <v>51.11</v>
      </c>
    </row>
    <row r="742" spans="1:7" ht="32.999496" customHeight="1" x14ac:dyDescent="0.15">
      <c r="A742" s="158">
        <v>740.0</v>
      </c>
      <c r="B742" s="158" t="s">
        <v>8</v>
      </c>
      <c r="C742" s="158" t="s">
        <f>"李丹阳"</f>
        <v>1427</v>
      </c>
      <c r="D742" s="158" t="s">
        <f>"15010112520"</f>
        <v>1428</v>
      </c>
      <c r="E742" s="158">
        <v>49.39</v>
      </c>
      <c r="F742" s="158"/>
      <c r="G742" s="158">
        <v>49.39</v>
      </c>
    </row>
    <row r="743" spans="1:7" ht="32.999496" customHeight="1" x14ac:dyDescent="0.15">
      <c r="A743" s="158">
        <v>741.0</v>
      </c>
      <c r="B743" s="158" t="s">
        <v>8</v>
      </c>
      <c r="C743" s="158" t="s">
        <f>"李慧"</f>
        <v>848</v>
      </c>
      <c r="D743" s="158" t="s">
        <f>"15010112521"</f>
        <v>1429</v>
      </c>
      <c r="E743" s="158">
        <v>55.93</v>
      </c>
      <c r="F743" s="158"/>
      <c r="G743" s="158">
        <v>55.93</v>
      </c>
    </row>
    <row r="744" spans="1:7" ht="32.999496" customHeight="1" x14ac:dyDescent="0.15">
      <c r="A744" s="158">
        <v>742.0</v>
      </c>
      <c r="B744" s="158" t="s">
        <v>8</v>
      </c>
      <c r="C744" s="158" t="s">
        <f>"王慧"</f>
        <v>180</v>
      </c>
      <c r="D744" s="158" t="s">
        <f>"15010112522"</f>
        <v>1430</v>
      </c>
      <c r="E744" s="158" t="s">
        <v>15</v>
      </c>
      <c r="F744" s="158"/>
      <c r="G744" s="158" t="s">
        <v>15</v>
      </c>
    </row>
    <row r="745" spans="1:7" ht="32.999496" customHeight="1" x14ac:dyDescent="0.15">
      <c r="A745" s="158">
        <v>743.0</v>
      </c>
      <c r="B745" s="158" t="s">
        <v>8</v>
      </c>
      <c r="C745" s="158" t="s">
        <f>"石慧芳"</f>
        <v>1431</v>
      </c>
      <c r="D745" s="158" t="s">
        <f>"15010112523"</f>
        <v>1432</v>
      </c>
      <c r="E745" s="158">
        <v>61.25</v>
      </c>
      <c r="F745" s="158"/>
      <c r="G745" s="158">
        <v>61.25</v>
      </c>
    </row>
    <row r="746" spans="1:7" ht="32.999496" customHeight="1" x14ac:dyDescent="0.15">
      <c r="A746" s="158">
        <v>744.0</v>
      </c>
      <c r="B746" s="158" t="s">
        <v>8</v>
      </c>
      <c r="C746" s="158" t="s">
        <f>"兰雨童"</f>
        <v>1433</v>
      </c>
      <c r="D746" s="158" t="s">
        <f>"15010112524"</f>
        <v>1434</v>
      </c>
      <c r="E746" s="158">
        <v>60.33</v>
      </c>
      <c r="F746" s="158"/>
      <c r="G746" s="158">
        <v>60.33</v>
      </c>
    </row>
    <row r="747" spans="1:7" ht="32.999496" customHeight="1" x14ac:dyDescent="0.15">
      <c r="A747" s="158">
        <v>745.0</v>
      </c>
      <c r="B747" s="158" t="s">
        <v>8</v>
      </c>
      <c r="C747" s="158" t="s">
        <f>"杨巧玲"</f>
        <v>1435</v>
      </c>
      <c r="D747" s="158" t="s">
        <f>"15010112525"</f>
        <v>1436</v>
      </c>
      <c r="E747" s="158">
        <v>57.32</v>
      </c>
      <c r="F747" s="158"/>
      <c r="G747" s="158">
        <v>57.32</v>
      </c>
    </row>
    <row r="748" spans="1:7" ht="32.999496" customHeight="1" x14ac:dyDescent="0.15">
      <c r="A748" s="158">
        <v>746.0</v>
      </c>
      <c r="B748" s="158" t="s">
        <v>8</v>
      </c>
      <c r="C748" s="158" t="s">
        <f>"郝新宇"</f>
        <v>1437</v>
      </c>
      <c r="D748" s="158" t="s">
        <f>"15010112526"</f>
        <v>1438</v>
      </c>
      <c r="E748" s="158">
        <v>42.85</v>
      </c>
      <c r="F748" s="158">
        <v>2.5</v>
      </c>
      <c r="G748" s="158">
        <v>45.35</v>
      </c>
    </row>
    <row r="749" spans="1:7" ht="32.999496" customHeight="1" x14ac:dyDescent="0.15">
      <c r="A749" s="158">
        <v>747.0</v>
      </c>
      <c r="B749" s="158" t="s">
        <v>8</v>
      </c>
      <c r="C749" s="158" t="s">
        <f>"张鑫"</f>
        <v>250</v>
      </c>
      <c r="D749" s="158" t="s">
        <f>"15010112527"</f>
        <v>1439</v>
      </c>
      <c r="E749" s="158">
        <v>48.629999999999995</v>
      </c>
      <c r="F749" s="158"/>
      <c r="G749" s="158">
        <v>48.629999999999995</v>
      </c>
    </row>
    <row r="750" spans="1:7" ht="32.999496" customHeight="1" x14ac:dyDescent="0.15">
      <c r="A750" s="158">
        <v>748.0</v>
      </c>
      <c r="B750" s="158" t="s">
        <v>8</v>
      </c>
      <c r="C750" s="158" t="s">
        <f>"王婧"</f>
        <v>1440</v>
      </c>
      <c r="D750" s="158" t="s">
        <f>"15010112528"</f>
        <v>1441</v>
      </c>
      <c r="E750" s="158">
        <v>60.94</v>
      </c>
      <c r="F750" s="158"/>
      <c r="G750" s="158">
        <v>60.94</v>
      </c>
    </row>
    <row r="751" spans="1:7" ht="32.999496" customHeight="1" x14ac:dyDescent="0.15">
      <c r="A751" s="158">
        <v>749.0</v>
      </c>
      <c r="B751" s="158" t="s">
        <v>8</v>
      </c>
      <c r="C751" s="158" t="s">
        <f>"闫荣梅"</f>
        <v>1442</v>
      </c>
      <c r="D751" s="158" t="s">
        <f>"15010112529"</f>
        <v>1443</v>
      </c>
      <c r="E751" s="158">
        <v>53.519999999999996</v>
      </c>
      <c r="F751" s="158"/>
      <c r="G751" s="158">
        <v>53.519999999999996</v>
      </c>
    </row>
    <row r="752" spans="1:7" ht="32.999496" customHeight="1" x14ac:dyDescent="0.15">
      <c r="A752" s="158">
        <v>750.0</v>
      </c>
      <c r="B752" s="158" t="s">
        <v>8</v>
      </c>
      <c r="C752" s="158" t="s">
        <f>"李月"</f>
        <v>1444</v>
      </c>
      <c r="D752" s="158" t="s">
        <f>"15010112530"</f>
        <v>1445</v>
      </c>
      <c r="E752" s="158">
        <v>52.92</v>
      </c>
      <c r="F752" s="158"/>
      <c r="G752" s="158">
        <v>52.92</v>
      </c>
    </row>
    <row r="753" spans="1:7" ht="32.999496" customHeight="1" x14ac:dyDescent="0.15">
      <c r="A753" s="158">
        <v>751.0</v>
      </c>
      <c r="B753" s="158" t="s">
        <v>8</v>
      </c>
      <c r="C753" s="158" t="s">
        <f>"杨绘"</f>
        <v>1446</v>
      </c>
      <c r="D753" s="158" t="s">
        <f>"15010112601"</f>
        <v>1447</v>
      </c>
      <c r="E753" s="158" t="s">
        <v>15</v>
      </c>
      <c r="F753" s="158"/>
      <c r="G753" s="158" t="s">
        <v>15</v>
      </c>
    </row>
    <row r="754" spans="1:7" ht="32.999496" customHeight="1" x14ac:dyDescent="0.15">
      <c r="A754" s="158">
        <v>752.0</v>
      </c>
      <c r="B754" s="158" t="s">
        <v>8</v>
      </c>
      <c r="C754" s="158" t="s">
        <f>"王慧"</f>
        <v>180</v>
      </c>
      <c r="D754" s="158" t="s">
        <f>"15010112602"</f>
        <v>1448</v>
      </c>
      <c r="E754" s="158">
        <v>60.43</v>
      </c>
      <c r="F754" s="158"/>
      <c r="G754" s="158">
        <v>60.43</v>
      </c>
    </row>
    <row r="755" spans="1:7" ht="32.999496" customHeight="1" x14ac:dyDescent="0.15">
      <c r="A755" s="158">
        <v>753.0</v>
      </c>
      <c r="B755" s="158" t="s">
        <v>8</v>
      </c>
      <c r="C755" s="158" t="s">
        <f>"王乐"</f>
        <v>994</v>
      </c>
      <c r="D755" s="158" t="s">
        <f>"15010112603"</f>
        <v>1449</v>
      </c>
      <c r="E755" s="158">
        <v>63.41</v>
      </c>
      <c r="F755" s="158"/>
      <c r="G755" s="158">
        <v>63.41</v>
      </c>
    </row>
    <row r="756" spans="1:7" ht="32.999496" customHeight="1" x14ac:dyDescent="0.15">
      <c r="A756" s="158">
        <v>754.0</v>
      </c>
      <c r="B756" s="158" t="s">
        <v>8</v>
      </c>
      <c r="C756" s="158" t="s">
        <f>"云柯诺"</f>
        <v>1450</v>
      </c>
      <c r="D756" s="158" t="s">
        <f>"15010112604"</f>
        <v>1451</v>
      </c>
      <c r="E756" s="158">
        <v>58.67</v>
      </c>
      <c r="F756" s="158"/>
      <c r="G756" s="158">
        <v>58.67</v>
      </c>
    </row>
    <row r="757" spans="1:7" ht="32.999496" customHeight="1" x14ac:dyDescent="0.15">
      <c r="A757" s="158">
        <v>755.0</v>
      </c>
      <c r="B757" s="158" t="s">
        <v>8</v>
      </c>
      <c r="C757" s="158" t="s">
        <f>"高杨"</f>
        <v>270</v>
      </c>
      <c r="D757" s="158" t="s">
        <f>"15010112605"</f>
        <v>1452</v>
      </c>
      <c r="E757" s="158">
        <v>50.57</v>
      </c>
      <c r="F757" s="158"/>
      <c r="G757" s="158">
        <v>50.57</v>
      </c>
    </row>
    <row r="758" spans="1:7" ht="32.999496" customHeight="1" x14ac:dyDescent="0.15">
      <c r="A758" s="158">
        <v>756.0</v>
      </c>
      <c r="B758" s="158" t="s">
        <v>8</v>
      </c>
      <c r="C758" s="158" t="s">
        <f>"梁馨予"</f>
        <v>1453</v>
      </c>
      <c r="D758" s="158" t="s">
        <f>"15010112606"</f>
        <v>1454</v>
      </c>
      <c r="E758" s="158" t="s">
        <v>15</v>
      </c>
      <c r="F758" s="158"/>
      <c r="G758" s="158" t="s">
        <v>15</v>
      </c>
    </row>
    <row r="759" spans="1:7" ht="32.999496" customHeight="1" x14ac:dyDescent="0.15">
      <c r="A759" s="158">
        <v>757.0</v>
      </c>
      <c r="B759" s="158" t="s">
        <v>8</v>
      </c>
      <c r="C759" s="158" t="s">
        <f>"袁静"</f>
        <v>1455</v>
      </c>
      <c r="D759" s="158" t="s">
        <f>"15010112607"</f>
        <v>1456</v>
      </c>
      <c r="E759" s="158" t="s">
        <v>15</v>
      </c>
      <c r="F759" s="158"/>
      <c r="G759" s="158" t="s">
        <v>15</v>
      </c>
    </row>
    <row r="760" spans="1:7" ht="32.999496" customHeight="1" x14ac:dyDescent="0.15">
      <c r="A760" s="158">
        <v>758.0</v>
      </c>
      <c r="B760" s="158" t="s">
        <v>8</v>
      </c>
      <c r="C760" s="158" t="s">
        <f>"朱书强"</f>
        <v>1457</v>
      </c>
      <c r="D760" s="158" t="s">
        <f>"15010112608"</f>
        <v>1458</v>
      </c>
      <c r="E760" s="158">
        <v>42.989999999999995</v>
      </c>
      <c r="F760" s="158"/>
      <c r="G760" s="158">
        <v>42.989999999999995</v>
      </c>
    </row>
    <row r="761" spans="1:7" ht="32.999496" customHeight="1" x14ac:dyDescent="0.15">
      <c r="A761" s="158">
        <v>759.0</v>
      </c>
      <c r="B761" s="158" t="s">
        <v>8</v>
      </c>
      <c r="C761" s="158" t="s">
        <f>"王鹏"</f>
        <v>1459</v>
      </c>
      <c r="D761" s="158" t="s">
        <f>"15010112609"</f>
        <v>1460</v>
      </c>
      <c r="E761" s="158">
        <v>47.05</v>
      </c>
      <c r="F761" s="158"/>
      <c r="G761" s="158">
        <v>47.05</v>
      </c>
    </row>
    <row r="762" spans="1:7" ht="32.999496" customHeight="1" x14ac:dyDescent="0.15">
      <c r="A762" s="158">
        <v>760.0</v>
      </c>
      <c r="B762" s="158" t="s">
        <v>8</v>
      </c>
      <c r="C762" s="158" t="s">
        <f>"呼浩宇"</f>
        <v>1461</v>
      </c>
      <c r="D762" s="158" t="s">
        <f>"15010112610"</f>
        <v>1462</v>
      </c>
      <c r="E762" s="158" t="s">
        <v>15</v>
      </c>
      <c r="F762" s="158"/>
      <c r="G762" s="158" t="s">
        <v>15</v>
      </c>
    </row>
    <row r="763" spans="1:7" ht="32.999496" customHeight="1" x14ac:dyDescent="0.15">
      <c r="A763" s="158">
        <v>761.0</v>
      </c>
      <c r="B763" s="158" t="s">
        <v>8</v>
      </c>
      <c r="C763" s="158" t="s">
        <f>"郝新源"</f>
        <v>1463</v>
      </c>
      <c r="D763" s="158" t="s">
        <f>"15010112611"</f>
        <v>1464</v>
      </c>
      <c r="E763" s="158" t="s">
        <v>15</v>
      </c>
      <c r="F763" s="158">
        <v>2.5</v>
      </c>
      <c r="G763" s="158" t="s">
        <v>15</v>
      </c>
    </row>
    <row r="764" spans="1:7" ht="32.999496" customHeight="1" x14ac:dyDescent="0.15">
      <c r="A764" s="158">
        <v>762.0</v>
      </c>
      <c r="B764" s="158" t="s">
        <v>8</v>
      </c>
      <c r="C764" s="158" t="s">
        <f>"张璐"</f>
        <v>38</v>
      </c>
      <c r="D764" s="158" t="s">
        <f>"15010112612"</f>
        <v>1465</v>
      </c>
      <c r="E764" s="158">
        <v>51.480000000000004</v>
      </c>
      <c r="F764" s="158">
        <v>2.5</v>
      </c>
      <c r="G764" s="158">
        <v>53.980000000000004</v>
      </c>
    </row>
    <row r="765" spans="1:7" ht="32.999496" customHeight="1" x14ac:dyDescent="0.15">
      <c r="A765" s="158">
        <v>763.0</v>
      </c>
      <c r="B765" s="158" t="s">
        <v>8</v>
      </c>
      <c r="C765" s="158" t="s">
        <f>"孟虹"</f>
        <v>1466</v>
      </c>
      <c r="D765" s="158" t="s">
        <f>"15010112613"</f>
        <v>1467</v>
      </c>
      <c r="E765" s="158">
        <v>45.66</v>
      </c>
      <c r="F765" s="158"/>
      <c r="G765" s="158">
        <v>45.66</v>
      </c>
    </row>
    <row r="766" spans="1:7" ht="32.999496" customHeight="1" x14ac:dyDescent="0.15">
      <c r="A766" s="158">
        <v>764.0</v>
      </c>
      <c r="B766" s="158" t="s">
        <v>8</v>
      </c>
      <c r="C766" s="158" t="s">
        <f>"肖维娜"</f>
        <v>1468</v>
      </c>
      <c r="D766" s="158" t="s">
        <f>"15010112614"</f>
        <v>1469</v>
      </c>
      <c r="E766" s="158">
        <v>49.16</v>
      </c>
      <c r="F766" s="158"/>
      <c r="G766" s="158">
        <v>49.16</v>
      </c>
    </row>
    <row r="767" spans="1:7" ht="32.999496" customHeight="1" x14ac:dyDescent="0.15">
      <c r="A767" s="158">
        <v>765.0</v>
      </c>
      <c r="B767" s="158" t="s">
        <v>8</v>
      </c>
      <c r="C767" s="158" t="s">
        <f>"李艳"</f>
        <v>1470</v>
      </c>
      <c r="D767" s="158" t="s">
        <f>"15010112615"</f>
        <v>1471</v>
      </c>
      <c r="E767" s="158">
        <v>57.12</v>
      </c>
      <c r="F767" s="158"/>
      <c r="G767" s="158">
        <v>57.12</v>
      </c>
    </row>
    <row r="768" spans="1:7" ht="32.999496" customHeight="1" x14ac:dyDescent="0.15">
      <c r="A768" s="158">
        <v>766.0</v>
      </c>
      <c r="B768" s="158" t="s">
        <v>8</v>
      </c>
      <c r="C768" s="158" t="s">
        <f>"高宇鹏"</f>
        <v>1472</v>
      </c>
      <c r="D768" s="158" t="s">
        <f>"15010112616"</f>
        <v>1473</v>
      </c>
      <c r="E768" s="158">
        <v>64.55</v>
      </c>
      <c r="F768" s="158"/>
      <c r="G768" s="158">
        <v>64.55</v>
      </c>
    </row>
    <row r="769" spans="1:7" ht="32.999496" customHeight="1" x14ac:dyDescent="0.15">
      <c r="A769" s="158">
        <v>767.0</v>
      </c>
      <c r="B769" s="158" t="s">
        <v>8</v>
      </c>
      <c r="C769" s="158" t="s">
        <f>"尚娜"</f>
        <v>1474</v>
      </c>
      <c r="D769" s="158" t="s">
        <f>"15010112617"</f>
        <v>1475</v>
      </c>
      <c r="E769" s="158">
        <v>61.04</v>
      </c>
      <c r="F769" s="158"/>
      <c r="G769" s="158">
        <v>61.04</v>
      </c>
    </row>
    <row r="770" spans="1:7" ht="32.999496" customHeight="1" x14ac:dyDescent="0.15">
      <c r="A770" s="158">
        <v>768.0</v>
      </c>
      <c r="B770" s="158" t="s">
        <v>8</v>
      </c>
      <c r="C770" s="158" t="s">
        <f>"赵欣宇"</f>
        <v>1476</v>
      </c>
      <c r="D770" s="158" t="s">
        <f>"15010112618"</f>
        <v>1477</v>
      </c>
      <c r="E770" s="158" t="s">
        <v>15</v>
      </c>
      <c r="F770" s="158"/>
      <c r="G770" s="158" t="s">
        <v>15</v>
      </c>
    </row>
    <row r="771" spans="1:7" ht="32.999496" customHeight="1" x14ac:dyDescent="0.15">
      <c r="A771" s="158">
        <v>769.0</v>
      </c>
      <c r="B771" s="158" t="s">
        <v>8</v>
      </c>
      <c r="C771" s="158" t="s">
        <f>"张司雨"</f>
        <v>1478</v>
      </c>
      <c r="D771" s="158" t="s">
        <f>"15010112619"</f>
        <v>1479</v>
      </c>
      <c r="E771" s="158">
        <v>52.91</v>
      </c>
      <c r="F771" s="158"/>
      <c r="G771" s="158">
        <v>52.91</v>
      </c>
    </row>
    <row r="772" spans="1:7" ht="32.999496" customHeight="1" x14ac:dyDescent="0.15">
      <c r="A772" s="158">
        <v>770.0</v>
      </c>
      <c r="B772" s="158" t="s">
        <v>8</v>
      </c>
      <c r="C772" s="158" t="s">
        <f>"刘娜"</f>
        <v>1480</v>
      </c>
      <c r="D772" s="158" t="s">
        <f>"15010112620"</f>
        <v>1481</v>
      </c>
      <c r="E772" s="158">
        <v>71.72999999999999</v>
      </c>
      <c r="F772" s="158"/>
      <c r="G772" s="158">
        <v>71.72999999999999</v>
      </c>
    </row>
    <row r="773" spans="1:7" ht="32.999496" customHeight="1" x14ac:dyDescent="0.15">
      <c r="A773" s="158">
        <v>771.0</v>
      </c>
      <c r="B773" s="158" t="s">
        <v>8</v>
      </c>
      <c r="C773" s="158" t="s">
        <f>"谢婷"</f>
        <v>1482</v>
      </c>
      <c r="D773" s="158" t="s">
        <f>"15010112621"</f>
        <v>1483</v>
      </c>
      <c r="E773" s="158">
        <v>49.44</v>
      </c>
      <c r="F773" s="158"/>
      <c r="G773" s="158">
        <v>49.44</v>
      </c>
    </row>
    <row r="774" spans="1:7" ht="32.999496" customHeight="1" x14ac:dyDescent="0.15">
      <c r="A774" s="158">
        <v>772.0</v>
      </c>
      <c r="B774" s="158" t="s">
        <v>8</v>
      </c>
      <c r="C774" s="158" t="s">
        <f>"张敏"</f>
        <v>120</v>
      </c>
      <c r="D774" s="158" t="s">
        <f>"15010112622"</f>
        <v>1484</v>
      </c>
      <c r="E774" s="158">
        <v>56.81</v>
      </c>
      <c r="F774" s="158"/>
      <c r="G774" s="158">
        <v>56.81</v>
      </c>
    </row>
    <row r="775" spans="1:7" ht="32.999496" customHeight="1" x14ac:dyDescent="0.15">
      <c r="A775" s="158">
        <v>773.0</v>
      </c>
      <c r="B775" s="158" t="s">
        <v>8</v>
      </c>
      <c r="C775" s="158" t="s">
        <f>"越跃"</f>
        <v>1485</v>
      </c>
      <c r="D775" s="158" t="s">
        <f>"15010112623"</f>
        <v>1486</v>
      </c>
      <c r="E775" s="158" t="s">
        <v>15</v>
      </c>
      <c r="F775" s="158"/>
      <c r="G775" s="158" t="s">
        <v>15</v>
      </c>
    </row>
    <row r="776" spans="1:7" ht="32.999496" customHeight="1" x14ac:dyDescent="0.15">
      <c r="A776" s="158">
        <v>774.0</v>
      </c>
      <c r="B776" s="158" t="s">
        <v>8</v>
      </c>
      <c r="C776" s="158" t="s">
        <f>"白悦"</f>
        <v>1487</v>
      </c>
      <c r="D776" s="158" t="s">
        <f>"15010112624"</f>
        <v>1488</v>
      </c>
      <c r="E776" s="158">
        <v>60.53</v>
      </c>
      <c r="F776" s="158"/>
      <c r="G776" s="158">
        <v>60.53</v>
      </c>
    </row>
    <row r="777" spans="1:7" ht="32.999496" customHeight="1" x14ac:dyDescent="0.15">
      <c r="A777" s="158">
        <v>775.0</v>
      </c>
      <c r="B777" s="158" t="s">
        <v>8</v>
      </c>
      <c r="C777" s="158" t="s">
        <f>"郝宇"</f>
        <v>1489</v>
      </c>
      <c r="D777" s="158" t="s">
        <f>"15010112625"</f>
        <v>1490</v>
      </c>
      <c r="E777" s="158">
        <v>50.29</v>
      </c>
      <c r="F777" s="158"/>
      <c r="G777" s="158">
        <v>50.29</v>
      </c>
    </row>
    <row r="778" spans="1:7" ht="32.999496" customHeight="1" x14ac:dyDescent="0.15">
      <c r="A778" s="158">
        <v>776.0</v>
      </c>
      <c r="B778" s="158" t="s">
        <v>8</v>
      </c>
      <c r="C778" s="158" t="s">
        <f>"李燕"</f>
        <v>538</v>
      </c>
      <c r="D778" s="158" t="s">
        <f>"15010112626"</f>
        <v>1491</v>
      </c>
      <c r="E778" s="158">
        <v>43.78</v>
      </c>
      <c r="F778" s="158"/>
      <c r="G778" s="158">
        <v>43.78</v>
      </c>
    </row>
    <row r="779" spans="1:7" ht="32.999496" customHeight="1" x14ac:dyDescent="0.15">
      <c r="A779" s="158">
        <v>777.0</v>
      </c>
      <c r="B779" s="158" t="s">
        <v>8</v>
      </c>
      <c r="C779" s="158" t="s">
        <f>"呼悦"</f>
        <v>1492</v>
      </c>
      <c r="D779" s="158" t="s">
        <f>"15010112627"</f>
        <v>1493</v>
      </c>
      <c r="E779" s="158">
        <v>53.39</v>
      </c>
      <c r="F779" s="158"/>
      <c r="G779" s="158">
        <v>53.39</v>
      </c>
    </row>
    <row r="780" spans="1:7" ht="32.999496" customHeight="1" x14ac:dyDescent="0.15">
      <c r="A780" s="158">
        <v>778.0</v>
      </c>
      <c r="B780" s="158" t="s">
        <v>8</v>
      </c>
      <c r="C780" s="158" t="s">
        <f>"刘丽"</f>
        <v>58</v>
      </c>
      <c r="D780" s="158" t="s">
        <f>"15010112628"</f>
        <v>1494</v>
      </c>
      <c r="E780" s="158">
        <v>53.1</v>
      </c>
      <c r="F780" s="158"/>
      <c r="G780" s="158">
        <v>53.1</v>
      </c>
    </row>
    <row r="781" spans="1:7" ht="32.999496" customHeight="1" x14ac:dyDescent="0.15">
      <c r="A781" s="158">
        <v>779.0</v>
      </c>
      <c r="B781" s="158" t="s">
        <v>8</v>
      </c>
      <c r="C781" s="158" t="s">
        <f>"蒋纳"</f>
        <v>1495</v>
      </c>
      <c r="D781" s="158" t="s">
        <f>"15010112629"</f>
        <v>1496</v>
      </c>
      <c r="E781" s="158">
        <v>55.629999999999995</v>
      </c>
      <c r="F781" s="158"/>
      <c r="G781" s="158">
        <v>55.629999999999995</v>
      </c>
    </row>
    <row r="782" spans="1:7" ht="32.999496" customHeight="1" x14ac:dyDescent="0.15">
      <c r="A782" s="158">
        <v>780.0</v>
      </c>
      <c r="B782" s="158" t="s">
        <v>8</v>
      </c>
      <c r="C782" s="158" t="s">
        <f>"王丹"</f>
        <v>892</v>
      </c>
      <c r="D782" s="158" t="s">
        <f>"15010112630"</f>
        <v>1497</v>
      </c>
      <c r="E782" s="158" t="s">
        <v>15</v>
      </c>
      <c r="F782" s="158"/>
      <c r="G782" s="158" t="s">
        <v>15</v>
      </c>
    </row>
    <row r="783" spans="1:7" ht="32.999496" customHeight="1" x14ac:dyDescent="0.15">
      <c r="A783" s="158">
        <v>781.0</v>
      </c>
      <c r="B783" s="158" t="s">
        <v>8</v>
      </c>
      <c r="C783" s="158" t="s">
        <f>"杨璐"</f>
        <v>184</v>
      </c>
      <c r="D783" s="158" t="s">
        <f>"15010112701"</f>
        <v>1498</v>
      </c>
      <c r="E783" s="158" t="s">
        <v>15</v>
      </c>
      <c r="F783" s="158"/>
      <c r="G783" s="158" t="s">
        <v>15</v>
      </c>
    </row>
    <row r="784" spans="1:7" ht="32.999496" customHeight="1" x14ac:dyDescent="0.15">
      <c r="A784" s="158">
        <v>782.0</v>
      </c>
      <c r="B784" s="158" t="s">
        <v>8</v>
      </c>
      <c r="C784" s="158" t="s">
        <f>"刘艳"</f>
        <v>1499</v>
      </c>
      <c r="D784" s="158" t="s">
        <f>"15010112702"</f>
        <v>1500</v>
      </c>
      <c r="E784" s="158">
        <v>72.93</v>
      </c>
      <c r="F784" s="158"/>
      <c r="G784" s="158">
        <v>72.93</v>
      </c>
    </row>
    <row r="785" spans="1:7" ht="32.999496" customHeight="1" x14ac:dyDescent="0.15">
      <c r="A785" s="158">
        <v>783.0</v>
      </c>
      <c r="B785" s="158" t="s">
        <v>8</v>
      </c>
      <c r="C785" s="158" t="s">
        <f>"高星"</f>
        <v>1501</v>
      </c>
      <c r="D785" s="158" t="s">
        <f>"15010112703"</f>
        <v>1502</v>
      </c>
      <c r="E785" s="158">
        <v>60.93</v>
      </c>
      <c r="F785" s="158"/>
      <c r="G785" s="158">
        <v>60.93</v>
      </c>
    </row>
    <row r="786" spans="1:7" ht="32.999496" customHeight="1" x14ac:dyDescent="0.15">
      <c r="A786" s="158">
        <v>784.0</v>
      </c>
      <c r="B786" s="158" t="s">
        <v>8</v>
      </c>
      <c r="C786" s="158" t="s">
        <f>"高波"</f>
        <v>11</v>
      </c>
      <c r="D786" s="158" t="s">
        <f>"15010112704"</f>
        <v>1503</v>
      </c>
      <c r="E786" s="158">
        <v>45.769999999999996</v>
      </c>
      <c r="F786" s="158"/>
      <c r="G786" s="158">
        <v>45.769999999999996</v>
      </c>
    </row>
    <row r="787" spans="1:7" ht="32.999496" customHeight="1" x14ac:dyDescent="0.15">
      <c r="A787" s="158">
        <v>785.0</v>
      </c>
      <c r="B787" s="158" t="s">
        <v>8</v>
      </c>
      <c r="C787" s="158" t="s">
        <f>"杨沐蓉"</f>
        <v>1504</v>
      </c>
      <c r="D787" s="158" t="s">
        <f>"15010112705"</f>
        <v>1505</v>
      </c>
      <c r="E787" s="158">
        <v>51.370000000000005</v>
      </c>
      <c r="F787" s="158"/>
      <c r="G787" s="158">
        <v>51.370000000000005</v>
      </c>
    </row>
    <row r="788" spans="1:7" ht="32.999496" customHeight="1" x14ac:dyDescent="0.15">
      <c r="A788" s="158">
        <v>786.0</v>
      </c>
      <c r="B788" s="158" t="s">
        <v>8</v>
      </c>
      <c r="C788" s="158" t="s">
        <f>"苏婷"</f>
        <v>1506</v>
      </c>
      <c r="D788" s="158" t="s">
        <f>"15010112706"</f>
        <v>1507</v>
      </c>
      <c r="E788" s="158">
        <v>34.629999999999995</v>
      </c>
      <c r="F788" s="158"/>
      <c r="G788" s="158">
        <v>34.629999999999995</v>
      </c>
    </row>
    <row r="789" spans="1:7" ht="32.999496" customHeight="1" x14ac:dyDescent="0.15">
      <c r="A789" s="158">
        <v>787.0</v>
      </c>
      <c r="B789" s="158" t="s">
        <v>8</v>
      </c>
      <c r="C789" s="158" t="s">
        <f>"朱彦玫"</f>
        <v>1508</v>
      </c>
      <c r="D789" s="158" t="s">
        <f>"15010112707"</f>
        <v>1509</v>
      </c>
      <c r="E789" s="158" t="s">
        <v>15</v>
      </c>
      <c r="F789" s="158"/>
      <c r="G789" s="158" t="s">
        <v>15</v>
      </c>
    </row>
    <row r="790" spans="1:7" ht="32.999496" customHeight="1" x14ac:dyDescent="0.15">
      <c r="A790" s="158">
        <v>788.0</v>
      </c>
      <c r="B790" s="158" t="s">
        <v>8</v>
      </c>
      <c r="C790" s="158" t="s">
        <f>"郭伊曼"</f>
        <v>1510</v>
      </c>
      <c r="D790" s="158" t="s">
        <f>"15010112708"</f>
        <v>1511</v>
      </c>
      <c r="E790" s="158">
        <v>64.12</v>
      </c>
      <c r="F790" s="158"/>
      <c r="G790" s="158">
        <v>64.12</v>
      </c>
    </row>
    <row r="791" spans="1:7" ht="32.999496" customHeight="1" x14ac:dyDescent="0.15">
      <c r="A791" s="158">
        <v>789.0</v>
      </c>
      <c r="B791" s="158" t="s">
        <v>8</v>
      </c>
      <c r="C791" s="158" t="s">
        <f>"杨庄"</f>
        <v>1512</v>
      </c>
      <c r="D791" s="158" t="s">
        <f>"15010112709"</f>
        <v>1513</v>
      </c>
      <c r="E791" s="158">
        <v>45.120000000000005</v>
      </c>
      <c r="F791" s="158">
        <v>2.5</v>
      </c>
      <c r="G791" s="158">
        <v>47.620000000000005</v>
      </c>
    </row>
    <row r="792" spans="1:7" ht="32.999496" customHeight="1" x14ac:dyDescent="0.15">
      <c r="A792" s="158">
        <v>790.0</v>
      </c>
      <c r="B792" s="158" t="s">
        <v>8</v>
      </c>
      <c r="C792" s="158" t="s">
        <f>"高艳"</f>
        <v>1514</v>
      </c>
      <c r="D792" s="158" t="s">
        <f>"15010112710"</f>
        <v>1515</v>
      </c>
      <c r="E792" s="158" t="s">
        <v>15</v>
      </c>
      <c r="F792" s="158"/>
      <c r="G792" s="158" t="s">
        <v>15</v>
      </c>
    </row>
    <row r="793" spans="1:7" ht="32.999496" customHeight="1" x14ac:dyDescent="0.15">
      <c r="A793" s="158">
        <v>791.0</v>
      </c>
      <c r="B793" s="158" t="s">
        <v>8</v>
      </c>
      <c r="C793" s="158" t="s">
        <f>"张靖圆"</f>
        <v>1516</v>
      </c>
      <c r="D793" s="158" t="s">
        <f>"15010112711"</f>
        <v>1517</v>
      </c>
      <c r="E793" s="158">
        <v>64.69</v>
      </c>
      <c r="F793" s="158">
        <v>2.5</v>
      </c>
      <c r="G793" s="158">
        <v>67.19</v>
      </c>
    </row>
    <row r="794" spans="1:7" ht="32.999496" customHeight="1" x14ac:dyDescent="0.15">
      <c r="A794" s="158">
        <v>792.0</v>
      </c>
      <c r="B794" s="158" t="s">
        <v>8</v>
      </c>
      <c r="C794" s="158" t="s">
        <f>"李渊鹏"</f>
        <v>1518</v>
      </c>
      <c r="D794" s="158" t="s">
        <f>"15010112712"</f>
        <v>1519</v>
      </c>
      <c r="E794" s="158">
        <v>59.39</v>
      </c>
      <c r="F794" s="158"/>
      <c r="G794" s="158">
        <v>59.39</v>
      </c>
    </row>
    <row r="795" spans="1:7" ht="32.999496" customHeight="1" x14ac:dyDescent="0.15">
      <c r="A795" s="158">
        <v>793.0</v>
      </c>
      <c r="B795" s="158" t="s">
        <v>8</v>
      </c>
      <c r="C795" s="158" t="s">
        <f>"杨宇星"</f>
        <v>1520</v>
      </c>
      <c r="D795" s="158" t="s">
        <f>"15010112713"</f>
        <v>1521</v>
      </c>
      <c r="E795" s="158">
        <v>47.9</v>
      </c>
      <c r="F795" s="158"/>
      <c r="G795" s="158">
        <v>47.9</v>
      </c>
    </row>
    <row r="796" spans="1:7" ht="32.999496" customHeight="1" x14ac:dyDescent="0.15">
      <c r="A796" s="158">
        <v>794.0</v>
      </c>
      <c r="B796" s="158" t="s">
        <v>8</v>
      </c>
      <c r="C796" s="158" t="s">
        <f>"周瑞"</f>
        <v>1522</v>
      </c>
      <c r="D796" s="158" t="s">
        <f>"15010112714"</f>
        <v>1523</v>
      </c>
      <c r="E796" s="158" t="s">
        <v>15</v>
      </c>
      <c r="F796" s="158"/>
      <c r="G796" s="158" t="s">
        <v>15</v>
      </c>
    </row>
    <row r="797" spans="1:7" ht="32.999496" customHeight="1" x14ac:dyDescent="0.15">
      <c r="A797" s="158">
        <v>795.0</v>
      </c>
      <c r="B797" s="158" t="s">
        <v>8</v>
      </c>
      <c r="C797" s="158" t="s">
        <f>"闫向龙"</f>
        <v>1524</v>
      </c>
      <c r="D797" s="158" t="s">
        <f>"15010112715"</f>
        <v>1525</v>
      </c>
      <c r="E797" s="158" t="s">
        <v>15</v>
      </c>
      <c r="F797" s="158"/>
      <c r="G797" s="158" t="s">
        <v>15</v>
      </c>
    </row>
    <row r="798" spans="1:7" ht="32.999496" customHeight="1" x14ac:dyDescent="0.15">
      <c r="A798" s="158">
        <v>796.0</v>
      </c>
      <c r="B798" s="158" t="s">
        <v>8</v>
      </c>
      <c r="C798" s="158" t="s">
        <f>"刘娟"</f>
        <v>1526</v>
      </c>
      <c r="D798" s="158" t="s">
        <f>"15010112716"</f>
        <v>1527</v>
      </c>
      <c r="E798" s="158">
        <v>58.7</v>
      </c>
      <c r="F798" s="158"/>
      <c r="G798" s="158">
        <v>58.7</v>
      </c>
    </row>
    <row r="799" spans="1:7" ht="32.999496" customHeight="1" x14ac:dyDescent="0.15">
      <c r="A799" s="158">
        <v>797.0</v>
      </c>
      <c r="B799" s="158" t="s">
        <v>8</v>
      </c>
      <c r="C799" s="158" t="s">
        <f>"贾瑞"</f>
        <v>1528</v>
      </c>
      <c r="D799" s="158" t="s">
        <f>"15010112717"</f>
        <v>1529</v>
      </c>
      <c r="E799" s="158">
        <v>37.43</v>
      </c>
      <c r="F799" s="158"/>
      <c r="G799" s="158">
        <v>37.43</v>
      </c>
    </row>
    <row r="800" spans="1:7" ht="32.999496" customHeight="1" x14ac:dyDescent="0.15">
      <c r="A800" s="158">
        <v>798.0</v>
      </c>
      <c r="B800" s="158" t="s">
        <v>8</v>
      </c>
      <c r="C800" s="158" t="s">
        <f>"刘慧芳"</f>
        <v>1530</v>
      </c>
      <c r="D800" s="158" t="s">
        <f>"15010112718"</f>
        <v>1531</v>
      </c>
      <c r="E800" s="158" t="s">
        <v>15</v>
      </c>
      <c r="F800" s="158"/>
      <c r="G800" s="158" t="s">
        <v>15</v>
      </c>
    </row>
    <row r="801" spans="1:7" ht="32.999496" customHeight="1" x14ac:dyDescent="0.15">
      <c r="A801" s="158">
        <v>799.0</v>
      </c>
      <c r="B801" s="158" t="s">
        <v>8</v>
      </c>
      <c r="C801" s="158" t="s">
        <f>"郝宇星"</f>
        <v>1532</v>
      </c>
      <c r="D801" s="158" t="s">
        <f>"15010112719"</f>
        <v>1533</v>
      </c>
      <c r="E801" s="158" t="s">
        <v>15</v>
      </c>
      <c r="F801" s="158"/>
      <c r="G801" s="158" t="s">
        <v>15</v>
      </c>
    </row>
    <row r="802" spans="1:7" ht="32.999496" customHeight="1" x14ac:dyDescent="0.15">
      <c r="A802" s="158">
        <v>800.0</v>
      </c>
      <c r="B802" s="158" t="s">
        <v>8</v>
      </c>
      <c r="C802" s="158" t="s">
        <f>"杨雨萱"</f>
        <v>1534</v>
      </c>
      <c r="D802" s="158" t="s">
        <f>"15010112720"</f>
        <v>1535</v>
      </c>
      <c r="E802" s="158">
        <v>57.46</v>
      </c>
      <c r="F802" s="158"/>
      <c r="G802" s="158">
        <v>57.46</v>
      </c>
    </row>
    <row r="803" spans="1:7" ht="32.999496" customHeight="1" x14ac:dyDescent="0.15">
      <c r="A803" s="158">
        <v>801.0</v>
      </c>
      <c r="B803" s="158" t="s">
        <v>8</v>
      </c>
      <c r="C803" s="158" t="s">
        <f>"张荣"</f>
        <v>1536</v>
      </c>
      <c r="D803" s="158" t="s">
        <f>"15010112721"</f>
        <v>1537</v>
      </c>
      <c r="E803" s="158">
        <v>50.230000000000004</v>
      </c>
      <c r="F803" s="158"/>
      <c r="G803" s="158">
        <v>50.230000000000004</v>
      </c>
    </row>
    <row r="804" spans="1:7" ht="32.999496" customHeight="1" x14ac:dyDescent="0.15">
      <c r="A804" s="158">
        <v>802.0</v>
      </c>
      <c r="B804" s="158" t="s">
        <v>8</v>
      </c>
      <c r="C804" s="158" t="s">
        <f>"张琪韵"</f>
        <v>1538</v>
      </c>
      <c r="D804" s="158" t="s">
        <f>"15010112722"</f>
        <v>1539</v>
      </c>
      <c r="E804" s="158">
        <v>60.11</v>
      </c>
      <c r="F804" s="158"/>
      <c r="G804" s="158">
        <v>60.11</v>
      </c>
    </row>
    <row r="805" spans="1:7" ht="32.999496" customHeight="1" x14ac:dyDescent="0.15">
      <c r="A805" s="158">
        <v>803.0</v>
      </c>
      <c r="B805" s="158" t="s">
        <v>8</v>
      </c>
      <c r="C805" s="158" t="s">
        <f>"越绘"</f>
        <v>1540</v>
      </c>
      <c r="D805" s="158" t="s">
        <f>"15010112723"</f>
        <v>1541</v>
      </c>
      <c r="E805" s="158">
        <v>50.489999999999995</v>
      </c>
      <c r="F805" s="158"/>
      <c r="G805" s="158">
        <v>50.489999999999995</v>
      </c>
    </row>
    <row r="806" spans="1:7" ht="32.999496" customHeight="1" x14ac:dyDescent="0.15">
      <c r="A806" s="158">
        <v>804.0</v>
      </c>
      <c r="B806" s="158" t="s">
        <v>8</v>
      </c>
      <c r="C806" s="158" t="s">
        <f>"王淏"</f>
        <v>1542</v>
      </c>
      <c r="D806" s="158" t="s">
        <f>"15010112724"</f>
        <v>1543</v>
      </c>
      <c r="E806" s="158">
        <v>69.65</v>
      </c>
      <c r="F806" s="158"/>
      <c r="G806" s="158">
        <v>69.65</v>
      </c>
    </row>
    <row r="807" spans="1:7" ht="32.999496" customHeight="1" x14ac:dyDescent="0.15">
      <c r="A807" s="158">
        <v>805.0</v>
      </c>
      <c r="B807" s="158" t="s">
        <v>8</v>
      </c>
      <c r="C807" s="158" t="s">
        <f>"刘倩"</f>
        <v>1544</v>
      </c>
      <c r="D807" s="158" t="s">
        <f>"15010112725"</f>
        <v>1545</v>
      </c>
      <c r="E807" s="158" t="s">
        <v>15</v>
      </c>
      <c r="F807" s="158"/>
      <c r="G807" s="158" t="s">
        <v>15</v>
      </c>
    </row>
    <row r="808" spans="1:7" ht="32.999496" customHeight="1" x14ac:dyDescent="0.15">
      <c r="A808" s="158">
        <v>806.0</v>
      </c>
      <c r="B808" s="158" t="s">
        <v>8</v>
      </c>
      <c r="C808" s="158" t="s">
        <f>"訾萌"</f>
        <v>1546</v>
      </c>
      <c r="D808" s="158" t="s">
        <f>"15010112726"</f>
        <v>1547</v>
      </c>
      <c r="E808" s="158">
        <v>51.760000000000005</v>
      </c>
      <c r="F808" s="158"/>
      <c r="G808" s="158">
        <v>51.760000000000005</v>
      </c>
    </row>
    <row r="809" spans="1:7" ht="32.999496" customHeight="1" x14ac:dyDescent="0.15">
      <c r="A809" s="158">
        <v>807.0</v>
      </c>
      <c r="B809" s="158" t="s">
        <v>8</v>
      </c>
      <c r="C809" s="158" t="s">
        <f>"孙慧"</f>
        <v>1548</v>
      </c>
      <c r="D809" s="158" t="s">
        <f>"15010112727"</f>
        <v>1549</v>
      </c>
      <c r="E809" s="158">
        <v>50.93</v>
      </c>
      <c r="F809" s="158"/>
      <c r="G809" s="158">
        <v>50.93</v>
      </c>
    </row>
    <row r="810" spans="1:7" ht="32.999496" customHeight="1" x14ac:dyDescent="0.15">
      <c r="A810" s="158">
        <v>808.0</v>
      </c>
      <c r="B810" s="158" t="s">
        <v>8</v>
      </c>
      <c r="C810" s="158" t="s">
        <f>"郭玥"</f>
        <v>1550</v>
      </c>
      <c r="D810" s="158" t="s">
        <f>"15010112728"</f>
        <v>1551</v>
      </c>
      <c r="E810" s="158">
        <v>73.89</v>
      </c>
      <c r="F810" s="158"/>
      <c r="G810" s="158">
        <v>73.89</v>
      </c>
    </row>
    <row r="811" spans="1:7" ht="32.999496" customHeight="1" x14ac:dyDescent="0.15">
      <c r="A811" s="158">
        <v>809.0</v>
      </c>
      <c r="B811" s="158" t="s">
        <v>8</v>
      </c>
      <c r="C811" s="158" t="s">
        <f>"王娜"</f>
        <v>106</v>
      </c>
      <c r="D811" s="158" t="s">
        <f>"15010112729"</f>
        <v>1552</v>
      </c>
      <c r="E811" s="158" t="s">
        <v>15</v>
      </c>
      <c r="F811" s="158"/>
      <c r="G811" s="158" t="s">
        <v>15</v>
      </c>
    </row>
    <row r="812" spans="1:7" ht="32.999496" customHeight="1" x14ac:dyDescent="0.15">
      <c r="A812" s="158">
        <v>810.0</v>
      </c>
      <c r="B812" s="158" t="s">
        <v>8</v>
      </c>
      <c r="C812" s="158" t="s">
        <f>"边金玲"</f>
        <v>1553</v>
      </c>
      <c r="D812" s="158" t="s">
        <f>"15010112730"</f>
        <v>1554</v>
      </c>
      <c r="E812" s="158" t="s">
        <v>15</v>
      </c>
      <c r="F812" s="158"/>
      <c r="G812" s="158" t="s">
        <v>15</v>
      </c>
    </row>
    <row r="813" spans="1:7" ht="32.999496" customHeight="1" x14ac:dyDescent="0.15">
      <c r="A813" s="158">
        <v>811.0</v>
      </c>
      <c r="B813" s="158" t="s">
        <v>8</v>
      </c>
      <c r="C813" s="158" t="s">
        <f>"王宝林"</f>
        <v>1555</v>
      </c>
      <c r="D813" s="158" t="s">
        <f>"15010112801"</f>
        <v>1556</v>
      </c>
      <c r="E813" s="158" t="s">
        <v>15</v>
      </c>
      <c r="F813" s="158"/>
      <c r="G813" s="158" t="s">
        <v>15</v>
      </c>
    </row>
    <row r="814" spans="1:7" ht="32.999496" customHeight="1" x14ac:dyDescent="0.15">
      <c r="A814" s="158">
        <v>812.0</v>
      </c>
      <c r="B814" s="158" t="s">
        <v>8</v>
      </c>
      <c r="C814" s="158" t="s">
        <f>"杨阳"</f>
        <v>943</v>
      </c>
      <c r="D814" s="158" t="s">
        <f>"15010112802"</f>
        <v>1557</v>
      </c>
      <c r="E814" s="158">
        <v>55.370000000000005</v>
      </c>
      <c r="F814" s="158"/>
      <c r="G814" s="158">
        <v>55.370000000000005</v>
      </c>
    </row>
    <row r="815" spans="1:7" ht="32.999496" customHeight="1" x14ac:dyDescent="0.15">
      <c r="A815" s="158">
        <v>813.0</v>
      </c>
      <c r="B815" s="158" t="s">
        <v>8</v>
      </c>
      <c r="C815" s="158" t="s">
        <f>"温浩"</f>
        <v>1558</v>
      </c>
      <c r="D815" s="158" t="s">
        <f>"15010112803"</f>
        <v>1559</v>
      </c>
      <c r="E815" s="158">
        <v>59.34</v>
      </c>
      <c r="F815" s="158"/>
      <c r="G815" s="158">
        <v>59.34</v>
      </c>
    </row>
    <row r="816" spans="1:7" ht="32.999496" customHeight="1" x14ac:dyDescent="0.15">
      <c r="A816" s="158">
        <v>814.0</v>
      </c>
      <c r="B816" s="158" t="s">
        <v>8</v>
      </c>
      <c r="C816" s="158" t="s">
        <f>"高思遥"</f>
        <v>1560</v>
      </c>
      <c r="D816" s="158" t="s">
        <f>"15010112804"</f>
        <v>1561</v>
      </c>
      <c r="E816" s="158">
        <v>55.16</v>
      </c>
      <c r="F816" s="158"/>
      <c r="G816" s="158">
        <v>55.16</v>
      </c>
    </row>
    <row r="817" spans="1:7" ht="32.999496" customHeight="1" x14ac:dyDescent="0.15">
      <c r="A817" s="158">
        <v>815.0</v>
      </c>
      <c r="B817" s="158" t="s">
        <v>8</v>
      </c>
      <c r="C817" s="158" t="s">
        <f>"雷海艳"</f>
        <v>1562</v>
      </c>
      <c r="D817" s="158" t="s">
        <f>"15010112805"</f>
        <v>1563</v>
      </c>
      <c r="E817" s="158">
        <v>56.1</v>
      </c>
      <c r="F817" s="158"/>
      <c r="G817" s="158">
        <v>56.1</v>
      </c>
    </row>
    <row r="818" spans="1:7" ht="32.999496" customHeight="1" x14ac:dyDescent="0.15">
      <c r="A818" s="158">
        <v>816.0</v>
      </c>
      <c r="B818" s="158" t="s">
        <v>8</v>
      </c>
      <c r="C818" s="158" t="s">
        <f>"薛娜"</f>
        <v>1564</v>
      </c>
      <c r="D818" s="158" t="s">
        <f>"15010112806"</f>
        <v>1565</v>
      </c>
      <c r="E818" s="158">
        <v>69.55</v>
      </c>
      <c r="F818" s="158"/>
      <c r="G818" s="158">
        <v>69.55</v>
      </c>
    </row>
    <row r="819" spans="1:7" ht="32.999496" customHeight="1" x14ac:dyDescent="0.15">
      <c r="A819" s="158">
        <v>817.0</v>
      </c>
      <c r="B819" s="158" t="s">
        <v>8</v>
      </c>
      <c r="C819" s="158" t="s">
        <f>"张丽蓉"</f>
        <v>1566</v>
      </c>
      <c r="D819" s="158" t="s">
        <f>"15010112807"</f>
        <v>1567</v>
      </c>
      <c r="E819" s="158">
        <v>53.59</v>
      </c>
      <c r="F819" s="158"/>
      <c r="G819" s="158">
        <v>53.59</v>
      </c>
    </row>
    <row r="820" spans="1:7" ht="32.999496" customHeight="1" x14ac:dyDescent="0.15">
      <c r="A820" s="158">
        <v>818.0</v>
      </c>
      <c r="B820" s="158" t="s">
        <v>8</v>
      </c>
      <c r="C820" s="158" t="s">
        <f>"王杰"</f>
        <v>1568</v>
      </c>
      <c r="D820" s="158" t="s">
        <f>"15010112808"</f>
        <v>1569</v>
      </c>
      <c r="E820" s="158">
        <v>49.58</v>
      </c>
      <c r="F820" s="158"/>
      <c r="G820" s="158">
        <v>49.58</v>
      </c>
    </row>
    <row r="821" spans="1:7" ht="32.999496" customHeight="1" x14ac:dyDescent="0.15">
      <c r="A821" s="158">
        <v>819.0</v>
      </c>
      <c r="B821" s="158" t="s">
        <v>8</v>
      </c>
      <c r="C821" s="158" t="s">
        <f>"刘瑞"</f>
        <v>1570</v>
      </c>
      <c r="D821" s="158" t="s">
        <f>"15010112809"</f>
        <v>1571</v>
      </c>
      <c r="E821" s="158">
        <v>52.39</v>
      </c>
      <c r="F821" s="158"/>
      <c r="G821" s="158">
        <v>52.39</v>
      </c>
    </row>
    <row r="822" spans="1:7" ht="32.999496" customHeight="1" x14ac:dyDescent="0.15">
      <c r="A822" s="158">
        <v>820.0</v>
      </c>
      <c r="B822" s="158" t="s">
        <v>8</v>
      </c>
      <c r="C822" s="158" t="s">
        <f>"张慧龙"</f>
        <v>1572</v>
      </c>
      <c r="D822" s="158" t="s">
        <f>"15010112810"</f>
        <v>1573</v>
      </c>
      <c r="E822" s="158" t="s">
        <v>15</v>
      </c>
      <c r="F822" s="158"/>
      <c r="G822" s="158" t="s">
        <v>15</v>
      </c>
    </row>
    <row r="823" spans="1:7" ht="32.999496" customHeight="1" x14ac:dyDescent="0.15">
      <c r="A823" s="158">
        <v>821.0</v>
      </c>
      <c r="B823" s="158" t="s">
        <v>8</v>
      </c>
      <c r="C823" s="158" t="s">
        <f>"何碌"</f>
        <v>1574</v>
      </c>
      <c r="D823" s="158" t="s">
        <f>"15010112811"</f>
        <v>1575</v>
      </c>
      <c r="E823" s="158">
        <v>50.86</v>
      </c>
      <c r="F823" s="158"/>
      <c r="G823" s="158">
        <v>50.86</v>
      </c>
    </row>
    <row r="824" spans="1:7" ht="32.999496" customHeight="1" x14ac:dyDescent="0.15">
      <c r="A824" s="158">
        <v>822.0</v>
      </c>
      <c r="B824" s="158" t="s">
        <v>8</v>
      </c>
      <c r="C824" s="158" t="s">
        <f>"吴琼"</f>
        <v>1576</v>
      </c>
      <c r="D824" s="158" t="s">
        <f>"15010112812"</f>
        <v>1577</v>
      </c>
      <c r="E824" s="158">
        <v>47.760000000000005</v>
      </c>
      <c r="F824" s="158"/>
      <c r="G824" s="158">
        <v>47.760000000000005</v>
      </c>
    </row>
    <row r="825" spans="1:7" ht="32.999496" customHeight="1" x14ac:dyDescent="0.15">
      <c r="A825" s="158">
        <v>823.0</v>
      </c>
      <c r="B825" s="158" t="s">
        <v>8</v>
      </c>
      <c r="C825" s="158" t="s">
        <f>"贾江"</f>
        <v>1578</v>
      </c>
      <c r="D825" s="158" t="s">
        <f>"15010112813"</f>
        <v>1579</v>
      </c>
      <c r="E825" s="158">
        <v>47.71</v>
      </c>
      <c r="F825" s="158"/>
      <c r="G825" s="158">
        <v>47.71</v>
      </c>
    </row>
    <row r="826" spans="1:7" ht="32.999496" customHeight="1" x14ac:dyDescent="0.15">
      <c r="A826" s="158">
        <v>824.0</v>
      </c>
      <c r="B826" s="158" t="s">
        <v>8</v>
      </c>
      <c r="C826" s="158" t="s">
        <f>"康瑞英"</f>
        <v>1580</v>
      </c>
      <c r="D826" s="158" t="s">
        <f>"15010112814"</f>
        <v>1581</v>
      </c>
      <c r="E826" s="158">
        <v>47.31</v>
      </c>
      <c r="F826" s="158"/>
      <c r="G826" s="158">
        <v>47.31</v>
      </c>
    </row>
    <row r="827" spans="1:7" ht="32.999496" customHeight="1" x14ac:dyDescent="0.15">
      <c r="A827" s="158">
        <v>825.0</v>
      </c>
      <c r="B827" s="158" t="s">
        <v>8</v>
      </c>
      <c r="C827" s="158" t="s">
        <f>"郭莉"</f>
        <v>1582</v>
      </c>
      <c r="D827" s="158" t="s">
        <f>"15010112815"</f>
        <v>1583</v>
      </c>
      <c r="E827" s="158">
        <v>55.84</v>
      </c>
      <c r="F827" s="158"/>
      <c r="G827" s="158">
        <v>55.84</v>
      </c>
    </row>
    <row r="828" spans="1:7" ht="32.999496" customHeight="1" x14ac:dyDescent="0.15">
      <c r="A828" s="158">
        <v>826.0</v>
      </c>
      <c r="B828" s="158" t="s">
        <v>8</v>
      </c>
      <c r="C828" s="158" t="s">
        <f>"袁蓉"</f>
        <v>1584</v>
      </c>
      <c r="D828" s="158" t="s">
        <f>"15010112816"</f>
        <v>1585</v>
      </c>
      <c r="E828" s="158">
        <v>51.620000000000005</v>
      </c>
      <c r="F828" s="158"/>
      <c r="G828" s="158">
        <v>51.620000000000005</v>
      </c>
    </row>
    <row r="829" spans="1:7" ht="32.999496" customHeight="1" x14ac:dyDescent="0.15">
      <c r="A829" s="158">
        <v>827.0</v>
      </c>
      <c r="B829" s="158" t="s">
        <v>8</v>
      </c>
      <c r="C829" s="158" t="s">
        <f>"郗璐"</f>
        <v>1586</v>
      </c>
      <c r="D829" s="158" t="s">
        <f>"15010112817"</f>
        <v>1587</v>
      </c>
      <c r="E829" s="158" t="s">
        <v>15</v>
      </c>
      <c r="F829" s="158"/>
      <c r="G829" s="158" t="s">
        <v>15</v>
      </c>
    </row>
    <row r="830" spans="1:7" ht="32.999496" customHeight="1" x14ac:dyDescent="0.15">
      <c r="A830" s="158">
        <v>828.0</v>
      </c>
      <c r="B830" s="158" t="s">
        <v>8</v>
      </c>
      <c r="C830" s="158" t="s">
        <f>"张晋瑜"</f>
        <v>1588</v>
      </c>
      <c r="D830" s="158" t="s">
        <f>"15010112818"</f>
        <v>1589</v>
      </c>
      <c r="E830" s="158">
        <v>62.74</v>
      </c>
      <c r="F830" s="158"/>
      <c r="G830" s="158">
        <v>62.74</v>
      </c>
    </row>
    <row r="831" spans="1:7" ht="32.999496" customHeight="1" x14ac:dyDescent="0.15">
      <c r="A831" s="158">
        <v>829.0</v>
      </c>
      <c r="B831" s="158" t="s">
        <v>8</v>
      </c>
      <c r="C831" s="158" t="s">
        <f>"王冬"</f>
        <v>1590</v>
      </c>
      <c r="D831" s="158" t="s">
        <f>"15010112819"</f>
        <v>1591</v>
      </c>
      <c r="E831" s="158" t="s">
        <v>15</v>
      </c>
      <c r="F831" s="158"/>
      <c r="G831" s="158" t="s">
        <v>15</v>
      </c>
    </row>
    <row r="832" spans="1:7" ht="32.999496" customHeight="1" x14ac:dyDescent="0.15">
      <c r="A832" s="158">
        <v>830.0</v>
      </c>
      <c r="B832" s="158" t="s">
        <v>8</v>
      </c>
      <c r="C832" s="158" t="s">
        <f>"郭聪阳"</f>
        <v>1592</v>
      </c>
      <c r="D832" s="158" t="s">
        <f>"15010112820"</f>
        <v>1593</v>
      </c>
      <c r="E832" s="158">
        <v>64.62</v>
      </c>
      <c r="F832" s="158"/>
      <c r="G832" s="158">
        <v>64.62</v>
      </c>
    </row>
    <row r="833" spans="1:7" ht="32.999496" customHeight="1" x14ac:dyDescent="0.15">
      <c r="A833" s="158">
        <v>831.0</v>
      </c>
      <c r="B833" s="158" t="s">
        <v>8</v>
      </c>
      <c r="C833" s="158" t="s">
        <f>"高燕"</f>
        <v>1594</v>
      </c>
      <c r="D833" s="158" t="s">
        <f>"15010112821"</f>
        <v>1595</v>
      </c>
      <c r="E833" s="158">
        <v>44.61</v>
      </c>
      <c r="F833" s="158">
        <v>2.5</v>
      </c>
      <c r="G833" s="158">
        <v>47.11</v>
      </c>
    </row>
    <row r="834" spans="1:7" ht="32.999496" customHeight="1" x14ac:dyDescent="0.15">
      <c r="A834" s="158">
        <v>832.0</v>
      </c>
      <c r="B834" s="158" t="s">
        <v>8</v>
      </c>
      <c r="C834" s="158" t="s">
        <f>"李媛"</f>
        <v>1596</v>
      </c>
      <c r="D834" s="158" t="s">
        <f>"15010112822"</f>
        <v>1597</v>
      </c>
      <c r="E834" s="158">
        <v>61.77</v>
      </c>
      <c r="F834" s="158"/>
      <c r="G834" s="158">
        <v>61.77</v>
      </c>
    </row>
    <row r="835" spans="1:7" ht="32.999496" customHeight="1" x14ac:dyDescent="0.15">
      <c r="A835" s="158">
        <v>833.0</v>
      </c>
      <c r="B835" s="158" t="s">
        <v>8</v>
      </c>
      <c r="C835" s="158" t="s">
        <f>"张昊"</f>
        <v>1598</v>
      </c>
      <c r="D835" s="158" t="s">
        <f>"15010112823"</f>
        <v>1599</v>
      </c>
      <c r="E835" s="158">
        <v>41.4</v>
      </c>
      <c r="F835" s="158"/>
      <c r="G835" s="158">
        <v>41.4</v>
      </c>
    </row>
    <row r="836" spans="1:7" ht="32.999496" customHeight="1" x14ac:dyDescent="0.15">
      <c r="A836" s="158">
        <v>834.0</v>
      </c>
      <c r="B836" s="158" t="s">
        <v>8</v>
      </c>
      <c r="C836" s="158" t="s">
        <f>"刘洋"</f>
        <v>426</v>
      </c>
      <c r="D836" s="158" t="s">
        <f>"15010112824"</f>
        <v>1600</v>
      </c>
      <c r="E836" s="158">
        <v>55.3</v>
      </c>
      <c r="F836" s="158"/>
      <c r="G836" s="158">
        <v>55.3</v>
      </c>
    </row>
    <row r="837" spans="1:7" ht="32.999496" customHeight="1" x14ac:dyDescent="0.15">
      <c r="A837" s="158">
        <v>835.0</v>
      </c>
      <c r="B837" s="158" t="s">
        <v>8</v>
      </c>
      <c r="C837" s="158" t="s">
        <f>"丁昊"</f>
        <v>1601</v>
      </c>
      <c r="D837" s="158" t="s">
        <f>"15010112825"</f>
        <v>1602</v>
      </c>
      <c r="E837" s="158">
        <v>55.74</v>
      </c>
      <c r="F837" s="158"/>
      <c r="G837" s="158">
        <v>55.74</v>
      </c>
    </row>
    <row r="838" spans="1:7" ht="32.999496" customHeight="1" x14ac:dyDescent="0.15">
      <c r="A838" s="158">
        <v>836.0</v>
      </c>
      <c r="B838" s="158" t="s">
        <v>8</v>
      </c>
      <c r="C838" s="158" t="s">
        <f>"姜敏"</f>
        <v>1603</v>
      </c>
      <c r="D838" s="158" t="s">
        <f>"15010112826"</f>
        <v>1604</v>
      </c>
      <c r="E838" s="158">
        <v>55.58</v>
      </c>
      <c r="F838" s="158"/>
      <c r="G838" s="158">
        <v>55.58</v>
      </c>
    </row>
    <row r="839" spans="1:7" ht="32.999496" customHeight="1" x14ac:dyDescent="0.15">
      <c r="A839" s="158">
        <v>837.0</v>
      </c>
      <c r="B839" s="158" t="s">
        <v>8</v>
      </c>
      <c r="C839" s="158" t="s">
        <f>"王佳"</f>
        <v>1605</v>
      </c>
      <c r="D839" s="158" t="s">
        <f>"15010112827"</f>
        <v>1606</v>
      </c>
      <c r="E839" s="158">
        <v>54.76</v>
      </c>
      <c r="F839" s="158"/>
      <c r="G839" s="158">
        <v>54.76</v>
      </c>
    </row>
    <row r="840" spans="1:7" ht="32.999496" customHeight="1" x14ac:dyDescent="0.15">
      <c r="A840" s="158">
        <v>838.0</v>
      </c>
      <c r="B840" s="158" t="s">
        <v>8</v>
      </c>
      <c r="C840" s="158" t="s">
        <f>"王艳"</f>
        <v>195</v>
      </c>
      <c r="D840" s="158" t="s">
        <f>"15010112828"</f>
        <v>1607</v>
      </c>
      <c r="E840" s="158">
        <v>39.66</v>
      </c>
      <c r="F840" s="158"/>
      <c r="G840" s="158">
        <v>39.66</v>
      </c>
    </row>
    <row r="841" spans="1:7" ht="32.999496" customHeight="1" x14ac:dyDescent="0.15">
      <c r="A841" s="158">
        <v>839.0</v>
      </c>
      <c r="B841" s="158" t="s">
        <v>8</v>
      </c>
      <c r="C841" s="158" t="s">
        <f>"韩英华"</f>
        <v>1608</v>
      </c>
      <c r="D841" s="158" t="s">
        <f>"15010112829"</f>
        <v>1609</v>
      </c>
      <c r="E841" s="158">
        <v>62.09</v>
      </c>
      <c r="F841" s="158"/>
      <c r="G841" s="158">
        <v>62.09</v>
      </c>
    </row>
    <row r="842" spans="1:7" ht="32.999496" customHeight="1" x14ac:dyDescent="0.15">
      <c r="A842" s="158">
        <v>840.0</v>
      </c>
      <c r="B842" s="158" t="s">
        <v>8</v>
      </c>
      <c r="C842" s="158" t="s">
        <f>"杜雪蓉"</f>
        <v>1610</v>
      </c>
      <c r="D842" s="158" t="s">
        <f>"15010112830"</f>
        <v>1611</v>
      </c>
      <c r="E842" s="158">
        <v>63.67</v>
      </c>
      <c r="F842" s="158"/>
      <c r="G842" s="158">
        <v>63.67</v>
      </c>
    </row>
    <row r="843" spans="1:7" ht="32.999496" customHeight="1" x14ac:dyDescent="0.15">
      <c r="A843" s="158">
        <v>841.0</v>
      </c>
      <c r="B843" s="158" t="s">
        <v>8</v>
      </c>
      <c r="C843" s="158" t="s">
        <f>"牛慧媛"</f>
        <v>1612</v>
      </c>
      <c r="D843" s="158" t="s">
        <f>"15010112901"</f>
        <v>1613</v>
      </c>
      <c r="E843" s="158">
        <v>53.09</v>
      </c>
      <c r="F843" s="158"/>
      <c r="G843" s="158">
        <v>53.09</v>
      </c>
    </row>
    <row r="844" spans="1:7" ht="32.999496" customHeight="1" x14ac:dyDescent="0.15">
      <c r="A844" s="158">
        <v>842.0</v>
      </c>
      <c r="B844" s="158" t="s">
        <v>8</v>
      </c>
      <c r="C844" s="158" t="s">
        <f>"宋佳宇"</f>
        <v>1614</v>
      </c>
      <c r="D844" s="158" t="s">
        <f>"15010112902"</f>
        <v>1615</v>
      </c>
      <c r="E844" s="158">
        <v>46.06</v>
      </c>
      <c r="F844" s="158"/>
      <c r="G844" s="158">
        <v>46.06</v>
      </c>
    </row>
    <row r="845" spans="1:7" ht="32.999496" customHeight="1" x14ac:dyDescent="0.15">
      <c r="A845" s="158">
        <v>843.0</v>
      </c>
      <c r="B845" s="158" t="s">
        <v>8</v>
      </c>
      <c r="C845" s="158" t="s">
        <f>"杨枝"</f>
        <v>1616</v>
      </c>
      <c r="D845" s="158" t="s">
        <f>"15010112903"</f>
        <v>1617</v>
      </c>
      <c r="E845" s="158" t="s">
        <v>15</v>
      </c>
      <c r="F845" s="158"/>
      <c r="G845" s="158" t="s">
        <v>15</v>
      </c>
    </row>
    <row r="846" spans="1:7" ht="32.999496" customHeight="1" x14ac:dyDescent="0.15">
      <c r="A846" s="158">
        <v>844.0</v>
      </c>
      <c r="B846" s="158" t="s">
        <v>8</v>
      </c>
      <c r="C846" s="158" t="s">
        <f>"李金桃"</f>
        <v>1618</v>
      </c>
      <c r="D846" s="158" t="s">
        <f>"15010112904"</f>
        <v>1619</v>
      </c>
      <c r="E846" s="158" t="s">
        <v>15</v>
      </c>
      <c r="F846" s="158"/>
      <c r="G846" s="158" t="s">
        <v>15</v>
      </c>
    </row>
    <row r="847" spans="1:7" ht="32.999496" customHeight="1" x14ac:dyDescent="0.15">
      <c r="A847" s="158">
        <v>845.0</v>
      </c>
      <c r="B847" s="158" t="s">
        <v>8</v>
      </c>
      <c r="C847" s="158" t="s">
        <f>"雷军"</f>
        <v>1620</v>
      </c>
      <c r="D847" s="158" t="s">
        <f>"15010112905"</f>
        <v>1621</v>
      </c>
      <c r="E847" s="158">
        <v>52.4</v>
      </c>
      <c r="F847" s="158"/>
      <c r="G847" s="158">
        <v>52.4</v>
      </c>
    </row>
    <row r="848" spans="1:7" ht="32.999496" customHeight="1" x14ac:dyDescent="0.15">
      <c r="A848" s="158">
        <v>846.0</v>
      </c>
      <c r="B848" s="158" t="s">
        <v>8</v>
      </c>
      <c r="C848" s="158" t="s">
        <f>"何果红"</f>
        <v>1622</v>
      </c>
      <c r="D848" s="158" t="s">
        <f>"15010112906"</f>
        <v>1623</v>
      </c>
      <c r="E848" s="158">
        <v>45.129999999999995</v>
      </c>
      <c r="F848" s="158"/>
      <c r="G848" s="158">
        <v>45.129999999999995</v>
      </c>
    </row>
    <row r="849" spans="1:7" ht="32.999496" customHeight="1" x14ac:dyDescent="0.15">
      <c r="A849" s="158">
        <v>847.0</v>
      </c>
      <c r="B849" s="158" t="s">
        <v>8</v>
      </c>
      <c r="C849" s="158" t="s">
        <f>"贺保元"</f>
        <v>1624</v>
      </c>
      <c r="D849" s="158" t="s">
        <f>"15010112907"</f>
        <v>1625</v>
      </c>
      <c r="E849" s="158">
        <v>52.21</v>
      </c>
      <c r="F849" s="158"/>
      <c r="G849" s="158">
        <v>52.21</v>
      </c>
    </row>
    <row r="850" spans="1:7" ht="32.999496" customHeight="1" x14ac:dyDescent="0.15">
      <c r="A850" s="158">
        <v>848.0</v>
      </c>
      <c r="B850" s="158" t="s">
        <v>8</v>
      </c>
      <c r="C850" s="158" t="s">
        <f>"杨燕婷"</f>
        <v>1626</v>
      </c>
      <c r="D850" s="158" t="s">
        <f>"15010112908"</f>
        <v>1627</v>
      </c>
      <c r="E850" s="158" t="s">
        <v>15</v>
      </c>
      <c r="F850" s="158"/>
      <c r="G850" s="158" t="s">
        <v>15</v>
      </c>
    </row>
    <row r="851" spans="1:7" ht="32.999496" customHeight="1" x14ac:dyDescent="0.15">
      <c r="A851" s="158">
        <v>849.0</v>
      </c>
      <c r="B851" s="158" t="s">
        <v>8</v>
      </c>
      <c r="C851" s="158" t="s">
        <f>"訾涛"</f>
        <v>1628</v>
      </c>
      <c r="D851" s="158" t="s">
        <f>"15010112909"</f>
        <v>1629</v>
      </c>
      <c r="E851" s="158" t="s">
        <v>15</v>
      </c>
      <c r="F851" s="158"/>
      <c r="G851" s="158" t="s">
        <v>15</v>
      </c>
    </row>
    <row r="852" spans="1:7" ht="32.999496" customHeight="1" x14ac:dyDescent="0.15">
      <c r="A852" s="158">
        <v>850.0</v>
      </c>
      <c r="B852" s="158" t="s">
        <v>8</v>
      </c>
      <c r="C852" s="158" t="s">
        <f>"苏雅拉"</f>
        <v>1630</v>
      </c>
      <c r="D852" s="158" t="s">
        <f>"15010112910"</f>
        <v>1631</v>
      </c>
      <c r="E852" s="158">
        <v>51.55</v>
      </c>
      <c r="F852" s="158">
        <v>2.5</v>
      </c>
      <c r="G852" s="158">
        <v>54.05</v>
      </c>
    </row>
    <row r="853" spans="1:7" ht="32.999496" customHeight="1" x14ac:dyDescent="0.15">
      <c r="A853" s="158">
        <v>851.0</v>
      </c>
      <c r="B853" s="158" t="s">
        <v>8</v>
      </c>
      <c r="C853" s="158" t="s">
        <f>"杜荣"</f>
        <v>1632</v>
      </c>
      <c r="D853" s="158" t="s">
        <f>"15010112911"</f>
        <v>1633</v>
      </c>
      <c r="E853" s="158">
        <v>48.019999999999996</v>
      </c>
      <c r="F853" s="158"/>
      <c r="G853" s="158">
        <v>48.019999999999996</v>
      </c>
    </row>
    <row r="854" spans="1:7" ht="32.999496" customHeight="1" x14ac:dyDescent="0.15">
      <c r="A854" s="158">
        <v>852.0</v>
      </c>
      <c r="B854" s="158" t="s">
        <v>8</v>
      </c>
      <c r="C854" s="158" t="s">
        <f>"郑春妮"</f>
        <v>1634</v>
      </c>
      <c r="D854" s="158" t="s">
        <f>"15010112912"</f>
        <v>1635</v>
      </c>
      <c r="E854" s="158">
        <v>61.65</v>
      </c>
      <c r="F854" s="158"/>
      <c r="G854" s="158">
        <v>61.65</v>
      </c>
    </row>
    <row r="855" spans="1:7" ht="32.999496" customHeight="1" x14ac:dyDescent="0.15">
      <c r="A855" s="158">
        <v>853.0</v>
      </c>
      <c r="B855" s="158" t="s">
        <v>8</v>
      </c>
      <c r="C855" s="158" t="s">
        <f>"刘鑫"</f>
        <v>576</v>
      </c>
      <c r="D855" s="158" t="s">
        <f>"15010112913"</f>
        <v>1636</v>
      </c>
      <c r="E855" s="158">
        <v>44.870000000000005</v>
      </c>
      <c r="F855" s="158"/>
      <c r="G855" s="158">
        <v>44.870000000000005</v>
      </c>
    </row>
    <row r="856" spans="1:7" ht="32.999496" customHeight="1" x14ac:dyDescent="0.15">
      <c r="A856" s="158">
        <v>854.0</v>
      </c>
      <c r="B856" s="158" t="s">
        <v>8</v>
      </c>
      <c r="C856" s="158" t="s">
        <f>"刘鑫"</f>
        <v>576</v>
      </c>
      <c r="D856" s="158" t="s">
        <f>"15010112914"</f>
        <v>1637</v>
      </c>
      <c r="E856" s="158" t="s">
        <v>15</v>
      </c>
      <c r="F856" s="158"/>
      <c r="G856" s="158" t="s">
        <v>15</v>
      </c>
    </row>
    <row r="857" spans="1:7" ht="32.999496" customHeight="1" x14ac:dyDescent="0.15">
      <c r="A857" s="158">
        <v>855.0</v>
      </c>
      <c r="B857" s="158" t="s">
        <v>8</v>
      </c>
      <c r="C857" s="158" t="s">
        <f>"高浩月"</f>
        <v>1638</v>
      </c>
      <c r="D857" s="158" t="s">
        <f>"15010112915"</f>
        <v>1639</v>
      </c>
      <c r="E857" s="158">
        <v>47.6</v>
      </c>
      <c r="F857" s="158"/>
      <c r="G857" s="158">
        <v>47.6</v>
      </c>
    </row>
    <row r="858" spans="1:7" ht="32.999496" customHeight="1" x14ac:dyDescent="0.15">
      <c r="A858" s="158">
        <v>856.0</v>
      </c>
      <c r="B858" s="158" t="s">
        <v>8</v>
      </c>
      <c r="C858" s="158" t="s">
        <f>"郝敏"</f>
        <v>1640</v>
      </c>
      <c r="D858" s="158" t="s">
        <f>"15010112916"</f>
        <v>1641</v>
      </c>
      <c r="E858" s="158">
        <v>51.47</v>
      </c>
      <c r="F858" s="158"/>
      <c r="G858" s="158">
        <v>51.47</v>
      </c>
    </row>
    <row r="859" spans="1:7" ht="32.999496" customHeight="1" x14ac:dyDescent="0.15">
      <c r="A859" s="158">
        <v>857.0</v>
      </c>
      <c r="B859" s="158" t="s">
        <v>8</v>
      </c>
      <c r="C859" s="158" t="s">
        <f>"贾思淼"</f>
        <v>1642</v>
      </c>
      <c r="D859" s="158" t="s">
        <f>"15010112917"</f>
        <v>1643</v>
      </c>
      <c r="E859" s="158">
        <v>51.44</v>
      </c>
      <c r="F859" s="158"/>
      <c r="G859" s="158">
        <v>51.44</v>
      </c>
    </row>
    <row r="860" spans="1:7" ht="32.999496" customHeight="1" x14ac:dyDescent="0.15">
      <c r="A860" s="158">
        <v>858.0</v>
      </c>
      <c r="B860" s="158" t="s">
        <v>8</v>
      </c>
      <c r="C860" s="158" t="s">
        <f>"高怡葶"</f>
        <v>1644</v>
      </c>
      <c r="D860" s="158" t="s">
        <f>"15010112918"</f>
        <v>1645</v>
      </c>
      <c r="E860" s="158">
        <v>60.92</v>
      </c>
      <c r="F860" s="158"/>
      <c r="G860" s="158">
        <v>60.92</v>
      </c>
    </row>
    <row r="861" spans="1:7" ht="32.999496" customHeight="1" x14ac:dyDescent="0.15">
      <c r="A861" s="158">
        <v>859.0</v>
      </c>
      <c r="B861" s="158" t="s">
        <v>8</v>
      </c>
      <c r="C861" s="158" t="s">
        <f>"张步州"</f>
        <v>1646</v>
      </c>
      <c r="D861" s="158" t="s">
        <f>"15010112919"</f>
        <v>1647</v>
      </c>
      <c r="E861" s="158">
        <v>57.23</v>
      </c>
      <c r="F861" s="158"/>
      <c r="G861" s="158">
        <v>57.23</v>
      </c>
    </row>
    <row r="862" spans="1:7" ht="32.999496" customHeight="1" x14ac:dyDescent="0.15">
      <c r="A862" s="158">
        <v>860.0</v>
      </c>
      <c r="B862" s="158" t="s">
        <v>8</v>
      </c>
      <c r="C862" s="158" t="s">
        <f>"解婷"</f>
        <v>852</v>
      </c>
      <c r="D862" s="158" t="s">
        <f>"15010112920"</f>
        <v>1648</v>
      </c>
      <c r="E862" s="158">
        <v>59.86</v>
      </c>
      <c r="F862" s="158"/>
      <c r="G862" s="158">
        <v>59.86</v>
      </c>
    </row>
    <row r="863" spans="1:7" ht="32.999496" customHeight="1" x14ac:dyDescent="0.15">
      <c r="A863" s="158">
        <v>861.0</v>
      </c>
      <c r="B863" s="158" t="s">
        <v>8</v>
      </c>
      <c r="C863" s="158" t="s">
        <f>"李超"</f>
        <v>1649</v>
      </c>
      <c r="D863" s="158" t="s">
        <f>"15010112921"</f>
        <v>1650</v>
      </c>
      <c r="E863" s="158">
        <v>61.28</v>
      </c>
      <c r="F863" s="158"/>
      <c r="G863" s="158">
        <v>61.28</v>
      </c>
    </row>
    <row r="864" spans="1:7" ht="32.999496" customHeight="1" x14ac:dyDescent="0.15">
      <c r="A864" s="158">
        <v>862.0</v>
      </c>
      <c r="B864" s="158" t="s">
        <v>8</v>
      </c>
      <c r="C864" s="158" t="s">
        <f>"王慧"</f>
        <v>180</v>
      </c>
      <c r="D864" s="158" t="s">
        <f>"15010112922"</f>
        <v>1651</v>
      </c>
      <c r="E864" s="158" t="s">
        <v>15</v>
      </c>
      <c r="F864" s="158"/>
      <c r="G864" s="158" t="s">
        <v>15</v>
      </c>
    </row>
    <row r="865" spans="1:7" ht="32.999496" customHeight="1" x14ac:dyDescent="0.15">
      <c r="A865" s="158">
        <v>863.0</v>
      </c>
      <c r="B865" s="158" t="s">
        <v>8</v>
      </c>
      <c r="C865" s="158" t="s">
        <f>"徐荣"</f>
        <v>1652</v>
      </c>
      <c r="D865" s="158" t="s">
        <f>"15010112923"</f>
        <v>1653</v>
      </c>
      <c r="E865" s="158" t="s">
        <v>15</v>
      </c>
      <c r="F865" s="158"/>
      <c r="G865" s="158" t="s">
        <v>15</v>
      </c>
    </row>
    <row r="866" spans="1:7" ht="32.999496" customHeight="1" x14ac:dyDescent="0.15">
      <c r="A866" s="158">
        <v>864.0</v>
      </c>
      <c r="B866" s="158" t="s">
        <v>8</v>
      </c>
      <c r="C866" s="158" t="s">
        <f>"杨阳"</f>
        <v>943</v>
      </c>
      <c r="D866" s="158" t="s">
        <f>"15010112924"</f>
        <v>1654</v>
      </c>
      <c r="E866" s="158">
        <v>48.58</v>
      </c>
      <c r="F866" s="158"/>
      <c r="G866" s="158">
        <v>48.58</v>
      </c>
    </row>
    <row r="867" spans="1:7" ht="32.999496" customHeight="1" x14ac:dyDescent="0.15">
      <c r="A867" s="158">
        <v>865.0</v>
      </c>
      <c r="B867" s="158" t="s">
        <v>8</v>
      </c>
      <c r="C867" s="158" t="s">
        <f>"武蓉"</f>
        <v>1655</v>
      </c>
      <c r="D867" s="158" t="s">
        <f>"15010112925"</f>
        <v>1656</v>
      </c>
      <c r="E867" s="158">
        <v>74.69</v>
      </c>
      <c r="F867" s="158"/>
      <c r="G867" s="158">
        <v>74.69</v>
      </c>
    </row>
    <row r="868" spans="1:7" ht="32.999496" customHeight="1" x14ac:dyDescent="0.15">
      <c r="A868" s="158">
        <v>866.0</v>
      </c>
      <c r="B868" s="158" t="s">
        <v>8</v>
      </c>
      <c r="C868" s="158" t="s">
        <f>"闫静梅"</f>
        <v>1657</v>
      </c>
      <c r="D868" s="158" t="s">
        <f>"15010112926"</f>
        <v>1658</v>
      </c>
      <c r="E868" s="158">
        <v>56.36</v>
      </c>
      <c r="F868" s="158"/>
      <c r="G868" s="158">
        <v>56.36</v>
      </c>
    </row>
    <row r="869" spans="1:7" ht="32.999496" customHeight="1" x14ac:dyDescent="0.15">
      <c r="A869" s="158">
        <v>867.0</v>
      </c>
      <c r="B869" s="158" t="s">
        <v>8</v>
      </c>
      <c r="C869" s="158" t="s">
        <f>"杨智"</f>
        <v>1659</v>
      </c>
      <c r="D869" s="158" t="s">
        <f>"15010112927"</f>
        <v>1660</v>
      </c>
      <c r="E869" s="158">
        <v>54.44</v>
      </c>
      <c r="F869" s="158"/>
      <c r="G869" s="158">
        <v>54.44</v>
      </c>
    </row>
    <row r="870" spans="1:7" ht="32.999496" customHeight="1" x14ac:dyDescent="0.15">
      <c r="A870" s="158">
        <v>868.0</v>
      </c>
      <c r="B870" s="158" t="s">
        <v>8</v>
      </c>
      <c r="C870" s="158" t="s">
        <f>"孙倩"</f>
        <v>1661</v>
      </c>
      <c r="D870" s="158" t="s">
        <f>"15010112928"</f>
        <v>1662</v>
      </c>
      <c r="E870" s="158">
        <v>51.61</v>
      </c>
      <c r="F870" s="158"/>
      <c r="G870" s="158">
        <v>51.61</v>
      </c>
    </row>
    <row r="871" spans="1:7" ht="32.999496" customHeight="1" x14ac:dyDescent="0.15">
      <c r="A871" s="158">
        <v>869.0</v>
      </c>
      <c r="B871" s="158" t="s">
        <v>8</v>
      </c>
      <c r="C871" s="158" t="s">
        <f>"张娜"</f>
        <v>32</v>
      </c>
      <c r="D871" s="158" t="s">
        <f>"15010112929"</f>
        <v>1663</v>
      </c>
      <c r="E871" s="158" t="s">
        <v>15</v>
      </c>
      <c r="F871" s="158"/>
      <c r="G871" s="158" t="s">
        <v>15</v>
      </c>
    </row>
    <row r="872" spans="1:7" ht="32.999496" customHeight="1" x14ac:dyDescent="0.15">
      <c r="A872" s="158">
        <v>870.0</v>
      </c>
      <c r="B872" s="158" t="s">
        <v>8</v>
      </c>
      <c r="C872" s="158" t="s">
        <f>"解鹏"</f>
        <v>1664</v>
      </c>
      <c r="D872" s="158" t="s">
        <f>"15010112930"</f>
        <v>1665</v>
      </c>
      <c r="E872" s="158">
        <v>47.72</v>
      </c>
      <c r="F872" s="158"/>
      <c r="G872" s="158">
        <v>47.72</v>
      </c>
    </row>
    <row r="873" spans="1:7" ht="32.999496" customHeight="1" x14ac:dyDescent="0.15">
      <c r="A873" s="158">
        <v>871.0</v>
      </c>
      <c r="B873" s="158" t="s">
        <v>8</v>
      </c>
      <c r="C873" s="158" t="s">
        <f>"罗向艳"</f>
        <v>1666</v>
      </c>
      <c r="D873" s="158" t="s">
        <f>"15010113001"</f>
        <v>1667</v>
      </c>
      <c r="E873" s="158">
        <v>50.519999999999996</v>
      </c>
      <c r="F873" s="158"/>
      <c r="G873" s="158">
        <v>50.519999999999996</v>
      </c>
    </row>
    <row r="874" spans="1:7" ht="32.999496" customHeight="1" x14ac:dyDescent="0.15">
      <c r="A874" s="158">
        <v>872.0</v>
      </c>
      <c r="B874" s="158" t="s">
        <v>8</v>
      </c>
      <c r="C874" s="158" t="s">
        <f>"王飞"</f>
        <v>1668</v>
      </c>
      <c r="D874" s="158" t="s">
        <f>"15010113002"</f>
        <v>1669</v>
      </c>
      <c r="E874" s="158">
        <v>55.44</v>
      </c>
      <c r="F874" s="158"/>
      <c r="G874" s="158">
        <v>55.44</v>
      </c>
    </row>
    <row r="875" spans="1:7" ht="32.999496" customHeight="1" x14ac:dyDescent="0.15">
      <c r="A875" s="158">
        <v>873.0</v>
      </c>
      <c r="B875" s="158" t="s">
        <v>8</v>
      </c>
      <c r="C875" s="158" t="s">
        <f>"王瑞"</f>
        <v>467</v>
      </c>
      <c r="D875" s="158" t="s">
        <f>"15010113003"</f>
        <v>1670</v>
      </c>
      <c r="E875" s="158">
        <v>50.04</v>
      </c>
      <c r="F875" s="158"/>
      <c r="G875" s="158">
        <v>50.04</v>
      </c>
    </row>
    <row r="876" spans="1:7" ht="32.999496" customHeight="1" x14ac:dyDescent="0.15">
      <c r="A876" s="158">
        <v>874.0</v>
      </c>
      <c r="B876" s="158" t="s">
        <v>8</v>
      </c>
      <c r="C876" s="158" t="s">
        <f>"王立清"</f>
        <v>1671</v>
      </c>
      <c r="D876" s="158" t="s">
        <f>"15010113004"</f>
        <v>1672</v>
      </c>
      <c r="E876" s="158">
        <v>55.38</v>
      </c>
      <c r="F876" s="158"/>
      <c r="G876" s="158">
        <v>55.38</v>
      </c>
    </row>
    <row r="877" spans="1:7" ht="32.999496" customHeight="1" x14ac:dyDescent="0.15">
      <c r="A877" s="158">
        <v>875.0</v>
      </c>
      <c r="B877" s="158" t="s">
        <v>8</v>
      </c>
      <c r="C877" s="158" t="s">
        <f>"郭世强"</f>
        <v>1673</v>
      </c>
      <c r="D877" s="158" t="s">
        <f>"15010113005"</f>
        <v>1674</v>
      </c>
      <c r="E877" s="158">
        <v>70.25</v>
      </c>
      <c r="F877" s="158"/>
      <c r="G877" s="158">
        <v>70.25</v>
      </c>
    </row>
    <row r="878" spans="1:7" ht="32.999496" customHeight="1" x14ac:dyDescent="0.15">
      <c r="A878" s="158">
        <v>876.0</v>
      </c>
      <c r="B878" s="158" t="s">
        <v>8</v>
      </c>
      <c r="C878" s="158" t="s">
        <f>"张媛"</f>
        <v>795</v>
      </c>
      <c r="D878" s="158" t="s">
        <f>"15010113006"</f>
        <v>1675</v>
      </c>
      <c r="E878" s="158">
        <v>57.81</v>
      </c>
      <c r="F878" s="158">
        <v>2.5</v>
      </c>
      <c r="G878" s="158">
        <v>60.31</v>
      </c>
    </row>
    <row r="879" spans="1:7" ht="32.999496" customHeight="1" x14ac:dyDescent="0.15">
      <c r="A879" s="158">
        <v>877.0</v>
      </c>
      <c r="B879" s="158" t="s">
        <v>8</v>
      </c>
      <c r="C879" s="158" t="s">
        <f>"乔海艳"</f>
        <v>1676</v>
      </c>
      <c r="D879" s="158" t="s">
        <f>"15010113007"</f>
        <v>1677</v>
      </c>
      <c r="E879" s="158">
        <v>66.28</v>
      </c>
      <c r="F879" s="158"/>
      <c r="G879" s="158">
        <v>66.28</v>
      </c>
    </row>
    <row r="880" spans="1:7" ht="32.999496" customHeight="1" x14ac:dyDescent="0.15">
      <c r="A880" s="158">
        <v>878.0</v>
      </c>
      <c r="B880" s="158" t="s">
        <v>8</v>
      </c>
      <c r="C880" s="158" t="s">
        <f>"高杰"</f>
        <v>1678</v>
      </c>
      <c r="D880" s="158" t="s">
        <f>"15010113008"</f>
        <v>1679</v>
      </c>
      <c r="E880" s="158">
        <v>50.480000000000004</v>
      </c>
      <c r="F880" s="158"/>
      <c r="G880" s="158">
        <v>50.480000000000004</v>
      </c>
    </row>
    <row r="881" spans="1:7" ht="32.999496" customHeight="1" x14ac:dyDescent="0.15">
      <c r="A881" s="158">
        <v>879.0</v>
      </c>
      <c r="B881" s="158" t="s">
        <v>8</v>
      </c>
      <c r="C881" s="158" t="s">
        <f>"方敏"</f>
        <v>1680</v>
      </c>
      <c r="D881" s="158" t="s">
        <f>"15010113009"</f>
        <v>1681</v>
      </c>
      <c r="E881" s="158" t="s">
        <v>15</v>
      </c>
      <c r="F881" s="158"/>
      <c r="G881" s="158" t="s">
        <v>15</v>
      </c>
    </row>
    <row r="882" spans="1:7" ht="32.999496" customHeight="1" x14ac:dyDescent="0.15">
      <c r="A882" s="158">
        <v>880.0</v>
      </c>
      <c r="B882" s="158" t="s">
        <v>8</v>
      </c>
      <c r="C882" s="158" t="s">
        <f>"张双"</f>
        <v>1682</v>
      </c>
      <c r="D882" s="158" t="s">
        <f>"15010113010"</f>
        <v>1683</v>
      </c>
      <c r="E882" s="158">
        <v>54.85</v>
      </c>
      <c r="F882" s="158">
        <v>2.5</v>
      </c>
      <c r="G882" s="158">
        <v>57.35</v>
      </c>
    </row>
    <row r="883" spans="1:7" ht="32.999496" customHeight="1" x14ac:dyDescent="0.15">
      <c r="A883" s="158">
        <v>881.0</v>
      </c>
      <c r="B883" s="158" t="s">
        <v>8</v>
      </c>
      <c r="C883" s="158" t="s">
        <f>"刘奇"</f>
        <v>1684</v>
      </c>
      <c r="D883" s="158" t="s">
        <f>"15010113011"</f>
        <v>1685</v>
      </c>
      <c r="E883" s="158" t="s">
        <v>15</v>
      </c>
      <c r="F883" s="158"/>
      <c r="G883" s="158" t="s">
        <v>15</v>
      </c>
    </row>
    <row r="884" spans="1:7" ht="32.999496" customHeight="1" x14ac:dyDescent="0.15">
      <c r="A884" s="158">
        <v>882.0</v>
      </c>
      <c r="B884" s="158" t="s">
        <v>8</v>
      </c>
      <c r="C884" s="158" t="s">
        <f>"王宇"</f>
        <v>296</v>
      </c>
      <c r="D884" s="158" t="s">
        <f>"15010113012"</f>
        <v>1686</v>
      </c>
      <c r="E884" s="158">
        <v>71.3</v>
      </c>
      <c r="F884" s="158"/>
      <c r="G884" s="158">
        <v>71.3</v>
      </c>
    </row>
    <row r="885" spans="1:7" ht="32.999496" customHeight="1" x14ac:dyDescent="0.15">
      <c r="A885" s="158">
        <v>883.0</v>
      </c>
      <c r="B885" s="158" t="s">
        <v>8</v>
      </c>
      <c r="C885" s="158" t="s">
        <f>"蔡小惠"</f>
        <v>1687</v>
      </c>
      <c r="D885" s="158" t="s">
        <f>"15010113013"</f>
        <v>1688</v>
      </c>
      <c r="E885" s="158">
        <v>56.48</v>
      </c>
      <c r="F885" s="158"/>
      <c r="G885" s="158">
        <v>56.48</v>
      </c>
    </row>
    <row r="886" spans="1:7" ht="32.999496" customHeight="1" x14ac:dyDescent="0.15">
      <c r="A886" s="158">
        <v>884.0</v>
      </c>
      <c r="B886" s="158" t="s">
        <v>8</v>
      </c>
      <c r="C886" s="158" t="s">
        <f>"白娜"</f>
        <v>1689</v>
      </c>
      <c r="D886" s="158" t="s">
        <f>"15010113014"</f>
        <v>1690</v>
      </c>
      <c r="E886" s="158">
        <v>57.44</v>
      </c>
      <c r="F886" s="158"/>
      <c r="G886" s="158">
        <v>57.44</v>
      </c>
    </row>
    <row r="887" spans="1:7" ht="32.999496" customHeight="1" x14ac:dyDescent="0.15">
      <c r="A887" s="158">
        <v>885.0</v>
      </c>
      <c r="B887" s="158" t="s">
        <v>8</v>
      </c>
      <c r="C887" s="158" t="s">
        <f>"刘艳萍"</f>
        <v>1691</v>
      </c>
      <c r="D887" s="158" t="s">
        <f>"15010113015"</f>
        <v>1692</v>
      </c>
      <c r="E887" s="158" t="s">
        <v>15</v>
      </c>
      <c r="F887" s="158"/>
      <c r="G887" s="158" t="s">
        <v>15</v>
      </c>
    </row>
    <row r="888" spans="1:7" ht="32.999496" customHeight="1" x14ac:dyDescent="0.15">
      <c r="A888" s="158">
        <v>886.0</v>
      </c>
      <c r="B888" s="158" t="s">
        <v>8</v>
      </c>
      <c r="C888" s="158" t="s">
        <f>"翟晓瑞"</f>
        <v>1693</v>
      </c>
      <c r="D888" s="158" t="s">
        <f>"15010113016"</f>
        <v>1694</v>
      </c>
      <c r="E888" s="158">
        <v>47.22</v>
      </c>
      <c r="F888" s="158"/>
      <c r="G888" s="158">
        <v>47.22</v>
      </c>
    </row>
    <row r="889" spans="1:7" ht="32.999496" customHeight="1" x14ac:dyDescent="0.15">
      <c r="A889" s="158">
        <v>887.0</v>
      </c>
      <c r="B889" s="158" t="s">
        <v>8</v>
      </c>
      <c r="C889" s="158" t="s">
        <f>"张贵芬"</f>
        <v>1695</v>
      </c>
      <c r="D889" s="158" t="s">
        <f>"15010113017"</f>
        <v>1696</v>
      </c>
      <c r="E889" s="158">
        <v>49.46</v>
      </c>
      <c r="F889" s="158"/>
      <c r="G889" s="158">
        <v>49.46</v>
      </c>
    </row>
    <row r="890" spans="1:7" ht="32.999496" customHeight="1" x14ac:dyDescent="0.15">
      <c r="A890" s="158">
        <v>888.0</v>
      </c>
      <c r="B890" s="158" t="s">
        <v>8</v>
      </c>
      <c r="C890" s="158" t="s">
        <f>"杨坤超"</f>
        <v>1697</v>
      </c>
      <c r="D890" s="158" t="s">
        <f>"15010113018"</f>
        <v>1698</v>
      </c>
      <c r="E890" s="158" t="s">
        <v>15</v>
      </c>
      <c r="F890" s="158"/>
      <c r="G890" s="158" t="s">
        <v>15</v>
      </c>
    </row>
    <row r="891" spans="1:7" ht="32.999496" customHeight="1" x14ac:dyDescent="0.15">
      <c r="A891" s="158">
        <v>889.0</v>
      </c>
      <c r="B891" s="158" t="s">
        <v>8</v>
      </c>
      <c r="C891" s="158" t="s">
        <f>"苏雨"</f>
        <v>1699</v>
      </c>
      <c r="D891" s="158" t="s">
        <f>"15010113019"</f>
        <v>1700</v>
      </c>
      <c r="E891" s="158">
        <v>49.769999999999996</v>
      </c>
      <c r="F891" s="158"/>
      <c r="G891" s="158">
        <v>49.769999999999996</v>
      </c>
    </row>
    <row r="892" spans="1:7" ht="32.999496" customHeight="1" x14ac:dyDescent="0.15">
      <c r="A892" s="158">
        <v>890.0</v>
      </c>
      <c r="B892" s="158" t="s">
        <v>8</v>
      </c>
      <c r="C892" s="158" t="s">
        <f>"訾杭东"</f>
        <v>1701</v>
      </c>
      <c r="D892" s="158" t="s">
        <f>"15010113020"</f>
        <v>1702</v>
      </c>
      <c r="E892" s="158">
        <v>50.14</v>
      </c>
      <c r="F892" s="158"/>
      <c r="G892" s="158">
        <v>50.14</v>
      </c>
    </row>
    <row r="893" spans="1:7" ht="32.999496" customHeight="1" x14ac:dyDescent="0.15">
      <c r="A893" s="158">
        <v>891.0</v>
      </c>
      <c r="B893" s="158" t="s">
        <v>8</v>
      </c>
      <c r="C893" s="158" t="s">
        <f>"张宇"</f>
        <v>913</v>
      </c>
      <c r="D893" s="158" t="s">
        <f>"15010113021"</f>
        <v>1703</v>
      </c>
      <c r="E893" s="158">
        <v>56.54</v>
      </c>
      <c r="F893" s="158"/>
      <c r="G893" s="158">
        <v>56.54</v>
      </c>
    </row>
    <row r="894" spans="1:7" ht="32.999496" customHeight="1" x14ac:dyDescent="0.15">
      <c r="A894" s="158">
        <v>892.0</v>
      </c>
      <c r="B894" s="158" t="s">
        <v>8</v>
      </c>
      <c r="C894" s="158" t="s">
        <f>"解宏艳"</f>
        <v>1704</v>
      </c>
      <c r="D894" s="158" t="s">
        <f>"15010113022"</f>
        <v>1705</v>
      </c>
      <c r="E894" s="158">
        <v>53.56</v>
      </c>
      <c r="F894" s="158"/>
      <c r="G894" s="158">
        <v>53.56</v>
      </c>
    </row>
    <row r="895" spans="1:7" ht="32.999496" customHeight="1" x14ac:dyDescent="0.15">
      <c r="A895" s="158">
        <v>893.0</v>
      </c>
      <c r="B895" s="158" t="s">
        <v>8</v>
      </c>
      <c r="C895" s="158" t="s">
        <f>"王淅漫"</f>
        <v>1706</v>
      </c>
      <c r="D895" s="158" t="s">
        <f>"15010113023"</f>
        <v>1707</v>
      </c>
      <c r="E895" s="158">
        <v>51.120000000000005</v>
      </c>
      <c r="F895" s="158"/>
      <c r="G895" s="158">
        <v>51.120000000000005</v>
      </c>
    </row>
    <row r="896" spans="1:7" ht="32.999496" customHeight="1" x14ac:dyDescent="0.15">
      <c r="A896" s="158">
        <v>894.0</v>
      </c>
      <c r="B896" s="158" t="s">
        <v>8</v>
      </c>
      <c r="C896" s="158" t="s">
        <f>"郝小艳"</f>
        <v>1708</v>
      </c>
      <c r="D896" s="158" t="s">
        <f>"15010113024"</f>
        <v>1709</v>
      </c>
      <c r="E896" s="158">
        <v>54.47</v>
      </c>
      <c r="F896" s="158"/>
      <c r="G896" s="158">
        <v>54.47</v>
      </c>
    </row>
    <row r="897" spans="1:7" ht="32.999496" customHeight="1" x14ac:dyDescent="0.15">
      <c r="A897" s="158">
        <v>895.0</v>
      </c>
      <c r="B897" s="158" t="s">
        <v>8</v>
      </c>
      <c r="C897" s="158" t="s">
        <f>"王小冉"</f>
        <v>1710</v>
      </c>
      <c r="D897" s="158" t="s">
        <f>"15010113025"</f>
        <v>1711</v>
      </c>
      <c r="E897" s="158">
        <v>25.53</v>
      </c>
      <c r="F897" s="158"/>
      <c r="G897" s="158">
        <v>25.53</v>
      </c>
    </row>
    <row r="898" spans="1:7" ht="32.999496" customHeight="1" x14ac:dyDescent="0.15">
      <c r="A898" s="158">
        <v>896.0</v>
      </c>
      <c r="B898" s="158" t="s">
        <v>8</v>
      </c>
      <c r="C898" s="158" t="s">
        <f>"杨慧"</f>
        <v>491</v>
      </c>
      <c r="D898" s="158" t="s">
        <f>"15010113026"</f>
        <v>1712</v>
      </c>
      <c r="E898" s="158">
        <v>40.379999999999995</v>
      </c>
      <c r="F898" s="158"/>
      <c r="G898" s="158">
        <v>40.379999999999995</v>
      </c>
    </row>
    <row r="899" spans="1:7" ht="32.999496" customHeight="1" x14ac:dyDescent="0.15">
      <c r="A899" s="158">
        <v>897.0</v>
      </c>
      <c r="B899" s="158" t="s">
        <v>8</v>
      </c>
      <c r="C899" s="158" t="s">
        <f>"崔婷"</f>
        <v>1713</v>
      </c>
      <c r="D899" s="158" t="s">
        <f>"15010113027"</f>
        <v>1714</v>
      </c>
      <c r="E899" s="158">
        <v>73.91</v>
      </c>
      <c r="F899" s="158"/>
      <c r="G899" s="158">
        <v>73.91</v>
      </c>
    </row>
    <row r="900" spans="1:7" ht="32.999496" customHeight="1" x14ac:dyDescent="0.15">
      <c r="A900" s="158">
        <v>898.0</v>
      </c>
      <c r="B900" s="158" t="s">
        <v>8</v>
      </c>
      <c r="C900" s="158" t="s">
        <f>"王冬梅"</f>
        <v>550</v>
      </c>
      <c r="D900" s="158" t="s">
        <f>"15010113028"</f>
        <v>1715</v>
      </c>
      <c r="E900" s="158">
        <v>50.18</v>
      </c>
      <c r="F900" s="158"/>
      <c r="G900" s="158">
        <v>50.18</v>
      </c>
    </row>
    <row r="901" spans="1:7" ht="32.999496" customHeight="1" x14ac:dyDescent="0.15">
      <c r="A901" s="158">
        <v>899.0</v>
      </c>
      <c r="B901" s="158" t="s">
        <v>8</v>
      </c>
      <c r="C901" s="158" t="s">
        <f>"于博"</f>
        <v>1716</v>
      </c>
      <c r="D901" s="158" t="s">
        <f>"15010113029"</f>
        <v>1717</v>
      </c>
      <c r="E901" s="158">
        <v>53.65</v>
      </c>
      <c r="F901" s="158"/>
      <c r="G901" s="158">
        <v>53.65</v>
      </c>
    </row>
    <row r="902" spans="1:7" ht="32.999496" customHeight="1" x14ac:dyDescent="0.15">
      <c r="A902" s="158">
        <v>900.0</v>
      </c>
      <c r="B902" s="158" t="s">
        <v>8</v>
      </c>
      <c r="C902" s="158" t="s">
        <f>"党翊瑄"</f>
        <v>1718</v>
      </c>
      <c r="D902" s="158" t="s">
        <f>"15010113030"</f>
        <v>1719</v>
      </c>
      <c r="E902" s="158">
        <v>42.25</v>
      </c>
      <c r="F902" s="158"/>
      <c r="G902" s="158">
        <v>42.25</v>
      </c>
    </row>
    <row r="903" spans="1:7" ht="32.999496" customHeight="1" x14ac:dyDescent="0.15">
      <c r="A903" s="158">
        <v>901.0</v>
      </c>
      <c r="B903" s="158" t="s">
        <v>8</v>
      </c>
      <c r="C903" s="158" t="s">
        <f>"武轩赫"</f>
        <v>1720</v>
      </c>
      <c r="D903" s="158" t="s">
        <f>"15010113101"</f>
        <v>1721</v>
      </c>
      <c r="E903" s="158" t="s">
        <v>15</v>
      </c>
      <c r="F903" s="158"/>
      <c r="G903" s="158" t="s">
        <v>15</v>
      </c>
    </row>
    <row r="904" spans="1:7" ht="32.999496" customHeight="1" x14ac:dyDescent="0.15">
      <c r="A904" s="158">
        <v>902.0</v>
      </c>
      <c r="B904" s="158" t="s">
        <v>8</v>
      </c>
      <c r="C904" s="158" t="s">
        <f>"高艳"</f>
        <v>1514</v>
      </c>
      <c r="D904" s="158" t="s">
        <f>"15010113102"</f>
        <v>1722</v>
      </c>
      <c r="E904" s="158" t="s">
        <v>15</v>
      </c>
      <c r="F904" s="158"/>
      <c r="G904" s="158" t="s">
        <v>15</v>
      </c>
    </row>
    <row r="905" spans="1:7" ht="32.999496" customHeight="1" x14ac:dyDescent="0.15">
      <c r="A905" s="158">
        <v>903.0</v>
      </c>
      <c r="B905" s="158" t="s">
        <v>8</v>
      </c>
      <c r="C905" s="158" t="s">
        <f>"刘炽历"</f>
        <v>1723</v>
      </c>
      <c r="D905" s="158" t="s">
        <f>"15010113103"</f>
        <v>1724</v>
      </c>
      <c r="E905" s="158" t="s">
        <v>15</v>
      </c>
      <c r="F905" s="158"/>
      <c r="G905" s="158" t="s">
        <v>15</v>
      </c>
    </row>
    <row r="906" spans="1:7" ht="32.999496" customHeight="1" x14ac:dyDescent="0.15">
      <c r="A906" s="158">
        <v>904.0</v>
      </c>
      <c r="B906" s="158" t="s">
        <v>8</v>
      </c>
      <c r="C906" s="158" t="s">
        <f>"倪璐璐"</f>
        <v>1725</v>
      </c>
      <c r="D906" s="158" t="s">
        <f>"15010113104"</f>
        <v>1726</v>
      </c>
      <c r="E906" s="158">
        <v>51.730000000000004</v>
      </c>
      <c r="F906" s="158"/>
      <c r="G906" s="158">
        <v>51.730000000000004</v>
      </c>
    </row>
    <row r="907" spans="1:7" ht="32.999496" customHeight="1" x14ac:dyDescent="0.15">
      <c r="A907" s="158">
        <v>905.0</v>
      </c>
      <c r="B907" s="158" t="s">
        <v>8</v>
      </c>
      <c r="C907" s="158" t="s">
        <f>"王晓庆"</f>
        <v>1727</v>
      </c>
      <c r="D907" s="158" t="s">
        <f>"15010113105"</f>
        <v>1728</v>
      </c>
      <c r="E907" s="158" t="s">
        <v>15</v>
      </c>
      <c r="F907" s="158"/>
      <c r="G907" s="158" t="s">
        <v>15</v>
      </c>
    </row>
    <row r="908" spans="1:7" ht="32.999496" customHeight="1" x14ac:dyDescent="0.15">
      <c r="A908" s="158">
        <v>906.0</v>
      </c>
      <c r="B908" s="158" t="s">
        <v>8</v>
      </c>
      <c r="C908" s="158" t="s">
        <f>"越慧芳"</f>
        <v>1729</v>
      </c>
      <c r="D908" s="158" t="s">
        <f>"15010113106"</f>
        <v>1730</v>
      </c>
      <c r="E908" s="158">
        <v>47.69</v>
      </c>
      <c r="F908" s="158"/>
      <c r="G908" s="158">
        <v>47.69</v>
      </c>
    </row>
    <row r="909" spans="1:7" ht="32.999496" customHeight="1" x14ac:dyDescent="0.15">
      <c r="A909" s="158">
        <v>907.0</v>
      </c>
      <c r="B909" s="158" t="s">
        <v>8</v>
      </c>
      <c r="C909" s="158" t="s">
        <f>"张兆雅"</f>
        <v>1731</v>
      </c>
      <c r="D909" s="158" t="s">
        <f>"15010113107"</f>
        <v>1732</v>
      </c>
      <c r="E909" s="158">
        <v>56.59</v>
      </c>
      <c r="F909" s="158"/>
      <c r="G909" s="158">
        <v>56.59</v>
      </c>
    </row>
    <row r="910" spans="1:7" ht="32.999496" customHeight="1" x14ac:dyDescent="0.15">
      <c r="A910" s="158">
        <v>908.0</v>
      </c>
      <c r="B910" s="158" t="s">
        <v>8</v>
      </c>
      <c r="C910" s="158" t="s">
        <f>"王蒙"</f>
        <v>1733</v>
      </c>
      <c r="D910" s="158" t="s">
        <f>"15010113108"</f>
        <v>1734</v>
      </c>
      <c r="E910" s="158">
        <v>60.06</v>
      </c>
      <c r="F910" s="158">
        <v>2.5</v>
      </c>
      <c r="G910" s="158">
        <v>62.56</v>
      </c>
    </row>
    <row r="911" spans="1:7" ht="32.999496" customHeight="1" x14ac:dyDescent="0.15">
      <c r="A911" s="158">
        <v>909.0</v>
      </c>
      <c r="B911" s="158" t="s">
        <v>8</v>
      </c>
      <c r="C911" s="158" t="s">
        <f>"张磊"</f>
        <v>621</v>
      </c>
      <c r="D911" s="158" t="s">
        <f>"15010113109"</f>
        <v>1735</v>
      </c>
      <c r="E911" s="158">
        <v>60.21</v>
      </c>
      <c r="F911" s="158"/>
      <c r="G911" s="158">
        <v>60.21</v>
      </c>
    </row>
    <row r="912" spans="1:7" ht="32.999496" customHeight="1" x14ac:dyDescent="0.15">
      <c r="A912" s="158">
        <v>910.0</v>
      </c>
      <c r="B912" s="158" t="s">
        <v>8</v>
      </c>
      <c r="C912" s="158" t="s">
        <f>"石玮丹"</f>
        <v>1736</v>
      </c>
      <c r="D912" s="158" t="s">
        <f>"15010113110"</f>
        <v>1737</v>
      </c>
      <c r="E912" s="158">
        <v>58.23</v>
      </c>
      <c r="F912" s="158"/>
      <c r="G912" s="158">
        <v>58.23</v>
      </c>
    </row>
    <row r="913" spans="1:7" ht="32.999496" customHeight="1" x14ac:dyDescent="0.15">
      <c r="A913" s="158">
        <v>911.0</v>
      </c>
      <c r="B913" s="158" t="s">
        <v>8</v>
      </c>
      <c r="C913" s="158" t="s">
        <f>"彦凡雪"</f>
        <v>1738</v>
      </c>
      <c r="D913" s="158" t="s">
        <f>"15010113111"</f>
        <v>1739</v>
      </c>
      <c r="E913" s="158" t="s">
        <v>15</v>
      </c>
      <c r="F913" s="158"/>
      <c r="G913" s="158" t="s">
        <v>15</v>
      </c>
    </row>
    <row r="914" spans="1:7" ht="32.999496" customHeight="1" x14ac:dyDescent="0.15">
      <c r="A914" s="158">
        <v>912.0</v>
      </c>
      <c r="B914" s="158" t="s">
        <v>8</v>
      </c>
      <c r="C914" s="158" t="s">
        <f>"柴雨娇"</f>
        <v>1740</v>
      </c>
      <c r="D914" s="158" t="s">
        <f>"15010113112"</f>
        <v>1741</v>
      </c>
      <c r="E914" s="158">
        <v>66.09</v>
      </c>
      <c r="F914" s="158"/>
      <c r="G914" s="158">
        <v>66.09</v>
      </c>
    </row>
    <row r="915" spans="1:7" ht="32.999496" customHeight="1" x14ac:dyDescent="0.15">
      <c r="A915" s="158">
        <v>913.0</v>
      </c>
      <c r="B915" s="158" t="s">
        <v>8</v>
      </c>
      <c r="C915" s="158" t="s">
        <f>"王彩云"</f>
        <v>1742</v>
      </c>
      <c r="D915" s="158" t="s">
        <f>"15010113113"</f>
        <v>1743</v>
      </c>
      <c r="E915" s="158" t="s">
        <v>15</v>
      </c>
      <c r="F915" s="158"/>
      <c r="G915" s="158" t="s">
        <v>15</v>
      </c>
    </row>
    <row r="916" spans="1:7" ht="32.999496" customHeight="1" x14ac:dyDescent="0.15">
      <c r="A916" s="158">
        <v>914.0</v>
      </c>
      <c r="B916" s="158" t="s">
        <v>8</v>
      </c>
      <c r="C916" s="158" t="s">
        <f>"尚雪依"</f>
        <v>1744</v>
      </c>
      <c r="D916" s="158" t="s">
        <f>"15010113114"</f>
        <v>1745</v>
      </c>
      <c r="E916" s="158">
        <v>63.83</v>
      </c>
      <c r="F916" s="158"/>
      <c r="G916" s="158">
        <v>63.83</v>
      </c>
    </row>
    <row r="917" spans="1:7" ht="32.999496" customHeight="1" x14ac:dyDescent="0.15">
      <c r="A917" s="158">
        <v>915.0</v>
      </c>
      <c r="B917" s="158" t="s">
        <v>8</v>
      </c>
      <c r="C917" s="158" t="s">
        <f>"徐浩"</f>
        <v>1746</v>
      </c>
      <c r="D917" s="158" t="s">
        <f>"15010113115"</f>
        <v>1747</v>
      </c>
      <c r="E917" s="158" t="s">
        <v>15</v>
      </c>
      <c r="F917" s="158">
        <v>2.5</v>
      </c>
      <c r="G917" s="158" t="s">
        <v>15</v>
      </c>
    </row>
    <row r="918" spans="1:7" ht="32.999496" customHeight="1" x14ac:dyDescent="0.15">
      <c r="A918" s="158">
        <v>916.0</v>
      </c>
      <c r="B918" s="158" t="s">
        <v>8</v>
      </c>
      <c r="C918" s="158" t="s">
        <f>"武丽"</f>
        <v>1748</v>
      </c>
      <c r="D918" s="158" t="s">
        <f>"15010113116"</f>
        <v>1749</v>
      </c>
      <c r="E918" s="158" t="s">
        <v>15</v>
      </c>
      <c r="F918" s="158"/>
      <c r="G918" s="158" t="s">
        <v>15</v>
      </c>
    </row>
    <row r="919" spans="1:7" ht="32.999496" customHeight="1" x14ac:dyDescent="0.15">
      <c r="A919" s="158">
        <v>917.0</v>
      </c>
      <c r="B919" s="158" t="s">
        <v>8</v>
      </c>
      <c r="C919" s="158" t="s">
        <f>"李彦瑾"</f>
        <v>1750</v>
      </c>
      <c r="D919" s="158" t="s">
        <f>"15010113117"</f>
        <v>1751</v>
      </c>
      <c r="E919" s="158">
        <v>58.019999999999996</v>
      </c>
      <c r="F919" s="158">
        <v>2.5</v>
      </c>
      <c r="G919" s="158">
        <v>60.519999999999996</v>
      </c>
    </row>
    <row r="920" spans="1:7" ht="32.999496" customHeight="1" x14ac:dyDescent="0.15">
      <c r="A920" s="158">
        <v>918.0</v>
      </c>
      <c r="B920" s="158" t="s">
        <v>8</v>
      </c>
      <c r="C920" s="158" t="s">
        <f>"王志岗"</f>
        <v>1752</v>
      </c>
      <c r="D920" s="158" t="s">
        <f>"15010113118"</f>
        <v>1753</v>
      </c>
      <c r="E920" s="158">
        <v>63.18</v>
      </c>
      <c r="F920" s="158"/>
      <c r="G920" s="158">
        <v>63.18</v>
      </c>
    </row>
    <row r="921" spans="1:7" ht="32.999496" customHeight="1" x14ac:dyDescent="0.15">
      <c r="A921" s="158">
        <v>919.0</v>
      </c>
      <c r="B921" s="158" t="s">
        <v>8</v>
      </c>
      <c r="C921" s="158" t="s">
        <f>"贺艳芳"</f>
        <v>1754</v>
      </c>
      <c r="D921" s="158" t="s">
        <f>"15010113119"</f>
        <v>1755</v>
      </c>
      <c r="E921" s="158">
        <v>58.93</v>
      </c>
      <c r="F921" s="158"/>
      <c r="G921" s="158">
        <v>58.93</v>
      </c>
    </row>
    <row r="922" spans="1:7" ht="32.999496" customHeight="1" x14ac:dyDescent="0.15">
      <c r="A922" s="158">
        <v>920.0</v>
      </c>
      <c r="B922" s="158" t="s">
        <v>8</v>
      </c>
      <c r="C922" s="158" t="s">
        <f>"武兵"</f>
        <v>1756</v>
      </c>
      <c r="D922" s="158" t="s">
        <f>"15010113120"</f>
        <v>1757</v>
      </c>
      <c r="E922" s="158">
        <v>55.89</v>
      </c>
      <c r="F922" s="158"/>
      <c r="G922" s="158">
        <v>55.89</v>
      </c>
    </row>
    <row r="923" spans="1:7" ht="32.999496" customHeight="1" x14ac:dyDescent="0.15">
      <c r="A923" s="158">
        <v>921.0</v>
      </c>
      <c r="B923" s="158" t="s">
        <v>8</v>
      </c>
      <c r="C923" s="158" t="s">
        <f>"王小英"</f>
        <v>1758</v>
      </c>
      <c r="D923" s="158" t="s">
        <f>"15010113121"</f>
        <v>1759</v>
      </c>
      <c r="E923" s="158">
        <v>42.81</v>
      </c>
      <c r="F923" s="158"/>
      <c r="G923" s="158">
        <v>42.81</v>
      </c>
    </row>
    <row r="924" spans="1:7" ht="32.999496" customHeight="1" x14ac:dyDescent="0.15">
      <c r="A924" s="158">
        <v>922.0</v>
      </c>
      <c r="B924" s="158" t="s">
        <v>8</v>
      </c>
      <c r="C924" s="158" t="s">
        <f>"白慧"</f>
        <v>927</v>
      </c>
      <c r="D924" s="158" t="s">
        <f>"15010113122"</f>
        <v>1760</v>
      </c>
      <c r="E924" s="158" t="s">
        <v>15</v>
      </c>
      <c r="F924" s="158"/>
      <c r="G924" s="158" t="s">
        <v>15</v>
      </c>
    </row>
    <row r="925" spans="1:7" ht="32.999496" customHeight="1" x14ac:dyDescent="0.15">
      <c r="A925" s="158">
        <v>923.0</v>
      </c>
      <c r="B925" s="158" t="s">
        <v>8</v>
      </c>
      <c r="C925" s="158" t="s">
        <f>"王强"</f>
        <v>1761</v>
      </c>
      <c r="D925" s="158" t="s">
        <f>"15010113123"</f>
        <v>1762</v>
      </c>
      <c r="E925" s="158" t="s">
        <v>15</v>
      </c>
      <c r="F925" s="158"/>
      <c r="G925" s="158" t="s">
        <v>15</v>
      </c>
    </row>
    <row r="926" spans="1:7" ht="32.999496" customHeight="1" x14ac:dyDescent="0.15">
      <c r="A926" s="158">
        <v>924.0</v>
      </c>
      <c r="B926" s="158" t="s">
        <v>8</v>
      </c>
      <c r="C926" s="158" t="s">
        <f>"杨晨旭"</f>
        <v>1763</v>
      </c>
      <c r="D926" s="158" t="s">
        <f>"15010113124"</f>
        <v>1764</v>
      </c>
      <c r="E926" s="158" t="s">
        <v>15</v>
      </c>
      <c r="F926" s="158"/>
      <c r="G926" s="158" t="s">
        <v>15</v>
      </c>
    </row>
    <row r="927" spans="1:7" ht="32.999496" customHeight="1" x14ac:dyDescent="0.15">
      <c r="A927" s="158">
        <v>925.0</v>
      </c>
      <c r="B927" s="158" t="s">
        <v>8</v>
      </c>
      <c r="C927" s="158" t="s">
        <f>"李翠芳"</f>
        <v>1765</v>
      </c>
      <c r="D927" s="158" t="s">
        <f>"15010113125"</f>
        <v>1766</v>
      </c>
      <c r="E927" s="158">
        <v>63.42</v>
      </c>
      <c r="F927" s="158"/>
      <c r="G927" s="158">
        <v>63.42</v>
      </c>
    </row>
    <row r="928" spans="1:7" ht="32.999496" customHeight="1" x14ac:dyDescent="0.15">
      <c r="A928" s="158">
        <v>926.0</v>
      </c>
      <c r="B928" s="158" t="s">
        <v>8</v>
      </c>
      <c r="C928" s="158" t="s">
        <f>"张丹"</f>
        <v>1767</v>
      </c>
      <c r="D928" s="158" t="s">
        <f>"15010113126"</f>
        <v>1768</v>
      </c>
      <c r="E928" s="158">
        <v>59.36</v>
      </c>
      <c r="F928" s="158"/>
      <c r="G928" s="158">
        <v>59.36</v>
      </c>
    </row>
    <row r="929" spans="1:7" ht="32.999496" customHeight="1" x14ac:dyDescent="0.15">
      <c r="A929" s="158">
        <v>927.0</v>
      </c>
      <c r="B929" s="158" t="s">
        <v>8</v>
      </c>
      <c r="C929" s="158" t="s">
        <f>"倪童"</f>
        <v>1769</v>
      </c>
      <c r="D929" s="158" t="s">
        <f>"15010113127"</f>
        <v>1770</v>
      </c>
      <c r="E929" s="158">
        <v>51.56</v>
      </c>
      <c r="F929" s="158"/>
      <c r="G929" s="158">
        <v>51.56</v>
      </c>
    </row>
    <row r="930" spans="1:7" ht="32.999496" customHeight="1" x14ac:dyDescent="0.15">
      <c r="A930" s="158">
        <v>928.0</v>
      </c>
      <c r="B930" s="158" t="s">
        <v>8</v>
      </c>
      <c r="C930" s="158" t="s">
        <f>"乔敏"</f>
        <v>673</v>
      </c>
      <c r="D930" s="158" t="s">
        <f>"15010113128"</f>
        <v>1771</v>
      </c>
      <c r="E930" s="158" t="s">
        <v>15</v>
      </c>
      <c r="F930" s="158"/>
      <c r="G930" s="158" t="s">
        <v>15</v>
      </c>
    </row>
    <row r="931" spans="1:7" ht="32.999496" customHeight="1" x14ac:dyDescent="0.15">
      <c r="A931" s="158">
        <v>929.0</v>
      </c>
      <c r="B931" s="158" t="s">
        <v>8</v>
      </c>
      <c r="C931" s="158" t="s">
        <f>"高樊"</f>
        <v>1772</v>
      </c>
      <c r="D931" s="158" t="s">
        <f>"15010113129"</f>
        <v>1773</v>
      </c>
      <c r="E931" s="158">
        <v>51.55</v>
      </c>
      <c r="F931" s="158"/>
      <c r="G931" s="158">
        <v>51.55</v>
      </c>
    </row>
    <row r="932" spans="1:7" ht="32.999496" customHeight="1" x14ac:dyDescent="0.15">
      <c r="A932" s="158">
        <v>930.0</v>
      </c>
      <c r="B932" s="158" t="s">
        <v>8</v>
      </c>
      <c r="C932" s="158" t="s">
        <f>"高春燕"</f>
        <v>1774</v>
      </c>
      <c r="D932" s="158" t="s">
        <f>"15010113130"</f>
        <v>1775</v>
      </c>
      <c r="E932" s="158">
        <v>49.71</v>
      </c>
      <c r="F932" s="158"/>
      <c r="G932" s="158">
        <v>49.71</v>
      </c>
    </row>
    <row r="933" spans="1:7" ht="32.999496" customHeight="1" x14ac:dyDescent="0.15">
      <c r="A933" s="158">
        <v>931.0</v>
      </c>
      <c r="B933" s="158" t="s">
        <v>8</v>
      </c>
      <c r="C933" s="158" t="s">
        <f>"蒋丽霞"</f>
        <v>1776</v>
      </c>
      <c r="D933" s="158" t="s">
        <f>"15010113201"</f>
        <v>1777</v>
      </c>
      <c r="E933" s="158">
        <v>54.54</v>
      </c>
      <c r="F933" s="158"/>
      <c r="G933" s="158">
        <v>54.54</v>
      </c>
    </row>
    <row r="934" spans="1:7" ht="32.999496" customHeight="1" x14ac:dyDescent="0.15">
      <c r="A934" s="158">
        <v>932.0</v>
      </c>
      <c r="B934" s="158" t="s">
        <v>8</v>
      </c>
      <c r="C934" s="158" t="s">
        <f>"高娜"</f>
        <v>46</v>
      </c>
      <c r="D934" s="158" t="s">
        <f>"15010113202"</f>
        <v>1778</v>
      </c>
      <c r="E934" s="158">
        <v>67.09</v>
      </c>
      <c r="F934" s="158"/>
      <c r="G934" s="158">
        <v>67.09</v>
      </c>
    </row>
    <row r="935" spans="1:7" ht="32.999496" customHeight="1" x14ac:dyDescent="0.15">
      <c r="A935" s="158">
        <v>933.0</v>
      </c>
      <c r="B935" s="158" t="s">
        <v>8</v>
      </c>
      <c r="C935" s="158" t="s">
        <f>"张豆豆"</f>
        <v>1779</v>
      </c>
      <c r="D935" s="158" t="s">
        <f>"15010113203"</f>
        <v>1780</v>
      </c>
      <c r="E935" s="158">
        <v>57.6</v>
      </c>
      <c r="F935" s="158"/>
      <c r="G935" s="158">
        <v>57.6</v>
      </c>
    </row>
    <row r="936" spans="1:7" ht="32.999496" customHeight="1" x14ac:dyDescent="0.15">
      <c r="A936" s="158">
        <v>934.0</v>
      </c>
      <c r="B936" s="158" t="s">
        <v>8</v>
      </c>
      <c r="C936" s="158" t="s">
        <f>"杨旭"</f>
        <v>1189</v>
      </c>
      <c r="D936" s="158" t="s">
        <f>"15010113204"</f>
        <v>1781</v>
      </c>
      <c r="E936" s="158" t="s">
        <v>15</v>
      </c>
      <c r="F936" s="158">
        <v>2.5</v>
      </c>
      <c r="G936" s="158" t="s">
        <v>15</v>
      </c>
    </row>
    <row r="937" spans="1:7" ht="32.999496" customHeight="1" x14ac:dyDescent="0.15">
      <c r="A937" s="158">
        <v>935.0</v>
      </c>
      <c r="B937" s="158" t="s">
        <v>8</v>
      </c>
      <c r="C937" s="158" t="s">
        <f>"杨慧军"</f>
        <v>1782</v>
      </c>
      <c r="D937" s="158" t="s">
        <f>"15010113205"</f>
        <v>1783</v>
      </c>
      <c r="E937" s="158">
        <v>46.1</v>
      </c>
      <c r="F937" s="158"/>
      <c r="G937" s="158">
        <v>46.1</v>
      </c>
    </row>
    <row r="938" spans="1:7" ht="32.999496" customHeight="1" x14ac:dyDescent="0.15">
      <c r="A938" s="158">
        <v>936.0</v>
      </c>
      <c r="B938" s="158" t="s">
        <v>8</v>
      </c>
      <c r="C938" s="158" t="s">
        <f>"张慧"</f>
        <v>634</v>
      </c>
      <c r="D938" s="158" t="s">
        <f>"15010113206"</f>
        <v>1784</v>
      </c>
      <c r="E938" s="158">
        <v>53.84</v>
      </c>
      <c r="F938" s="158"/>
      <c r="G938" s="158">
        <v>53.84</v>
      </c>
    </row>
    <row r="939" spans="1:7" ht="32.999496" customHeight="1" x14ac:dyDescent="0.15">
      <c r="A939" s="158">
        <v>937.0</v>
      </c>
      <c r="B939" s="158" t="s">
        <v>8</v>
      </c>
      <c r="C939" s="158" t="s">
        <f>"高磊"</f>
        <v>1177</v>
      </c>
      <c r="D939" s="158" t="s">
        <f>"15010113207"</f>
        <v>1785</v>
      </c>
      <c r="E939" s="158" t="s">
        <v>15</v>
      </c>
      <c r="F939" s="158"/>
      <c r="G939" s="158" t="s">
        <v>15</v>
      </c>
    </row>
    <row r="940" spans="1:7" ht="32.999496" customHeight="1" x14ac:dyDescent="0.15">
      <c r="A940" s="158">
        <v>938.0</v>
      </c>
      <c r="B940" s="158" t="s">
        <v>8</v>
      </c>
      <c r="C940" s="158" t="s">
        <f>"王化云"</f>
        <v>1786</v>
      </c>
      <c r="D940" s="158" t="s">
        <f>"15010113208"</f>
        <v>1787</v>
      </c>
      <c r="E940" s="158">
        <v>55.769999999999996</v>
      </c>
      <c r="F940" s="158"/>
      <c r="G940" s="158">
        <v>55.769999999999996</v>
      </c>
    </row>
    <row r="941" spans="1:7" ht="32.999496" customHeight="1" x14ac:dyDescent="0.15">
      <c r="A941" s="158">
        <v>939.0</v>
      </c>
      <c r="B941" s="158" t="s">
        <v>8</v>
      </c>
      <c r="C941" s="158" t="s">
        <f>"呼换"</f>
        <v>1788</v>
      </c>
      <c r="D941" s="158" t="s">
        <f>"15010113209"</f>
        <v>1789</v>
      </c>
      <c r="E941" s="158">
        <v>49.46</v>
      </c>
      <c r="F941" s="158"/>
      <c r="G941" s="158">
        <v>49.46</v>
      </c>
    </row>
    <row r="942" spans="1:7" ht="32.999496" customHeight="1" x14ac:dyDescent="0.15">
      <c r="A942" s="158">
        <v>940.0</v>
      </c>
      <c r="B942" s="158" t="s">
        <v>8</v>
      </c>
      <c r="C942" s="158" t="s">
        <f>"阿鲁沙"</f>
        <v>1790</v>
      </c>
      <c r="D942" s="158" t="s">
        <f>"15010113210"</f>
        <v>1791</v>
      </c>
      <c r="E942" s="158">
        <v>42.45</v>
      </c>
      <c r="F942" s="158">
        <v>2.5</v>
      </c>
      <c r="G942" s="158">
        <v>44.95</v>
      </c>
    </row>
    <row r="943" spans="1:7" ht="32.999496" customHeight="1" x14ac:dyDescent="0.15">
      <c r="A943" s="158">
        <v>941.0</v>
      </c>
      <c r="B943" s="158" t="s">
        <v>8</v>
      </c>
      <c r="C943" s="158" t="s">
        <f>"白妍红"</f>
        <v>1792</v>
      </c>
      <c r="D943" s="158" t="s">
        <f>"15010113211"</f>
        <v>1793</v>
      </c>
      <c r="E943" s="158">
        <v>58.12</v>
      </c>
      <c r="F943" s="158"/>
      <c r="G943" s="158">
        <v>58.12</v>
      </c>
    </row>
    <row r="944" spans="1:7" ht="32.999496" customHeight="1" x14ac:dyDescent="0.15">
      <c r="A944" s="158">
        <v>942.0</v>
      </c>
      <c r="B944" s="158" t="s">
        <v>8</v>
      </c>
      <c r="C944" s="158" t="s">
        <f>"折伟"</f>
        <v>1794</v>
      </c>
      <c r="D944" s="158" t="s">
        <f>"15010113212"</f>
        <v>1795</v>
      </c>
      <c r="E944" s="158">
        <v>57.76</v>
      </c>
      <c r="F944" s="158"/>
      <c r="G944" s="158">
        <v>57.76</v>
      </c>
    </row>
    <row r="945" spans="1:7" ht="32.999496" customHeight="1" x14ac:dyDescent="0.15">
      <c r="A945" s="158">
        <v>943.0</v>
      </c>
      <c r="B945" s="158" t="s">
        <v>8</v>
      </c>
      <c r="C945" s="158" t="s">
        <f>"王静"</f>
        <v>1796</v>
      </c>
      <c r="D945" s="158" t="s">
        <f>"15010113213"</f>
        <v>1797</v>
      </c>
      <c r="E945" s="158">
        <v>55.5</v>
      </c>
      <c r="F945" s="158"/>
      <c r="G945" s="158">
        <v>55.5</v>
      </c>
    </row>
    <row r="946" spans="1:7" ht="32.999496" customHeight="1" x14ac:dyDescent="0.15">
      <c r="A946" s="158">
        <v>944.0</v>
      </c>
      <c r="B946" s="158" t="s">
        <v>8</v>
      </c>
      <c r="C946" s="158" t="s">
        <f>"韩兆雅 "</f>
        <v>1798</v>
      </c>
      <c r="D946" s="158" t="s">
        <f>"15010113214"</f>
        <v>1799</v>
      </c>
      <c r="E946" s="158">
        <v>40.120000000000005</v>
      </c>
      <c r="F946" s="158"/>
      <c r="G946" s="158">
        <v>40.120000000000005</v>
      </c>
    </row>
    <row r="947" spans="1:7" ht="32.999496" customHeight="1" x14ac:dyDescent="0.15">
      <c r="A947" s="158">
        <v>945.0</v>
      </c>
      <c r="B947" s="158" t="s">
        <v>8</v>
      </c>
      <c r="C947" s="158" t="s">
        <f>"屈越龙"</f>
        <v>1800</v>
      </c>
      <c r="D947" s="158" t="s">
        <f>"15010113215"</f>
        <v>1801</v>
      </c>
      <c r="E947" s="158">
        <v>57.71</v>
      </c>
      <c r="F947" s="158"/>
      <c r="G947" s="158">
        <v>57.71</v>
      </c>
    </row>
    <row r="948" spans="1:7" ht="32.999496" customHeight="1" x14ac:dyDescent="0.15">
      <c r="A948" s="158">
        <v>946.0</v>
      </c>
      <c r="B948" s="158" t="s">
        <v>8</v>
      </c>
      <c r="C948" s="158" t="s">
        <f>"刘娜"</f>
        <v>1480</v>
      </c>
      <c r="D948" s="158" t="s">
        <f>"15010113216"</f>
        <v>1802</v>
      </c>
      <c r="E948" s="158">
        <v>57.14</v>
      </c>
      <c r="F948" s="158"/>
      <c r="G948" s="158">
        <v>57.14</v>
      </c>
    </row>
    <row r="949" spans="1:7" ht="32.999496" customHeight="1" x14ac:dyDescent="0.15">
      <c r="A949" s="158">
        <v>947.0</v>
      </c>
      <c r="B949" s="158" t="s">
        <v>8</v>
      </c>
      <c r="C949" s="158" t="s">
        <f>"李强"</f>
        <v>1803</v>
      </c>
      <c r="D949" s="158" t="s">
        <f>"15010113217"</f>
        <v>1804</v>
      </c>
      <c r="E949" s="158" t="s">
        <v>15</v>
      </c>
      <c r="F949" s="158"/>
      <c r="G949" s="158" t="s">
        <v>15</v>
      </c>
    </row>
    <row r="950" spans="1:7" ht="32.999496" customHeight="1" x14ac:dyDescent="0.15">
      <c r="A950" s="158">
        <v>948.0</v>
      </c>
      <c r="B950" s="158" t="s">
        <v>8</v>
      </c>
      <c r="C950" s="158" t="s">
        <f>"张东"</f>
        <v>1805</v>
      </c>
      <c r="D950" s="158" t="s">
        <f>"15010113218"</f>
        <v>1806</v>
      </c>
      <c r="E950" s="158">
        <v>31.61</v>
      </c>
      <c r="F950" s="158"/>
      <c r="G950" s="158">
        <v>31.61</v>
      </c>
    </row>
    <row r="951" spans="1:7" ht="32.999496" customHeight="1" x14ac:dyDescent="0.15">
      <c r="A951" s="158">
        <v>949.0</v>
      </c>
      <c r="B951" s="158" t="s">
        <v>8</v>
      </c>
      <c r="C951" s="158" t="s">
        <f>"臧梓丹"</f>
        <v>1807</v>
      </c>
      <c r="D951" s="158" t="s">
        <f>"15010113219"</f>
        <v>1808</v>
      </c>
      <c r="E951" s="158">
        <v>50.41</v>
      </c>
      <c r="F951" s="158"/>
      <c r="G951" s="158">
        <v>50.41</v>
      </c>
    </row>
    <row r="952" spans="1:7" ht="32.999496" customHeight="1" x14ac:dyDescent="0.15">
      <c r="A952" s="158">
        <v>950.0</v>
      </c>
      <c r="B952" s="158" t="s">
        <v>8</v>
      </c>
      <c r="C952" s="158" t="s">
        <f>"樊娜"</f>
        <v>1809</v>
      </c>
      <c r="D952" s="158" t="s">
        <f>"15010113220"</f>
        <v>1810</v>
      </c>
      <c r="E952" s="158">
        <v>39.730000000000004</v>
      </c>
      <c r="F952" s="158"/>
      <c r="G952" s="158">
        <v>39.730000000000004</v>
      </c>
    </row>
    <row r="953" spans="1:7" ht="32.999496" customHeight="1" x14ac:dyDescent="0.15">
      <c r="A953" s="158">
        <v>951.0</v>
      </c>
      <c r="B953" s="158" t="s">
        <v>8</v>
      </c>
      <c r="C953" s="158" t="s">
        <f>"乔娜"</f>
        <v>1811</v>
      </c>
      <c r="D953" s="158" t="s">
        <f>"15010113221"</f>
        <v>1812</v>
      </c>
      <c r="E953" s="158">
        <v>60.78</v>
      </c>
      <c r="F953" s="158"/>
      <c r="G953" s="158">
        <v>60.78</v>
      </c>
    </row>
    <row r="954" spans="1:7" ht="32.999496" customHeight="1" x14ac:dyDescent="0.15">
      <c r="A954" s="158">
        <v>952.0</v>
      </c>
      <c r="B954" s="158" t="s">
        <v>8</v>
      </c>
      <c r="C954" s="158" t="s">
        <f>"白丽"</f>
        <v>1813</v>
      </c>
      <c r="D954" s="158" t="s">
        <f>"15010113222"</f>
        <v>1814</v>
      </c>
      <c r="E954" s="158">
        <v>64.75</v>
      </c>
      <c r="F954" s="158"/>
      <c r="G954" s="158">
        <v>64.75</v>
      </c>
    </row>
    <row r="955" spans="1:7" ht="32.999496" customHeight="1" x14ac:dyDescent="0.15">
      <c r="A955" s="158">
        <v>953.0</v>
      </c>
      <c r="B955" s="158" t="s">
        <v>8</v>
      </c>
      <c r="C955" s="158" t="s">
        <f>"李淑碧"</f>
        <v>1815</v>
      </c>
      <c r="D955" s="158" t="s">
        <f>"15010113223"</f>
        <v>1816</v>
      </c>
      <c r="E955" s="158" t="s">
        <v>15</v>
      </c>
      <c r="F955" s="158"/>
      <c r="G955" s="158" t="s">
        <v>15</v>
      </c>
    </row>
    <row r="956" spans="1:7" ht="32.999496" customHeight="1" x14ac:dyDescent="0.15">
      <c r="A956" s="158">
        <v>954.0</v>
      </c>
      <c r="B956" s="158" t="s">
        <v>8</v>
      </c>
      <c r="C956" s="158" t="s">
        <f>"尚星征"</f>
        <v>1817</v>
      </c>
      <c r="D956" s="158" t="s">
        <f>"15010113224"</f>
        <v>1818</v>
      </c>
      <c r="E956" s="158" t="s">
        <v>15</v>
      </c>
      <c r="F956" s="158"/>
      <c r="G956" s="158" t="s">
        <v>15</v>
      </c>
    </row>
    <row r="957" spans="1:7" ht="32.999496" customHeight="1" x14ac:dyDescent="0.15">
      <c r="A957" s="158">
        <v>955.0</v>
      </c>
      <c r="B957" s="158" t="s">
        <v>8</v>
      </c>
      <c r="C957" s="158" t="s">
        <f>"韩多多"</f>
        <v>1819</v>
      </c>
      <c r="D957" s="158" t="s">
        <f>"15010113225"</f>
        <v>1820</v>
      </c>
      <c r="E957" s="158">
        <v>67.52000000000001</v>
      </c>
      <c r="F957" s="158"/>
      <c r="G957" s="158">
        <v>67.52000000000001</v>
      </c>
    </row>
    <row r="958" spans="1:7" ht="32.999496" customHeight="1" x14ac:dyDescent="0.15">
      <c r="A958" s="158">
        <v>956.0</v>
      </c>
      <c r="B958" s="158" t="s">
        <v>8</v>
      </c>
      <c r="C958" s="158" t="s">
        <f>"李慧"</f>
        <v>848</v>
      </c>
      <c r="D958" s="158" t="s">
        <f>"15010113226"</f>
        <v>1821</v>
      </c>
      <c r="E958" s="158" t="s">
        <v>15</v>
      </c>
      <c r="F958" s="158"/>
      <c r="G958" s="158" t="s">
        <v>15</v>
      </c>
    </row>
    <row r="959" spans="1:7" ht="32.999496" customHeight="1" x14ac:dyDescent="0.15">
      <c r="A959" s="158">
        <v>957.0</v>
      </c>
      <c r="B959" s="158" t="s">
        <v>8</v>
      </c>
      <c r="C959" s="158" t="s">
        <f>"石佳倩"</f>
        <v>1822</v>
      </c>
      <c r="D959" s="158" t="s">
        <f>"15010113227"</f>
        <v>1823</v>
      </c>
      <c r="E959" s="158" t="s">
        <v>15</v>
      </c>
      <c r="F959" s="158"/>
      <c r="G959" s="158" t="s">
        <v>15</v>
      </c>
    </row>
    <row r="960" spans="1:7" ht="32.999496" customHeight="1" x14ac:dyDescent="0.15">
      <c r="A960" s="158">
        <v>958.0</v>
      </c>
      <c r="B960" s="158" t="s">
        <v>8</v>
      </c>
      <c r="C960" s="158" t="s">
        <f>"邓丹丹"</f>
        <v>1824</v>
      </c>
      <c r="D960" s="158" t="s">
        <f>"15010113228"</f>
        <v>1825</v>
      </c>
      <c r="E960" s="158" t="s">
        <v>15</v>
      </c>
      <c r="F960" s="158"/>
      <c r="G960" s="158" t="s">
        <v>15</v>
      </c>
    </row>
    <row r="961" spans="1:7" ht="32.999496" customHeight="1" x14ac:dyDescent="0.15">
      <c r="A961" s="158">
        <v>959.0</v>
      </c>
      <c r="B961" s="158" t="s">
        <v>8</v>
      </c>
      <c r="C961" s="158" t="s">
        <f>"孟祺"</f>
        <v>1826</v>
      </c>
      <c r="D961" s="158" t="s">
        <f>"15010113229"</f>
        <v>1827</v>
      </c>
      <c r="E961" s="158" t="s">
        <v>15</v>
      </c>
      <c r="F961" s="158"/>
      <c r="G961" s="158" t="s">
        <v>15</v>
      </c>
    </row>
    <row r="962" spans="1:7" ht="32.999496" customHeight="1" x14ac:dyDescent="0.15">
      <c r="A962" s="158">
        <v>960.0</v>
      </c>
      <c r="B962" s="158" t="s">
        <v>8</v>
      </c>
      <c r="C962" s="158" t="s">
        <f>"刘艳"</f>
        <v>1499</v>
      </c>
      <c r="D962" s="158" t="s">
        <f>"15010113230"</f>
        <v>1828</v>
      </c>
      <c r="E962" s="158">
        <v>54.129999999999995</v>
      </c>
      <c r="F962" s="158"/>
      <c r="G962" s="158">
        <v>54.129999999999995</v>
      </c>
    </row>
    <row r="963" spans="1:7" ht="32.999496" customHeight="1" x14ac:dyDescent="0.15">
      <c r="A963" s="158">
        <v>961.0</v>
      </c>
      <c r="B963" s="158" t="s">
        <v>8</v>
      </c>
      <c r="C963" s="158" t="s">
        <f>"武娟"</f>
        <v>1829</v>
      </c>
      <c r="D963" s="158" t="s">
        <f>"15010113301"</f>
        <v>1830</v>
      </c>
      <c r="E963" s="158">
        <v>74.21000000000001</v>
      </c>
      <c r="F963" s="158"/>
      <c r="G963" s="158">
        <v>74.21000000000001</v>
      </c>
    </row>
    <row r="964" spans="1:7" ht="32.999496" customHeight="1" x14ac:dyDescent="0.15">
      <c r="A964" s="158">
        <v>962.0</v>
      </c>
      <c r="B964" s="158" t="s">
        <v>8</v>
      </c>
      <c r="C964" s="158" t="s">
        <f>"王子璇"</f>
        <v>1831</v>
      </c>
      <c r="D964" s="158" t="s">
        <f>"15010113302"</f>
        <v>1832</v>
      </c>
      <c r="E964" s="158" t="s">
        <v>15</v>
      </c>
      <c r="F964" s="158"/>
      <c r="G964" s="158" t="s">
        <v>15</v>
      </c>
    </row>
    <row r="965" spans="1:7" ht="32.999496" customHeight="1" x14ac:dyDescent="0.15">
      <c r="A965" s="158">
        <v>963.0</v>
      </c>
      <c r="B965" s="158" t="s">
        <v>8</v>
      </c>
      <c r="C965" s="158" t="s">
        <f>"苗政"</f>
        <v>1833</v>
      </c>
      <c r="D965" s="158" t="s">
        <f>"15010113303"</f>
        <v>1834</v>
      </c>
      <c r="E965" s="158">
        <v>59.94</v>
      </c>
      <c r="F965" s="158"/>
      <c r="G965" s="158">
        <v>59.94</v>
      </c>
    </row>
    <row r="966" spans="1:7" ht="32.999496" customHeight="1" x14ac:dyDescent="0.15">
      <c r="A966" s="158">
        <v>964.0</v>
      </c>
      <c r="B966" s="158" t="s">
        <v>8</v>
      </c>
      <c r="C966" s="158" t="s">
        <f>"罗豆豆"</f>
        <v>1835</v>
      </c>
      <c r="D966" s="158" t="s">
        <f>"15010113304"</f>
        <v>1836</v>
      </c>
      <c r="E966" s="158">
        <v>66.91</v>
      </c>
      <c r="F966" s="158"/>
      <c r="G966" s="158">
        <v>66.91</v>
      </c>
    </row>
    <row r="967" spans="1:7" ht="32.999496" customHeight="1" x14ac:dyDescent="0.15">
      <c r="A967" s="158">
        <v>965.0</v>
      </c>
      <c r="B967" s="158" t="s">
        <v>8</v>
      </c>
      <c r="C967" s="158" t="s">
        <f>"杜升"</f>
        <v>1837</v>
      </c>
      <c r="D967" s="158" t="s">
        <f>"15010113305"</f>
        <v>1838</v>
      </c>
      <c r="E967" s="158" t="s">
        <v>15</v>
      </c>
      <c r="F967" s="158"/>
      <c r="G967" s="158" t="s">
        <v>15</v>
      </c>
    </row>
    <row r="968" spans="1:7" ht="32.999496" customHeight="1" x14ac:dyDescent="0.15">
      <c r="A968" s="158">
        <v>966.0</v>
      </c>
      <c r="B968" s="158" t="s">
        <v>8</v>
      </c>
      <c r="C968" s="158" t="s">
        <f>"樊敏"</f>
        <v>1839</v>
      </c>
      <c r="D968" s="158" t="s">
        <f>"15010113306"</f>
        <v>1840</v>
      </c>
      <c r="E968" s="158" t="s">
        <v>15</v>
      </c>
      <c r="F968" s="158"/>
      <c r="G968" s="158" t="s">
        <v>15</v>
      </c>
    </row>
    <row r="969" spans="1:7" ht="32.999496" customHeight="1" x14ac:dyDescent="0.15">
      <c r="A969" s="158">
        <v>967.0</v>
      </c>
      <c r="B969" s="158" t="s">
        <v>8</v>
      </c>
      <c r="C969" s="158" t="s">
        <f>"李静"</f>
        <v>298</v>
      </c>
      <c r="D969" s="158" t="s">
        <f>"15010113307"</f>
        <v>1841</v>
      </c>
      <c r="E969" s="158">
        <v>67.7</v>
      </c>
      <c r="F969" s="158"/>
      <c r="G969" s="158">
        <v>67.7</v>
      </c>
    </row>
    <row r="970" spans="1:7" ht="32.999496" customHeight="1" x14ac:dyDescent="0.15">
      <c r="A970" s="158">
        <v>968.0</v>
      </c>
      <c r="B970" s="158" t="s">
        <v>8</v>
      </c>
      <c r="C970" s="158" t="s">
        <f>"李晶"</f>
        <v>1103</v>
      </c>
      <c r="D970" s="158" t="s">
        <f>"15010113308"</f>
        <v>1842</v>
      </c>
      <c r="E970" s="158" t="s">
        <v>15</v>
      </c>
      <c r="F970" s="158"/>
      <c r="G970" s="158" t="s">
        <v>15</v>
      </c>
    </row>
    <row r="971" spans="1:7" ht="32.999496" customHeight="1" x14ac:dyDescent="0.15">
      <c r="A971" s="158">
        <v>969.0</v>
      </c>
      <c r="B971" s="158" t="s">
        <v>8</v>
      </c>
      <c r="C971" s="158" t="s">
        <f>"郭利琴"</f>
        <v>1843</v>
      </c>
      <c r="D971" s="158" t="s">
        <f>"15010113309"</f>
        <v>1844</v>
      </c>
      <c r="E971" s="158">
        <v>57.53</v>
      </c>
      <c r="F971" s="158"/>
      <c r="G971" s="158">
        <v>57.53</v>
      </c>
    </row>
    <row r="972" spans="1:7" ht="32.999496" customHeight="1" x14ac:dyDescent="0.15">
      <c r="A972" s="158">
        <v>970.0</v>
      </c>
      <c r="B972" s="158" t="s">
        <v>8</v>
      </c>
      <c r="C972" s="158" t="s">
        <f>"王宇"</f>
        <v>296</v>
      </c>
      <c r="D972" s="158" t="s">
        <f>"15010113310"</f>
        <v>1845</v>
      </c>
      <c r="E972" s="158" t="s">
        <v>15</v>
      </c>
      <c r="F972" s="158"/>
      <c r="G972" s="158" t="s">
        <v>15</v>
      </c>
    </row>
    <row r="973" spans="1:7" ht="32.999496" customHeight="1" x14ac:dyDescent="0.15">
      <c r="A973" s="158">
        <v>971.0</v>
      </c>
      <c r="B973" s="158" t="s">
        <v>8</v>
      </c>
      <c r="C973" s="158" t="s">
        <f>"邱娜"</f>
        <v>1846</v>
      </c>
      <c r="D973" s="158" t="s">
        <f>"15010113311"</f>
        <v>1847</v>
      </c>
      <c r="E973" s="158" t="s">
        <v>15</v>
      </c>
      <c r="F973" s="158"/>
      <c r="G973" s="158" t="s">
        <v>15</v>
      </c>
    </row>
    <row r="974" spans="1:7" ht="32.999496" customHeight="1" x14ac:dyDescent="0.15">
      <c r="A974" s="158">
        <v>972.0</v>
      </c>
      <c r="B974" s="158" t="s">
        <v>8</v>
      </c>
      <c r="C974" s="158" t="s">
        <f>"张新敏"</f>
        <v>1848</v>
      </c>
      <c r="D974" s="158" t="s">
        <f>"15010113312"</f>
        <v>1849</v>
      </c>
      <c r="E974" s="158">
        <v>67.34</v>
      </c>
      <c r="F974" s="158"/>
      <c r="G974" s="158">
        <v>67.34</v>
      </c>
    </row>
    <row r="975" spans="1:7" ht="32.999496" customHeight="1" x14ac:dyDescent="0.15">
      <c r="A975" s="158">
        <v>973.0</v>
      </c>
      <c r="B975" s="158" t="s">
        <v>8</v>
      </c>
      <c r="C975" s="158" t="s">
        <f>"高鑫"</f>
        <v>1850</v>
      </c>
      <c r="D975" s="158" t="s">
        <f>"15010113313"</f>
        <v>1851</v>
      </c>
      <c r="E975" s="158" t="s">
        <v>15</v>
      </c>
      <c r="F975" s="158"/>
      <c r="G975" s="158" t="s">
        <v>15</v>
      </c>
    </row>
    <row r="976" spans="1:7" ht="32.999496" customHeight="1" x14ac:dyDescent="0.15">
      <c r="A976" s="158">
        <v>974.0</v>
      </c>
      <c r="B976" s="158" t="s">
        <v>8</v>
      </c>
      <c r="C976" s="158" t="s">
        <f>"乔艳红"</f>
        <v>1852</v>
      </c>
      <c r="D976" s="158" t="s">
        <f>"15010113314"</f>
        <v>1853</v>
      </c>
      <c r="E976" s="158">
        <v>50.32</v>
      </c>
      <c r="F976" s="158"/>
      <c r="G976" s="158">
        <v>50.32</v>
      </c>
    </row>
    <row r="977" spans="1:7" ht="32.999496" customHeight="1" x14ac:dyDescent="0.15">
      <c r="A977" s="158">
        <v>975.0</v>
      </c>
      <c r="B977" s="158" t="s">
        <v>8</v>
      </c>
      <c r="C977" s="158" t="s">
        <f>"王慧贤"</f>
        <v>1854</v>
      </c>
      <c r="D977" s="158" t="s">
        <f>"15010113315"</f>
        <v>1855</v>
      </c>
      <c r="E977" s="158" t="s">
        <v>15</v>
      </c>
      <c r="F977" s="158"/>
      <c r="G977" s="158" t="s">
        <v>15</v>
      </c>
    </row>
    <row r="978" spans="1:7" ht="32.999496" customHeight="1" x14ac:dyDescent="0.15">
      <c r="A978" s="158">
        <v>976.0</v>
      </c>
      <c r="B978" s="158" t="s">
        <v>8</v>
      </c>
      <c r="C978" s="158" t="s">
        <f>"张瑞"</f>
        <v>1856</v>
      </c>
      <c r="D978" s="158" t="s">
        <f>"15010113316"</f>
        <v>1857</v>
      </c>
      <c r="E978" s="158">
        <v>65.13</v>
      </c>
      <c r="F978" s="158"/>
      <c r="G978" s="158">
        <v>65.13</v>
      </c>
    </row>
    <row r="979" spans="1:7" ht="32.999496" customHeight="1" x14ac:dyDescent="0.15">
      <c r="A979" s="158">
        <v>977.0</v>
      </c>
      <c r="B979" s="158" t="s">
        <v>8</v>
      </c>
      <c r="C979" s="158" t="s">
        <f>"王伟"</f>
        <v>660</v>
      </c>
      <c r="D979" s="158" t="s">
        <f>"15010113317"</f>
        <v>1858</v>
      </c>
      <c r="E979" s="158" t="s">
        <v>15</v>
      </c>
      <c r="F979" s="158"/>
      <c r="G979" s="158" t="s">
        <v>15</v>
      </c>
    </row>
    <row r="980" spans="1:7" ht="32.999496" customHeight="1" x14ac:dyDescent="0.15">
      <c r="A980" s="158">
        <v>978.0</v>
      </c>
      <c r="B980" s="158" t="s">
        <v>8</v>
      </c>
      <c r="C980" s="158" t="s">
        <f>"孟瑶"</f>
        <v>1859</v>
      </c>
      <c r="D980" s="158" t="s">
        <f>"15010113318"</f>
        <v>1860</v>
      </c>
      <c r="E980" s="158">
        <v>49.760000000000005</v>
      </c>
      <c r="F980" s="158"/>
      <c r="G980" s="158">
        <v>49.760000000000005</v>
      </c>
    </row>
    <row r="981" spans="1:7" ht="32.999496" customHeight="1" x14ac:dyDescent="0.15">
      <c r="A981" s="158">
        <v>979.0</v>
      </c>
      <c r="B981" s="158" t="s">
        <v>8</v>
      </c>
      <c r="C981" s="158" t="s">
        <f>"王建"</f>
        <v>1861</v>
      </c>
      <c r="D981" s="158" t="s">
        <f>"15010113319"</f>
        <v>1862</v>
      </c>
      <c r="E981" s="158">
        <v>58.98</v>
      </c>
      <c r="F981" s="158"/>
      <c r="G981" s="158">
        <v>58.98</v>
      </c>
    </row>
    <row r="982" spans="1:7" ht="32.999496" customHeight="1" x14ac:dyDescent="0.15">
      <c r="A982" s="158">
        <v>980.0</v>
      </c>
      <c r="B982" s="158" t="s">
        <v>8</v>
      </c>
      <c r="C982" s="158" t="s">
        <f>"白璐"</f>
        <v>364</v>
      </c>
      <c r="D982" s="158" t="s">
        <f>"15010113320"</f>
        <v>1863</v>
      </c>
      <c r="E982" s="158" t="s">
        <v>15</v>
      </c>
      <c r="F982" s="158"/>
      <c r="G982" s="158" t="s">
        <v>15</v>
      </c>
    </row>
    <row r="983" spans="1:7" ht="32.999496" customHeight="1" x14ac:dyDescent="0.15">
      <c r="A983" s="158">
        <v>981.0</v>
      </c>
      <c r="B983" s="158" t="s">
        <v>8</v>
      </c>
      <c r="C983" s="158" t="s">
        <f>"高光义"</f>
        <v>1864</v>
      </c>
      <c r="D983" s="158" t="s">
        <f>"15010113321"</f>
        <v>1865</v>
      </c>
      <c r="E983" s="158">
        <v>55.14</v>
      </c>
      <c r="F983" s="158"/>
      <c r="G983" s="158">
        <v>55.14</v>
      </c>
    </row>
    <row r="984" spans="1:7" ht="32.999496" customHeight="1" x14ac:dyDescent="0.15">
      <c r="A984" s="158">
        <v>982.0</v>
      </c>
      <c r="B984" s="158" t="s">
        <v>8</v>
      </c>
      <c r="C984" s="158" t="s">
        <f>"刘秉昕"</f>
        <v>1866</v>
      </c>
      <c r="D984" s="158" t="s">
        <f>"15010113322"</f>
        <v>1867</v>
      </c>
      <c r="E984" s="158">
        <v>51.15</v>
      </c>
      <c r="F984" s="158">
        <v>2.5</v>
      </c>
      <c r="G984" s="158">
        <v>53.65</v>
      </c>
    </row>
    <row r="985" spans="1:7" ht="32.999496" customHeight="1" x14ac:dyDescent="0.15">
      <c r="A985" s="158">
        <v>983.0</v>
      </c>
      <c r="B985" s="158" t="s">
        <v>8</v>
      </c>
      <c r="C985" s="158" t="s">
        <f>"马婷"</f>
        <v>1868</v>
      </c>
      <c r="D985" s="158" t="s">
        <f>"15010113323"</f>
        <v>1869</v>
      </c>
      <c r="E985" s="158">
        <v>58.5</v>
      </c>
      <c r="F985" s="158"/>
      <c r="G985" s="158">
        <v>58.5</v>
      </c>
    </row>
    <row r="986" spans="1:7" ht="32.999496" customHeight="1" x14ac:dyDescent="0.15">
      <c r="A986" s="158">
        <v>984.0</v>
      </c>
      <c r="B986" s="158" t="s">
        <v>8</v>
      </c>
      <c r="C986" s="158" t="s">
        <f>"边弘霞"</f>
        <v>1870</v>
      </c>
      <c r="D986" s="158" t="s">
        <f>"15010113324"</f>
        <v>1871</v>
      </c>
      <c r="E986" s="158">
        <v>63.07</v>
      </c>
      <c r="F986" s="158"/>
      <c r="G986" s="158">
        <v>63.07</v>
      </c>
    </row>
    <row r="987" spans="1:7" ht="32.999496" customHeight="1" x14ac:dyDescent="0.15">
      <c r="A987" s="158">
        <v>985.0</v>
      </c>
      <c r="B987" s="158" t="s">
        <v>8</v>
      </c>
      <c r="C987" s="158" t="s">
        <f>"李奕萱"</f>
        <v>1872</v>
      </c>
      <c r="D987" s="158" t="s">
        <f>"15010113325"</f>
        <v>1873</v>
      </c>
      <c r="E987" s="158">
        <v>58.16</v>
      </c>
      <c r="F987" s="158"/>
      <c r="G987" s="158">
        <v>58.16</v>
      </c>
    </row>
    <row r="988" spans="1:7" ht="32.999496" customHeight="1" x14ac:dyDescent="0.15">
      <c r="A988" s="158">
        <v>986.0</v>
      </c>
      <c r="B988" s="158" t="s">
        <v>8</v>
      </c>
      <c r="C988" s="158" t="s">
        <f>"张伊娟"</f>
        <v>1874</v>
      </c>
      <c r="D988" s="158" t="s">
        <f>"15010113326"</f>
        <v>1875</v>
      </c>
      <c r="E988" s="158" t="s">
        <v>15</v>
      </c>
      <c r="F988" s="158"/>
      <c r="G988" s="158" t="s">
        <v>15</v>
      </c>
    </row>
    <row r="989" spans="1:7" ht="32.999496" customHeight="1" x14ac:dyDescent="0.15">
      <c r="A989" s="158">
        <v>987.0</v>
      </c>
      <c r="B989" s="158" t="s">
        <v>8</v>
      </c>
      <c r="C989" s="158" t="s">
        <f>"武朵"</f>
        <v>1876</v>
      </c>
      <c r="D989" s="158" t="s">
        <f>"15010113327"</f>
        <v>1877</v>
      </c>
      <c r="E989" s="158">
        <v>51.35</v>
      </c>
      <c r="F989" s="158"/>
      <c r="G989" s="158">
        <v>51.35</v>
      </c>
    </row>
    <row r="990" spans="1:7" ht="32.999496" customHeight="1" x14ac:dyDescent="0.15">
      <c r="A990" s="158">
        <v>988.0</v>
      </c>
      <c r="B990" s="158" t="s">
        <v>8</v>
      </c>
      <c r="C990" s="158" t="s">
        <f>"陈娜"</f>
        <v>1237</v>
      </c>
      <c r="D990" s="158" t="s">
        <f>"15010113328"</f>
        <v>1878</v>
      </c>
      <c r="E990" s="158">
        <v>59.01</v>
      </c>
      <c r="F990" s="158"/>
      <c r="G990" s="158">
        <v>59.01</v>
      </c>
    </row>
    <row r="991" spans="1:7" ht="32.999496" customHeight="1" x14ac:dyDescent="0.15">
      <c r="A991" s="158">
        <v>989.0</v>
      </c>
      <c r="B991" s="158" t="s">
        <v>8</v>
      </c>
      <c r="C991" s="158" t="s">
        <f>"贾彩虹"</f>
        <v>1879</v>
      </c>
      <c r="D991" s="158" t="s">
        <f>"15010113329"</f>
        <v>1880</v>
      </c>
      <c r="E991" s="158" t="s">
        <v>15</v>
      </c>
      <c r="F991" s="158"/>
      <c r="G991" s="158" t="s">
        <v>15</v>
      </c>
    </row>
    <row r="992" spans="1:7" ht="32.999496" customHeight="1" x14ac:dyDescent="0.15">
      <c r="A992" s="158">
        <v>990.0</v>
      </c>
      <c r="B992" s="158" t="s">
        <v>8</v>
      </c>
      <c r="C992" s="158" t="s">
        <f>"王慧"</f>
        <v>180</v>
      </c>
      <c r="D992" s="158" t="s">
        <f>"15010113330"</f>
        <v>1881</v>
      </c>
      <c r="E992" s="158">
        <v>62.49</v>
      </c>
      <c r="F992" s="158"/>
      <c r="G992" s="158">
        <v>62.49</v>
      </c>
    </row>
    <row r="993" spans="1:7" ht="32.999496" customHeight="1" x14ac:dyDescent="0.15">
      <c r="A993" s="158">
        <v>991.0</v>
      </c>
      <c r="B993" s="158" t="s">
        <v>8</v>
      </c>
      <c r="C993" s="158" t="s">
        <f>"杨博雅"</f>
        <v>1882</v>
      </c>
      <c r="D993" s="158" t="s">
        <f>"15010113401"</f>
        <v>1883</v>
      </c>
      <c r="E993" s="158" t="s">
        <v>15</v>
      </c>
      <c r="F993" s="158"/>
      <c r="G993" s="158" t="s">
        <v>15</v>
      </c>
    </row>
    <row r="994" spans="1:7" ht="32.999496" customHeight="1" x14ac:dyDescent="0.15">
      <c r="A994" s="158">
        <v>992.0</v>
      </c>
      <c r="B994" s="158" t="s">
        <v>8</v>
      </c>
      <c r="C994" s="158" t="s">
        <f>"温丽"</f>
        <v>1884</v>
      </c>
      <c r="D994" s="158" t="s">
        <f>"15010113402"</f>
        <v>1885</v>
      </c>
      <c r="E994" s="158">
        <v>60.88</v>
      </c>
      <c r="F994" s="158"/>
      <c r="G994" s="158">
        <v>60.88</v>
      </c>
    </row>
    <row r="995" spans="1:7" ht="32.999496" customHeight="1" x14ac:dyDescent="0.15">
      <c r="A995" s="158">
        <v>993.0</v>
      </c>
      <c r="B995" s="158" t="s">
        <v>8</v>
      </c>
      <c r="C995" s="158" t="s">
        <f>"刘慧"</f>
        <v>430</v>
      </c>
      <c r="D995" s="158" t="s">
        <f>"15010113403"</f>
        <v>1886</v>
      </c>
      <c r="E995" s="158">
        <v>44.239999999999995</v>
      </c>
      <c r="F995" s="158"/>
      <c r="G995" s="158">
        <v>44.239999999999995</v>
      </c>
    </row>
    <row r="996" spans="1:7" ht="32.999496" customHeight="1" x14ac:dyDescent="0.15">
      <c r="A996" s="158">
        <v>994.0</v>
      </c>
      <c r="B996" s="158" t="s">
        <v>8</v>
      </c>
      <c r="C996" s="158" t="s">
        <f>"张彩红"</f>
        <v>1887</v>
      </c>
      <c r="D996" s="158" t="s">
        <f>"15010113404"</f>
        <v>1888</v>
      </c>
      <c r="E996" s="158">
        <v>71.82</v>
      </c>
      <c r="F996" s="158"/>
      <c r="G996" s="158">
        <v>71.82</v>
      </c>
    </row>
    <row r="997" spans="1:7" ht="32.999496" customHeight="1" x14ac:dyDescent="0.15">
      <c r="A997" s="158">
        <v>995.0</v>
      </c>
      <c r="B997" s="158" t="s">
        <v>8</v>
      </c>
      <c r="C997" s="158" t="s">
        <f>"郭瑞芳"</f>
        <v>1889</v>
      </c>
      <c r="D997" s="158" t="s">
        <f>"15010113405"</f>
        <v>1890</v>
      </c>
      <c r="E997" s="158">
        <v>49.79</v>
      </c>
      <c r="F997" s="158"/>
      <c r="G997" s="158">
        <v>49.79</v>
      </c>
    </row>
    <row r="998" spans="1:7" ht="32.999496" customHeight="1" x14ac:dyDescent="0.15">
      <c r="A998" s="158">
        <v>996.0</v>
      </c>
      <c r="B998" s="158" t="s">
        <v>8</v>
      </c>
      <c r="C998" s="158" t="s">
        <f>"赵雅慧"</f>
        <v>1891</v>
      </c>
      <c r="D998" s="158" t="s">
        <f>"15010113406"</f>
        <v>1892</v>
      </c>
      <c r="E998" s="158" t="s">
        <v>15</v>
      </c>
      <c r="F998" s="158">
        <v>2.5</v>
      </c>
      <c r="G998" s="158" t="s">
        <v>15</v>
      </c>
    </row>
    <row r="999" spans="1:7" ht="32.999496" customHeight="1" x14ac:dyDescent="0.15">
      <c r="A999" s="158">
        <v>997.0</v>
      </c>
      <c r="B999" s="158" t="s">
        <v>8</v>
      </c>
      <c r="C999" s="158" t="s">
        <f>"郝舒婷"</f>
        <v>1893</v>
      </c>
      <c r="D999" s="158" t="s">
        <f>"15010113407"</f>
        <v>1894</v>
      </c>
      <c r="E999" s="158">
        <v>57.02</v>
      </c>
      <c r="F999" s="158"/>
      <c r="G999" s="158">
        <v>57.02</v>
      </c>
    </row>
    <row r="1000" spans="1:7" ht="32.999496" customHeight="1" x14ac:dyDescent="0.15">
      <c r="A1000" s="158">
        <v>998.0</v>
      </c>
      <c r="B1000" s="158" t="s">
        <v>8</v>
      </c>
      <c r="C1000" s="158" t="s">
        <f>"李娜"</f>
        <v>609</v>
      </c>
      <c r="D1000" s="158" t="s">
        <f>"15010113408"</f>
        <v>1895</v>
      </c>
      <c r="E1000" s="158" t="s">
        <v>15</v>
      </c>
      <c r="F1000" s="158"/>
      <c r="G1000" s="158" t="s">
        <v>15</v>
      </c>
    </row>
    <row r="1001" spans="1:7" ht="32.999496" customHeight="1" x14ac:dyDescent="0.15">
      <c r="A1001" s="158">
        <v>999.0</v>
      </c>
      <c r="B1001" s="158" t="s">
        <v>8</v>
      </c>
      <c r="C1001" s="158" t="s">
        <f>"吴艳慧"</f>
        <v>1896</v>
      </c>
      <c r="D1001" s="158" t="s">
        <f>"15010113409"</f>
        <v>1897</v>
      </c>
      <c r="E1001" s="158" t="s">
        <v>15</v>
      </c>
      <c r="F1001" s="158"/>
      <c r="G1001" s="158" t="s">
        <v>15</v>
      </c>
    </row>
    <row r="1002" spans="1:7" ht="32.999496" customHeight="1" x14ac:dyDescent="0.15">
      <c r="A1002" s="158">
        <v>1000.0</v>
      </c>
      <c r="B1002" s="158" t="s">
        <v>8</v>
      </c>
      <c r="C1002" s="158" t="s">
        <f>"王玉杰"</f>
        <v>1898</v>
      </c>
      <c r="D1002" s="158" t="s">
        <f>"15010113410"</f>
        <v>1899</v>
      </c>
      <c r="E1002" s="158">
        <v>62.84</v>
      </c>
      <c r="F1002" s="158"/>
      <c r="G1002" s="158">
        <v>62.84</v>
      </c>
    </row>
    <row r="1003" spans="1:7" ht="32.999496" customHeight="1" x14ac:dyDescent="0.15">
      <c r="A1003" s="158">
        <v>1001.0</v>
      </c>
      <c r="B1003" s="158" t="s">
        <v>8</v>
      </c>
      <c r="C1003" s="158" t="s">
        <f>"高翠玲"</f>
        <v>1900</v>
      </c>
      <c r="D1003" s="158" t="s">
        <f>"15010113411"</f>
        <v>1901</v>
      </c>
      <c r="E1003" s="158" t="s">
        <v>15</v>
      </c>
      <c r="F1003" s="158"/>
      <c r="G1003" s="158" t="s">
        <v>15</v>
      </c>
    </row>
    <row r="1004" spans="1:7" ht="32.999496" customHeight="1" x14ac:dyDescent="0.15">
      <c r="A1004" s="158">
        <v>1002.0</v>
      </c>
      <c r="B1004" s="158" t="s">
        <v>8</v>
      </c>
      <c r="C1004" s="158" t="s">
        <f>"高慧方"</f>
        <v>1902</v>
      </c>
      <c r="D1004" s="158" t="s">
        <f>"15010113412"</f>
        <v>1903</v>
      </c>
      <c r="E1004" s="158">
        <v>60.77</v>
      </c>
      <c r="F1004" s="158"/>
      <c r="G1004" s="158">
        <v>60.77</v>
      </c>
    </row>
    <row r="1005" spans="1:7" ht="32.999496" customHeight="1" x14ac:dyDescent="0.15">
      <c r="A1005" s="158">
        <v>1003.0</v>
      </c>
      <c r="B1005" s="158" t="s">
        <v>8</v>
      </c>
      <c r="C1005" s="158" t="s">
        <f>"刘芳"</f>
        <v>1904</v>
      </c>
      <c r="D1005" s="158" t="s">
        <f>"15010113413"</f>
        <v>1905</v>
      </c>
      <c r="E1005" s="158">
        <v>53.95</v>
      </c>
      <c r="F1005" s="158"/>
      <c r="G1005" s="158">
        <v>53.95</v>
      </c>
    </row>
    <row r="1006" spans="1:7" ht="32.999496" customHeight="1" x14ac:dyDescent="0.15">
      <c r="A1006" s="158">
        <v>1004.0</v>
      </c>
      <c r="B1006" s="158" t="s">
        <v>8</v>
      </c>
      <c r="C1006" s="158" t="s">
        <f>"马越虹"</f>
        <v>1906</v>
      </c>
      <c r="D1006" s="158" t="s">
        <f>"15010113414"</f>
        <v>1907</v>
      </c>
      <c r="E1006" s="158">
        <v>66.21000000000001</v>
      </c>
      <c r="F1006" s="158"/>
      <c r="G1006" s="158">
        <v>66.21000000000001</v>
      </c>
    </row>
    <row r="1007" spans="1:7" ht="32.999496" customHeight="1" x14ac:dyDescent="0.15">
      <c r="A1007" s="158">
        <v>1005.0</v>
      </c>
      <c r="B1007" s="158" t="s">
        <v>8</v>
      </c>
      <c r="C1007" s="158" t="s">
        <f>"解敏龙"</f>
        <v>1908</v>
      </c>
      <c r="D1007" s="158" t="s">
        <f>"15010113415"</f>
        <v>1909</v>
      </c>
      <c r="E1007" s="158">
        <v>62.25</v>
      </c>
      <c r="F1007" s="158"/>
      <c r="G1007" s="158">
        <v>62.25</v>
      </c>
    </row>
    <row r="1008" spans="1:7" ht="32.999496" customHeight="1" x14ac:dyDescent="0.15">
      <c r="A1008" s="158">
        <v>1006.0</v>
      </c>
      <c r="B1008" s="158" t="s">
        <v>8</v>
      </c>
      <c r="C1008" s="158" t="s">
        <f>"王磊"</f>
        <v>16</v>
      </c>
      <c r="D1008" s="158" t="s">
        <f>"15010113416"</f>
        <v>1910</v>
      </c>
      <c r="E1008" s="158">
        <v>44.120000000000005</v>
      </c>
      <c r="F1008" s="158"/>
      <c r="G1008" s="158">
        <v>44.120000000000005</v>
      </c>
    </row>
    <row r="1009" spans="1:7" ht="32.999496" customHeight="1" x14ac:dyDescent="0.15">
      <c r="A1009" s="158">
        <v>1007.0</v>
      </c>
      <c r="B1009" s="158" t="s">
        <v>8</v>
      </c>
      <c r="C1009" s="158" t="s">
        <f>"杨丹"</f>
        <v>1911</v>
      </c>
      <c r="D1009" s="158" t="s">
        <f>"15010113417"</f>
        <v>1912</v>
      </c>
      <c r="E1009" s="158">
        <v>46.120000000000005</v>
      </c>
      <c r="F1009" s="158"/>
      <c r="G1009" s="158">
        <v>46.120000000000005</v>
      </c>
    </row>
    <row r="1010" spans="1:7" ht="32.999496" customHeight="1" x14ac:dyDescent="0.15">
      <c r="A1010" s="158">
        <v>1008.0</v>
      </c>
      <c r="B1010" s="158" t="s">
        <v>8</v>
      </c>
      <c r="C1010" s="158" t="s">
        <f>"刘倩"</f>
        <v>1544</v>
      </c>
      <c r="D1010" s="158" t="s">
        <f>"15010113418"</f>
        <v>1913</v>
      </c>
      <c r="E1010" s="158">
        <v>73.68</v>
      </c>
      <c r="F1010" s="158"/>
      <c r="G1010" s="158">
        <v>73.68</v>
      </c>
    </row>
    <row r="1011" spans="1:7" ht="32.999496" customHeight="1" x14ac:dyDescent="0.15">
      <c r="A1011" s="158">
        <v>1009.0</v>
      </c>
      <c r="B1011" s="158" t="s">
        <v>8</v>
      </c>
      <c r="C1011" s="158" t="s">
        <f>"张亭"</f>
        <v>1914</v>
      </c>
      <c r="D1011" s="158" t="s">
        <f>"15010113419"</f>
        <v>1915</v>
      </c>
      <c r="E1011" s="158" t="s">
        <v>15</v>
      </c>
      <c r="F1011" s="158"/>
      <c r="G1011" s="158" t="s">
        <v>15</v>
      </c>
    </row>
    <row r="1012" spans="1:7" ht="32.999496" customHeight="1" x14ac:dyDescent="0.15">
      <c r="A1012" s="158">
        <v>1010.0</v>
      </c>
      <c r="B1012" s="158" t="s">
        <v>8</v>
      </c>
      <c r="C1012" s="158" t="s">
        <f>"白鹤祥"</f>
        <v>1916</v>
      </c>
      <c r="D1012" s="158" t="s">
        <f>"15010113420"</f>
        <v>1917</v>
      </c>
      <c r="E1012" s="158">
        <v>62.61</v>
      </c>
      <c r="F1012" s="158"/>
      <c r="G1012" s="158">
        <v>62.61</v>
      </c>
    </row>
    <row r="1013" spans="1:7" ht="32.999496" customHeight="1" x14ac:dyDescent="0.15">
      <c r="A1013" s="158">
        <v>1011.0</v>
      </c>
      <c r="B1013" s="158" t="s">
        <v>8</v>
      </c>
      <c r="C1013" s="158" t="s">
        <f>"康佳"</f>
        <v>1918</v>
      </c>
      <c r="D1013" s="158" t="s">
        <f>"15010113421"</f>
        <v>1919</v>
      </c>
      <c r="E1013" s="158">
        <v>51.56</v>
      </c>
      <c r="F1013" s="158">
        <v>2.5</v>
      </c>
      <c r="G1013" s="158">
        <v>54.06</v>
      </c>
    </row>
    <row r="1014" spans="1:7" ht="32.999496" customHeight="1" x14ac:dyDescent="0.15">
      <c r="A1014" s="158">
        <v>1012.0</v>
      </c>
      <c r="B1014" s="158" t="s">
        <v>8</v>
      </c>
      <c r="C1014" s="158" t="s">
        <f>"宋伟"</f>
        <v>1920</v>
      </c>
      <c r="D1014" s="158" t="s">
        <f>"15010113422"</f>
        <v>1921</v>
      </c>
      <c r="E1014" s="158" t="s">
        <v>15</v>
      </c>
      <c r="F1014" s="158"/>
      <c r="G1014" s="158" t="s">
        <v>15</v>
      </c>
    </row>
    <row r="1015" spans="1:7" ht="32.999496" customHeight="1" x14ac:dyDescent="0.15">
      <c r="A1015" s="158">
        <v>1013.0</v>
      </c>
      <c r="B1015" s="158" t="s">
        <v>8</v>
      </c>
      <c r="C1015" s="158" t="s">
        <f>"杨竞伟"</f>
        <v>1922</v>
      </c>
      <c r="D1015" s="158" t="s">
        <f>"15010113423"</f>
        <v>1923</v>
      </c>
      <c r="E1015" s="158">
        <v>61.07</v>
      </c>
      <c r="F1015" s="158"/>
      <c r="G1015" s="158">
        <v>61.07</v>
      </c>
    </row>
    <row r="1016" spans="1:7" ht="32.999496" customHeight="1" x14ac:dyDescent="0.15">
      <c r="A1016" s="158">
        <v>1014.0</v>
      </c>
      <c r="B1016" s="158" t="s">
        <v>8</v>
      </c>
      <c r="C1016" s="158" t="s">
        <f>"高杰"</f>
        <v>1678</v>
      </c>
      <c r="D1016" s="158" t="s">
        <f>"15010113424"</f>
        <v>1924</v>
      </c>
      <c r="E1016" s="158" t="s">
        <v>15</v>
      </c>
      <c r="F1016" s="158"/>
      <c r="G1016" s="158" t="s">
        <v>15</v>
      </c>
    </row>
    <row r="1017" spans="1:7" ht="32.999496" customHeight="1" x14ac:dyDescent="0.15">
      <c r="A1017" s="158">
        <v>1015.0</v>
      </c>
      <c r="B1017" s="158" t="s">
        <v>8</v>
      </c>
      <c r="C1017" s="158" t="s">
        <f>"王丽"</f>
        <v>1354</v>
      </c>
      <c r="D1017" s="158" t="s">
        <f>"15010113425"</f>
        <v>1925</v>
      </c>
      <c r="E1017" s="158">
        <v>64.87</v>
      </c>
      <c r="F1017" s="158"/>
      <c r="G1017" s="158">
        <v>64.87</v>
      </c>
    </row>
    <row r="1018" spans="1:7" ht="32.999496" customHeight="1" x14ac:dyDescent="0.15">
      <c r="A1018" s="158">
        <v>1016.0</v>
      </c>
      <c r="B1018" s="158" t="s">
        <v>8</v>
      </c>
      <c r="C1018" s="158" t="s">
        <f>"戈丽"</f>
        <v>1926</v>
      </c>
      <c r="D1018" s="158" t="s">
        <f>"15010113426"</f>
        <v>1927</v>
      </c>
      <c r="E1018" s="158" t="s">
        <v>15</v>
      </c>
      <c r="F1018" s="158"/>
      <c r="G1018" s="158" t="s">
        <v>15</v>
      </c>
    </row>
    <row r="1019" spans="1:7" ht="32.999496" customHeight="1" x14ac:dyDescent="0.15">
      <c r="A1019" s="158">
        <v>1017.0</v>
      </c>
      <c r="B1019" s="158" t="s">
        <v>8</v>
      </c>
      <c r="C1019" s="158" t="s">
        <f>"贺丽娜"</f>
        <v>1928</v>
      </c>
      <c r="D1019" s="158" t="s">
        <f>"15010113427"</f>
        <v>1929</v>
      </c>
      <c r="E1019" s="158">
        <v>51.620000000000005</v>
      </c>
      <c r="F1019" s="158"/>
      <c r="G1019" s="158">
        <v>51.620000000000005</v>
      </c>
    </row>
    <row r="1020" spans="1:7" ht="32.999496" customHeight="1" x14ac:dyDescent="0.15">
      <c r="A1020" s="158">
        <v>1018.0</v>
      </c>
      <c r="B1020" s="158" t="s">
        <v>8</v>
      </c>
      <c r="C1020" s="158" t="s">
        <f>"张红叶"</f>
        <v>1930</v>
      </c>
      <c r="D1020" s="158" t="s">
        <f>"15010113428"</f>
        <v>1931</v>
      </c>
      <c r="E1020" s="158">
        <v>55.01</v>
      </c>
      <c r="F1020" s="158"/>
      <c r="G1020" s="158">
        <v>55.01</v>
      </c>
    </row>
    <row r="1021" spans="1:7" ht="32.999496" customHeight="1" x14ac:dyDescent="0.15">
      <c r="A1021" s="158">
        <v>1019.0</v>
      </c>
      <c r="B1021" s="158" t="s">
        <v>8</v>
      </c>
      <c r="C1021" s="158" t="s">
        <f>"杨虎正"</f>
        <v>1932</v>
      </c>
      <c r="D1021" s="158" t="s">
        <f>"15010113429"</f>
        <v>1933</v>
      </c>
      <c r="E1021" s="158">
        <v>69.69</v>
      </c>
      <c r="F1021" s="158"/>
      <c r="G1021" s="158">
        <v>69.69</v>
      </c>
    </row>
    <row r="1022" spans="1:7" ht="32.999496" customHeight="1" x14ac:dyDescent="0.15">
      <c r="A1022" s="158">
        <v>1020.0</v>
      </c>
      <c r="B1022" s="158" t="s">
        <v>8</v>
      </c>
      <c r="C1022" s="158" t="s">
        <f>"王震宇"</f>
        <v>1934</v>
      </c>
      <c r="D1022" s="158" t="s">
        <f>"15010113430"</f>
        <v>1935</v>
      </c>
      <c r="E1022" s="158" t="s">
        <v>15</v>
      </c>
      <c r="F1022" s="158"/>
      <c r="G1022" s="158" t="s">
        <v>15</v>
      </c>
    </row>
    <row r="1023" spans="1:7" ht="32.999496" customHeight="1" x14ac:dyDescent="0.15">
      <c r="A1023" s="158">
        <v>1021.0</v>
      </c>
      <c r="B1023" s="158" t="s">
        <v>8</v>
      </c>
      <c r="C1023" s="158" t="s">
        <f>"高娜"</f>
        <v>46</v>
      </c>
      <c r="D1023" s="158" t="s">
        <f>"15010113501"</f>
        <v>1936</v>
      </c>
      <c r="E1023" s="158" t="s">
        <v>15</v>
      </c>
      <c r="F1023" s="158"/>
      <c r="G1023" s="158" t="s">
        <v>15</v>
      </c>
    </row>
    <row r="1024" spans="1:7" ht="32.999496" customHeight="1" x14ac:dyDescent="0.15">
      <c r="A1024" s="158">
        <v>1022.0</v>
      </c>
      <c r="B1024" s="158" t="s">
        <v>8</v>
      </c>
      <c r="C1024" s="158" t="s">
        <f>"张璨"</f>
        <v>1937</v>
      </c>
      <c r="D1024" s="158" t="s">
        <f>"15010113502"</f>
        <v>1938</v>
      </c>
      <c r="E1024" s="158">
        <v>57.81</v>
      </c>
      <c r="F1024" s="158"/>
      <c r="G1024" s="158">
        <v>57.81</v>
      </c>
    </row>
    <row r="1025" spans="1:7" ht="32.999496" customHeight="1" x14ac:dyDescent="0.15">
      <c r="A1025" s="158">
        <v>1023.0</v>
      </c>
      <c r="B1025" s="158" t="s">
        <v>8</v>
      </c>
      <c r="C1025" s="158" t="s">
        <f>"王春媛"</f>
        <v>1939</v>
      </c>
      <c r="D1025" s="158" t="s">
        <f>"15010113503"</f>
        <v>1940</v>
      </c>
      <c r="E1025" s="158">
        <v>59.56</v>
      </c>
      <c r="F1025" s="158"/>
      <c r="G1025" s="158">
        <v>59.56</v>
      </c>
    </row>
    <row r="1026" spans="1:7" ht="32.999496" customHeight="1" x14ac:dyDescent="0.15">
      <c r="A1026" s="158">
        <v>1024.0</v>
      </c>
      <c r="B1026" s="158" t="s">
        <v>8</v>
      </c>
      <c r="C1026" s="158" t="s">
        <f>"白强"</f>
        <v>1941</v>
      </c>
      <c r="D1026" s="158" t="s">
        <f>"15010113504"</f>
        <v>1942</v>
      </c>
      <c r="E1026" s="158">
        <v>62.1</v>
      </c>
      <c r="F1026" s="158"/>
      <c r="G1026" s="158">
        <v>62.1</v>
      </c>
    </row>
    <row r="1027" spans="1:7" ht="32.999496" customHeight="1" x14ac:dyDescent="0.15">
      <c r="A1027" s="158">
        <v>1025.0</v>
      </c>
      <c r="B1027" s="158" t="s">
        <v>8</v>
      </c>
      <c r="C1027" s="158" t="s">
        <f>"王艳霞"</f>
        <v>1943</v>
      </c>
      <c r="D1027" s="158" t="s">
        <f>"15010113505"</f>
        <v>1944</v>
      </c>
      <c r="E1027" s="158" t="s">
        <v>15</v>
      </c>
      <c r="F1027" s="158"/>
      <c r="G1027" s="158" t="s">
        <v>15</v>
      </c>
    </row>
    <row r="1028" spans="1:7" ht="32.999496" customHeight="1" x14ac:dyDescent="0.15">
      <c r="A1028" s="158">
        <v>1026.0</v>
      </c>
      <c r="B1028" s="158" t="s">
        <v>8</v>
      </c>
      <c r="C1028" s="158" t="s">
        <f>"梁婷"</f>
        <v>1945</v>
      </c>
      <c r="D1028" s="158" t="s">
        <f>"15010113506"</f>
        <v>1946</v>
      </c>
      <c r="E1028" s="158" t="s">
        <v>15</v>
      </c>
      <c r="F1028" s="158"/>
      <c r="G1028" s="158" t="s">
        <v>15</v>
      </c>
    </row>
    <row r="1029" spans="1:7" ht="32.999496" customHeight="1" x14ac:dyDescent="0.15">
      <c r="A1029" s="158">
        <v>1027.0</v>
      </c>
      <c r="B1029" s="158" t="s">
        <v>8</v>
      </c>
      <c r="C1029" s="158" t="s">
        <f>"刘小艳"</f>
        <v>1947</v>
      </c>
      <c r="D1029" s="158" t="s">
        <f>"15010113507"</f>
        <v>1948</v>
      </c>
      <c r="E1029" s="158">
        <v>54.05</v>
      </c>
      <c r="F1029" s="158"/>
      <c r="G1029" s="158">
        <v>54.05</v>
      </c>
    </row>
    <row r="1030" spans="1:7" ht="32.999496" customHeight="1" x14ac:dyDescent="0.15">
      <c r="A1030" s="158">
        <v>1028.0</v>
      </c>
      <c r="B1030" s="158" t="s">
        <v>8</v>
      </c>
      <c r="C1030" s="158" t="s">
        <f>"高丹"</f>
        <v>1949</v>
      </c>
      <c r="D1030" s="158" t="s">
        <f>"15010113508"</f>
        <v>1950</v>
      </c>
      <c r="E1030" s="158">
        <v>62.88</v>
      </c>
      <c r="F1030" s="158"/>
      <c r="G1030" s="158">
        <v>62.88</v>
      </c>
    </row>
    <row r="1031" spans="1:7" ht="32.999496" customHeight="1" x14ac:dyDescent="0.15">
      <c r="A1031" s="158">
        <v>1029.0</v>
      </c>
      <c r="B1031" s="158" t="s">
        <v>8</v>
      </c>
      <c r="C1031" s="158" t="s">
        <f>"王书博"</f>
        <v>1951</v>
      </c>
      <c r="D1031" s="158" t="s">
        <f>"15010113509"</f>
        <v>1952</v>
      </c>
      <c r="E1031" s="158" t="s">
        <v>15</v>
      </c>
      <c r="F1031" s="158"/>
      <c r="G1031" s="158" t="s">
        <v>15</v>
      </c>
    </row>
    <row r="1032" spans="1:7" ht="32.999496" customHeight="1" x14ac:dyDescent="0.15">
      <c r="A1032" s="158">
        <v>1030.0</v>
      </c>
      <c r="B1032" s="158" t="s">
        <v>8</v>
      </c>
      <c r="C1032" s="158" t="s">
        <f>"赵婷"</f>
        <v>398</v>
      </c>
      <c r="D1032" s="158" t="s">
        <f>"15010113510"</f>
        <v>1953</v>
      </c>
      <c r="E1032" s="158">
        <v>56.08</v>
      </c>
      <c r="F1032" s="158"/>
      <c r="G1032" s="158">
        <v>56.08</v>
      </c>
    </row>
    <row r="1033" spans="1:7" ht="32.999496" customHeight="1" x14ac:dyDescent="0.15">
      <c r="A1033" s="158">
        <v>1031.0</v>
      </c>
      <c r="B1033" s="158" t="s">
        <v>8</v>
      </c>
      <c r="C1033" s="158" t="s">
        <f>"刘强"</f>
        <v>1954</v>
      </c>
      <c r="D1033" s="158" t="s">
        <f>"15010113511"</f>
        <v>1955</v>
      </c>
      <c r="E1033" s="158" t="s">
        <v>15</v>
      </c>
      <c r="F1033" s="158"/>
      <c r="G1033" s="158" t="s">
        <v>15</v>
      </c>
    </row>
    <row r="1034" spans="1:7" ht="32.999496" customHeight="1" x14ac:dyDescent="0.15">
      <c r="A1034" s="158">
        <v>1032.0</v>
      </c>
      <c r="B1034" s="158" t="s">
        <v>8</v>
      </c>
      <c r="C1034" s="158" t="s">
        <f>"薛天翔"</f>
        <v>1956</v>
      </c>
      <c r="D1034" s="158" t="s">
        <f>"15010113512"</f>
        <v>1957</v>
      </c>
      <c r="E1034" s="158" t="s">
        <v>15</v>
      </c>
      <c r="F1034" s="158"/>
      <c r="G1034" s="158" t="s">
        <v>15</v>
      </c>
    </row>
    <row r="1035" spans="1:7" ht="32.999496" customHeight="1" x14ac:dyDescent="0.15">
      <c r="A1035" s="158">
        <v>1033.0</v>
      </c>
      <c r="B1035" s="158" t="s">
        <v>8</v>
      </c>
      <c r="C1035" s="158" t="s">
        <f>"张巨芳"</f>
        <v>1958</v>
      </c>
      <c r="D1035" s="158" t="s">
        <f>"15010113513"</f>
        <v>1959</v>
      </c>
      <c r="E1035" s="158" t="s">
        <v>15</v>
      </c>
      <c r="F1035" s="158"/>
      <c r="G1035" s="158" t="s">
        <v>15</v>
      </c>
    </row>
    <row r="1036" spans="1:7" ht="32.999496" customHeight="1" x14ac:dyDescent="0.15">
      <c r="A1036" s="158">
        <v>1034.0</v>
      </c>
      <c r="B1036" s="158" t="s">
        <v>8</v>
      </c>
      <c r="C1036" s="158" t="s">
        <f>"王舒暄"</f>
        <v>1960</v>
      </c>
      <c r="D1036" s="158" t="s">
        <f>"15010113514"</f>
        <v>1961</v>
      </c>
      <c r="E1036" s="158" t="s">
        <v>15</v>
      </c>
      <c r="F1036" s="158"/>
      <c r="G1036" s="158" t="s">
        <v>15</v>
      </c>
    </row>
    <row r="1037" spans="1:7" ht="32.999496" customHeight="1" x14ac:dyDescent="0.15">
      <c r="A1037" s="158">
        <v>1035.0</v>
      </c>
      <c r="B1037" s="158" t="s">
        <v>8</v>
      </c>
      <c r="C1037" s="158" t="s">
        <f>"贺丽芳"</f>
        <v>1962</v>
      </c>
      <c r="D1037" s="158" t="s">
        <f>"15010113515"</f>
        <v>1963</v>
      </c>
      <c r="E1037" s="158">
        <v>55.41</v>
      </c>
      <c r="F1037" s="158"/>
      <c r="G1037" s="158">
        <v>55.41</v>
      </c>
    </row>
    <row r="1038" spans="1:7" ht="32.999496" customHeight="1" x14ac:dyDescent="0.15">
      <c r="A1038" s="158">
        <v>1036.0</v>
      </c>
      <c r="B1038" s="158" t="s">
        <v>8</v>
      </c>
      <c r="C1038" s="158" t="s">
        <f>"张帅军"</f>
        <v>1964</v>
      </c>
      <c r="D1038" s="158" t="s">
        <f>"15010113516"</f>
        <v>1965</v>
      </c>
      <c r="E1038" s="158">
        <v>48.39</v>
      </c>
      <c r="F1038" s="158"/>
      <c r="G1038" s="158">
        <v>48.39</v>
      </c>
    </row>
    <row r="1039" spans="1:7" ht="32.999496" customHeight="1" x14ac:dyDescent="0.15">
      <c r="A1039" s="158">
        <v>1037.0</v>
      </c>
      <c r="B1039" s="158" t="s">
        <v>8</v>
      </c>
      <c r="C1039" s="158" t="s">
        <f>"裴瑞霞"</f>
        <v>1966</v>
      </c>
      <c r="D1039" s="158" t="s">
        <f>"15010113517"</f>
        <v>1967</v>
      </c>
      <c r="E1039" s="158" t="s">
        <v>15</v>
      </c>
      <c r="F1039" s="158"/>
      <c r="G1039" s="158" t="s">
        <v>15</v>
      </c>
    </row>
    <row r="1040" spans="1:7" ht="32.999496" customHeight="1" x14ac:dyDescent="0.15">
      <c r="A1040" s="158">
        <v>1038.0</v>
      </c>
      <c r="B1040" s="158" t="s">
        <v>8</v>
      </c>
      <c r="C1040" s="158" t="s">
        <f>"刘起帆"</f>
        <v>1968</v>
      </c>
      <c r="D1040" s="158" t="s">
        <f>"15010113518"</f>
        <v>1969</v>
      </c>
      <c r="E1040" s="158" t="s">
        <v>15</v>
      </c>
      <c r="F1040" s="158"/>
      <c r="G1040" s="158" t="s">
        <v>15</v>
      </c>
    </row>
    <row r="1041" spans="1:7" ht="32.999496" customHeight="1" x14ac:dyDescent="0.15">
      <c r="A1041" s="158">
        <v>1039.0</v>
      </c>
      <c r="B1041" s="158" t="s">
        <v>8</v>
      </c>
      <c r="C1041" s="158" t="s">
        <f>"丁乐"</f>
        <v>1970</v>
      </c>
      <c r="D1041" s="158" t="s">
        <f>"15010113519"</f>
        <v>1971</v>
      </c>
      <c r="E1041" s="158" t="s">
        <v>15</v>
      </c>
      <c r="F1041" s="158"/>
      <c r="G1041" s="158" t="s">
        <v>15</v>
      </c>
    </row>
    <row r="1042" spans="1:7" ht="32.999496" customHeight="1" x14ac:dyDescent="0.15">
      <c r="A1042" s="158">
        <v>1040.0</v>
      </c>
      <c r="B1042" s="158" t="s">
        <v>8</v>
      </c>
      <c r="C1042" s="158" t="s">
        <f>"李科"</f>
        <v>1972</v>
      </c>
      <c r="D1042" s="158" t="s">
        <f>"15010113520"</f>
        <v>1973</v>
      </c>
      <c r="E1042" s="158">
        <v>57.85</v>
      </c>
      <c r="F1042" s="158"/>
      <c r="G1042" s="158">
        <v>57.85</v>
      </c>
    </row>
    <row r="1043" spans="1:7" ht="32.999496" customHeight="1" x14ac:dyDescent="0.15">
      <c r="A1043" s="158">
        <v>1041.0</v>
      </c>
      <c r="B1043" s="158" t="s">
        <v>8</v>
      </c>
      <c r="C1043" s="158" t="s">
        <f>"刘慧"</f>
        <v>430</v>
      </c>
      <c r="D1043" s="158" t="s">
        <f>"15010113521"</f>
        <v>1974</v>
      </c>
      <c r="E1043" s="158">
        <v>57.31</v>
      </c>
      <c r="F1043" s="158"/>
      <c r="G1043" s="158">
        <v>57.31</v>
      </c>
    </row>
    <row r="1044" spans="1:7" ht="32.999496" customHeight="1" x14ac:dyDescent="0.15">
      <c r="A1044" s="158">
        <v>1042.0</v>
      </c>
      <c r="B1044" s="158" t="s">
        <v>8</v>
      </c>
      <c r="C1044" s="158" t="s">
        <f>"乔丹"</f>
        <v>1975</v>
      </c>
      <c r="D1044" s="158" t="s">
        <f>"15010113522"</f>
        <v>1976</v>
      </c>
      <c r="E1044" s="158">
        <v>53.11</v>
      </c>
      <c r="F1044" s="158"/>
      <c r="G1044" s="158">
        <v>53.11</v>
      </c>
    </row>
    <row r="1045" spans="1:7" ht="32.999496" customHeight="1" x14ac:dyDescent="0.15">
      <c r="A1045" s="158">
        <v>1043.0</v>
      </c>
      <c r="B1045" s="158" t="s">
        <v>8</v>
      </c>
      <c r="C1045" s="158" t="s">
        <f>"赵廷玉"</f>
        <v>1977</v>
      </c>
      <c r="D1045" s="158" t="s">
        <f>"15010113523"</f>
        <v>1978</v>
      </c>
      <c r="E1045" s="158" t="s">
        <v>15</v>
      </c>
      <c r="F1045" s="158"/>
      <c r="G1045" s="158" t="s">
        <v>15</v>
      </c>
    </row>
    <row r="1046" spans="1:7" ht="32.999496" customHeight="1" x14ac:dyDescent="0.15">
      <c r="A1046" s="158">
        <v>1044.0</v>
      </c>
      <c r="B1046" s="158" t="s">
        <v>8</v>
      </c>
      <c r="C1046" s="158" t="s">
        <f>"康惠"</f>
        <v>1979</v>
      </c>
      <c r="D1046" s="158" t="s">
        <f>"15010113524"</f>
        <v>1980</v>
      </c>
      <c r="E1046" s="158" t="s">
        <v>15</v>
      </c>
      <c r="F1046" s="158"/>
      <c r="G1046" s="158" t="s">
        <v>15</v>
      </c>
    </row>
    <row r="1047" spans="1:7" ht="32.999496" customHeight="1" x14ac:dyDescent="0.15">
      <c r="A1047" s="158">
        <v>1045.0</v>
      </c>
      <c r="B1047" s="158" t="s">
        <v>8</v>
      </c>
      <c r="C1047" s="158" t="s">
        <f>"乌日娜"</f>
        <v>1981</v>
      </c>
      <c r="D1047" s="158" t="s">
        <f>"15010113525"</f>
        <v>1982</v>
      </c>
      <c r="E1047" s="158">
        <v>55.32</v>
      </c>
      <c r="F1047" s="158">
        <v>2.5</v>
      </c>
      <c r="G1047" s="158">
        <v>57.82</v>
      </c>
    </row>
    <row r="1048" spans="1:7" ht="32.999496" customHeight="1" x14ac:dyDescent="0.15">
      <c r="A1048" s="158">
        <v>1046.0</v>
      </c>
      <c r="B1048" s="158" t="s">
        <v>8</v>
      </c>
      <c r="C1048" s="158" t="s">
        <f>"郭娜"</f>
        <v>619</v>
      </c>
      <c r="D1048" s="158" t="s">
        <f>"15010113526"</f>
        <v>1983</v>
      </c>
      <c r="E1048" s="158" t="s">
        <v>15</v>
      </c>
      <c r="F1048" s="158"/>
      <c r="G1048" s="158" t="s">
        <v>15</v>
      </c>
    </row>
    <row r="1049" spans="1:7" ht="32.999496" customHeight="1" x14ac:dyDescent="0.15">
      <c r="A1049" s="158">
        <v>1047.0</v>
      </c>
      <c r="B1049" s="158" t="s">
        <v>8</v>
      </c>
      <c r="C1049" s="158" t="s">
        <f>"苗东宁"</f>
        <v>1984</v>
      </c>
      <c r="D1049" s="158" t="s">
        <f>"15010113527"</f>
        <v>1985</v>
      </c>
      <c r="E1049" s="158" t="s">
        <v>15</v>
      </c>
      <c r="F1049" s="158"/>
      <c r="G1049" s="158" t="s">
        <v>15</v>
      </c>
    </row>
    <row r="1050" spans="1:7" ht="32.999496" customHeight="1" x14ac:dyDescent="0.15">
      <c r="A1050" s="158">
        <v>1048.0</v>
      </c>
      <c r="B1050" s="158" t="s">
        <v>8</v>
      </c>
      <c r="C1050" s="158" t="s">
        <f>"杨晓艳"</f>
        <v>1986</v>
      </c>
      <c r="D1050" s="158" t="s">
        <f>"15010113528"</f>
        <v>1987</v>
      </c>
      <c r="E1050" s="158" t="s">
        <v>15</v>
      </c>
      <c r="F1050" s="158"/>
      <c r="G1050" s="158" t="s">
        <v>15</v>
      </c>
    </row>
    <row r="1051" spans="1:7" ht="32.999496" customHeight="1" x14ac:dyDescent="0.15">
      <c r="A1051" s="158">
        <v>1049.0</v>
      </c>
      <c r="B1051" s="158" t="s">
        <v>8</v>
      </c>
      <c r="C1051" s="158" t="s">
        <f>"郑强强"</f>
        <v>1988</v>
      </c>
      <c r="D1051" s="158" t="s">
        <f>"15010113529"</f>
        <v>1989</v>
      </c>
      <c r="E1051" s="158">
        <v>38.510000000000005</v>
      </c>
      <c r="F1051" s="158"/>
      <c r="G1051" s="158">
        <v>38.510000000000005</v>
      </c>
    </row>
    <row r="1052" spans="1:7" ht="32.999496" customHeight="1" x14ac:dyDescent="0.15">
      <c r="A1052" s="158">
        <v>1050.0</v>
      </c>
      <c r="B1052" s="158" t="s">
        <v>8</v>
      </c>
      <c r="C1052" s="158" t="s">
        <f>"狄旭"</f>
        <v>1990</v>
      </c>
      <c r="D1052" s="158" t="s">
        <f>"15010113530"</f>
        <v>1991</v>
      </c>
      <c r="E1052" s="158">
        <v>63</v>
      </c>
      <c r="F1052" s="158"/>
      <c r="G1052" s="158">
        <v>63</v>
      </c>
    </row>
    <row r="1053" spans="1:7" ht="32.999496" customHeight="1" x14ac:dyDescent="0.15">
      <c r="A1053" s="158">
        <v>1051.0</v>
      </c>
      <c r="B1053" s="158" t="s">
        <v>8</v>
      </c>
      <c r="C1053" s="158" t="s">
        <f>"梁慧"</f>
        <v>1992</v>
      </c>
      <c r="D1053" s="158" t="s">
        <f>"15010113601"</f>
        <v>1993</v>
      </c>
      <c r="E1053" s="158">
        <v>59.19</v>
      </c>
      <c r="F1053" s="158"/>
      <c r="G1053" s="158">
        <v>59.19</v>
      </c>
    </row>
    <row r="1054" spans="1:7" ht="32.999496" customHeight="1" x14ac:dyDescent="0.15">
      <c r="A1054" s="158">
        <v>1052.0</v>
      </c>
      <c r="B1054" s="158" t="s">
        <v>8</v>
      </c>
      <c r="C1054" s="158" t="s">
        <f>"高慧"</f>
        <v>84</v>
      </c>
      <c r="D1054" s="158" t="s">
        <f>"15010113602"</f>
        <v>1994</v>
      </c>
      <c r="E1054" s="158" t="s">
        <v>15</v>
      </c>
      <c r="F1054" s="158"/>
      <c r="G1054" s="158" t="s">
        <v>15</v>
      </c>
    </row>
    <row r="1055" spans="1:7" ht="32.999496" customHeight="1" x14ac:dyDescent="0.15">
      <c r="A1055" s="158">
        <v>1053.0</v>
      </c>
      <c r="B1055" s="158" t="s">
        <v>8</v>
      </c>
      <c r="C1055" s="158" t="s">
        <f>"庞静"</f>
        <v>1995</v>
      </c>
      <c r="D1055" s="158" t="s">
        <f>"15010113603"</f>
        <v>1996</v>
      </c>
      <c r="E1055" s="158" t="s">
        <v>15</v>
      </c>
      <c r="F1055" s="158"/>
      <c r="G1055" s="158" t="s">
        <v>15</v>
      </c>
    </row>
    <row r="1056" spans="1:7" ht="32.999496" customHeight="1" x14ac:dyDescent="0.15">
      <c r="A1056" s="158">
        <v>1054.0</v>
      </c>
      <c r="B1056" s="158" t="s">
        <v>8</v>
      </c>
      <c r="C1056" s="158" t="s">
        <f>"高林帅"</f>
        <v>1997</v>
      </c>
      <c r="D1056" s="158" t="s">
        <f>"15010113604"</f>
        <v>1998</v>
      </c>
      <c r="E1056" s="158">
        <v>64.77000000000001</v>
      </c>
      <c r="F1056" s="158"/>
      <c r="G1056" s="158">
        <v>64.77000000000001</v>
      </c>
    </row>
    <row r="1057" spans="1:7" ht="32.999496" customHeight="1" x14ac:dyDescent="0.15">
      <c r="A1057" s="158">
        <v>1055.0</v>
      </c>
      <c r="B1057" s="158" t="s">
        <v>8</v>
      </c>
      <c r="C1057" s="158" t="s">
        <f>"王富聪"</f>
        <v>1999</v>
      </c>
      <c r="D1057" s="158" t="s">
        <f>"15010113605"</f>
        <v>2000</v>
      </c>
      <c r="E1057" s="158">
        <v>51.54</v>
      </c>
      <c r="F1057" s="158"/>
      <c r="G1057" s="158">
        <v>51.54</v>
      </c>
    </row>
    <row r="1058" spans="1:7" ht="32.999496" customHeight="1" x14ac:dyDescent="0.15">
      <c r="A1058" s="158">
        <v>1056.0</v>
      </c>
      <c r="B1058" s="158" t="s">
        <v>8</v>
      </c>
      <c r="C1058" s="158" t="s">
        <f>"刘洁"</f>
        <v>191</v>
      </c>
      <c r="D1058" s="158" t="s">
        <f>"15010113606"</f>
        <v>2001</v>
      </c>
      <c r="E1058" s="158" t="s">
        <v>15</v>
      </c>
      <c r="F1058" s="158"/>
      <c r="G1058" s="158" t="s">
        <v>15</v>
      </c>
    </row>
    <row r="1059" spans="1:7" ht="32.999496" customHeight="1" x14ac:dyDescent="0.15">
      <c r="A1059" s="158">
        <v>1057.0</v>
      </c>
      <c r="B1059" s="158" t="s">
        <v>8</v>
      </c>
      <c r="C1059" s="158" t="s">
        <f>"李伟"</f>
        <v>1291</v>
      </c>
      <c r="D1059" s="158" t="s">
        <f>"15010113607"</f>
        <v>2002</v>
      </c>
      <c r="E1059" s="158" t="s">
        <v>15</v>
      </c>
      <c r="F1059" s="158"/>
      <c r="G1059" s="158" t="s">
        <v>15</v>
      </c>
    </row>
    <row r="1060" spans="1:7" ht="32.999496" customHeight="1" x14ac:dyDescent="0.15">
      <c r="A1060" s="158">
        <v>1058.0</v>
      </c>
      <c r="B1060" s="158" t="s">
        <v>8</v>
      </c>
      <c r="C1060" s="158" t="s">
        <f>"高慧"</f>
        <v>84</v>
      </c>
      <c r="D1060" s="158" t="s">
        <f>"15010113608"</f>
        <v>2003</v>
      </c>
      <c r="E1060" s="158">
        <v>57.16</v>
      </c>
      <c r="F1060" s="158"/>
      <c r="G1060" s="158">
        <v>57.16</v>
      </c>
    </row>
    <row r="1061" spans="1:7" ht="32.999496" customHeight="1" x14ac:dyDescent="0.15">
      <c r="A1061" s="158">
        <v>1059.0</v>
      </c>
      <c r="B1061" s="158" t="s">
        <v>8</v>
      </c>
      <c r="C1061" s="158" t="s">
        <f>"张艳"</f>
        <v>199</v>
      </c>
      <c r="D1061" s="158" t="s">
        <f>"15010113609"</f>
        <v>2004</v>
      </c>
      <c r="E1061" s="158">
        <v>63.81</v>
      </c>
      <c r="F1061" s="158"/>
      <c r="G1061" s="158">
        <v>63.81</v>
      </c>
    </row>
    <row r="1062" spans="1:7" ht="32.999496" customHeight="1" x14ac:dyDescent="0.15">
      <c r="A1062" s="158">
        <v>1060.0</v>
      </c>
      <c r="B1062" s="158" t="s">
        <v>8</v>
      </c>
      <c r="C1062" s="158" t="s">
        <f>"樊嘉宁"</f>
        <v>2005</v>
      </c>
      <c r="D1062" s="158" t="s">
        <f>"15010113610"</f>
        <v>2006</v>
      </c>
      <c r="E1062" s="158" t="s">
        <v>15</v>
      </c>
      <c r="F1062" s="158"/>
      <c r="G1062" s="158" t="s">
        <v>15</v>
      </c>
    </row>
    <row r="1063" spans="1:7" ht="32.999496" customHeight="1" x14ac:dyDescent="0.15">
      <c r="A1063" s="158">
        <v>1061.0</v>
      </c>
      <c r="B1063" s="158" t="s">
        <v>8</v>
      </c>
      <c r="C1063" s="158" t="s">
        <f>"祁新原"</f>
        <v>2007</v>
      </c>
      <c r="D1063" s="158" t="s">
        <f>"15010113611"</f>
        <v>2008</v>
      </c>
      <c r="E1063" s="158" t="s">
        <v>15</v>
      </c>
      <c r="F1063" s="158"/>
      <c r="G1063" s="158" t="s">
        <v>15</v>
      </c>
    </row>
    <row r="1064" spans="1:7" ht="32.999496" customHeight="1" x14ac:dyDescent="0.15">
      <c r="A1064" s="158">
        <v>1062.0</v>
      </c>
      <c r="B1064" s="158" t="s">
        <v>8</v>
      </c>
      <c r="C1064" s="158" t="s">
        <f>"高永霞"</f>
        <v>2009</v>
      </c>
      <c r="D1064" s="158" t="s">
        <f>"15010113612"</f>
        <v>2010</v>
      </c>
      <c r="E1064" s="158">
        <v>55.95</v>
      </c>
      <c r="F1064" s="158"/>
      <c r="G1064" s="158">
        <v>55.95</v>
      </c>
    </row>
    <row r="1065" spans="1:7" ht="32.999496" customHeight="1" x14ac:dyDescent="0.15">
      <c r="A1065" s="158">
        <v>1063.0</v>
      </c>
      <c r="B1065" s="158" t="s">
        <v>8</v>
      </c>
      <c r="C1065" s="158" t="s">
        <f>"崔喆"</f>
        <v>2011</v>
      </c>
      <c r="D1065" s="158" t="s">
        <f>"15010113613"</f>
        <v>2012</v>
      </c>
      <c r="E1065" s="158" t="s">
        <v>15</v>
      </c>
      <c r="F1065" s="158"/>
      <c r="G1065" s="158" t="s">
        <v>15</v>
      </c>
    </row>
    <row r="1066" spans="1:7" ht="32.999496" customHeight="1" x14ac:dyDescent="0.15">
      <c r="A1066" s="158">
        <v>1064.0</v>
      </c>
      <c r="B1066" s="158" t="s">
        <v>8</v>
      </c>
      <c r="C1066" s="158" t="s">
        <f>"张正宜"</f>
        <v>2013</v>
      </c>
      <c r="D1066" s="158" t="s">
        <f>"15010113614"</f>
        <v>2014</v>
      </c>
      <c r="E1066" s="158" t="s">
        <v>15</v>
      </c>
      <c r="F1066" s="158"/>
      <c r="G1066" s="158" t="s">
        <v>15</v>
      </c>
    </row>
    <row r="1067" spans="1:7" ht="32.999496" customHeight="1" x14ac:dyDescent="0.15">
      <c r="A1067" s="158">
        <v>1065.0</v>
      </c>
      <c r="B1067" s="158" t="s">
        <v>8</v>
      </c>
      <c r="C1067" s="158" t="s">
        <f>"高嘉悦"</f>
        <v>2015</v>
      </c>
      <c r="D1067" s="158" t="s">
        <f>"15010113615"</f>
        <v>2016</v>
      </c>
      <c r="E1067" s="158">
        <v>61.86</v>
      </c>
      <c r="F1067" s="158"/>
      <c r="G1067" s="158">
        <v>61.86</v>
      </c>
    </row>
    <row r="1068" spans="1:7" ht="32.999496" customHeight="1" x14ac:dyDescent="0.15">
      <c r="A1068" s="158">
        <v>1066.0</v>
      </c>
      <c r="B1068" s="158" t="s">
        <v>8</v>
      </c>
      <c r="C1068" s="158" t="s">
        <f>"张帅"</f>
        <v>90</v>
      </c>
      <c r="D1068" s="158" t="s">
        <f>"15010113616"</f>
        <v>2017</v>
      </c>
      <c r="E1068" s="158" t="s">
        <v>15</v>
      </c>
      <c r="F1068" s="158"/>
      <c r="G1068" s="158" t="s">
        <v>15</v>
      </c>
    </row>
    <row r="1069" spans="1:7" ht="32.999496" customHeight="1" x14ac:dyDescent="0.15">
      <c r="A1069" s="158">
        <v>1067.0</v>
      </c>
      <c r="B1069" s="158" t="s">
        <v>8</v>
      </c>
      <c r="C1069" s="158" t="s">
        <f>"牛舒冉"</f>
        <v>2018</v>
      </c>
      <c r="D1069" s="158" t="s">
        <f>"15010113617"</f>
        <v>2019</v>
      </c>
      <c r="E1069" s="158" t="s">
        <v>15</v>
      </c>
      <c r="F1069" s="158"/>
      <c r="G1069" s="158" t="s">
        <v>15</v>
      </c>
    </row>
    <row r="1070" spans="1:7" ht="32.999496" customHeight="1" x14ac:dyDescent="0.15">
      <c r="A1070" s="158">
        <v>1068.0</v>
      </c>
      <c r="B1070" s="158" t="s">
        <v>8</v>
      </c>
      <c r="C1070" s="158" t="s">
        <f>"王元"</f>
        <v>2020</v>
      </c>
      <c r="D1070" s="158" t="s">
        <f>"15010113618"</f>
        <v>2021</v>
      </c>
      <c r="E1070" s="158">
        <v>56.52</v>
      </c>
      <c r="F1070" s="158"/>
      <c r="G1070" s="158">
        <v>56.52</v>
      </c>
    </row>
    <row r="1071" spans="1:7" ht="32.999496" customHeight="1" x14ac:dyDescent="0.15">
      <c r="A1071" s="158">
        <v>1069.0</v>
      </c>
      <c r="B1071" s="158" t="s">
        <v>8</v>
      </c>
      <c r="C1071" s="158" t="s">
        <f>"杨静雯"</f>
        <v>2022</v>
      </c>
      <c r="D1071" s="158" t="s">
        <f>"15010113619"</f>
        <v>2023</v>
      </c>
      <c r="E1071" s="158" t="s">
        <v>15</v>
      </c>
      <c r="F1071" s="158"/>
      <c r="G1071" s="158" t="s">
        <v>15</v>
      </c>
    </row>
    <row r="1072" spans="1:7" ht="32.999496" customHeight="1" x14ac:dyDescent="0.15">
      <c r="A1072" s="158">
        <v>1070.0</v>
      </c>
      <c r="B1072" s="158" t="s">
        <v>8</v>
      </c>
      <c r="C1072" s="158" t="s">
        <f>"胡玉文"</f>
        <v>2024</v>
      </c>
      <c r="D1072" s="158" t="s">
        <f>"15010113620"</f>
        <v>2025</v>
      </c>
      <c r="E1072" s="158">
        <v>54.81</v>
      </c>
      <c r="F1072" s="158">
        <v>2.5</v>
      </c>
      <c r="G1072" s="158">
        <v>57.31</v>
      </c>
    </row>
    <row r="1073" spans="1:7" ht="32.999496" customHeight="1" x14ac:dyDescent="0.15">
      <c r="A1073" s="158">
        <v>1071.0</v>
      </c>
      <c r="B1073" s="158" t="s">
        <v>8</v>
      </c>
      <c r="C1073" s="158" t="s">
        <f>"邱霞"</f>
        <v>2026</v>
      </c>
      <c r="D1073" s="158" t="s">
        <f>"15010113621"</f>
        <v>2027</v>
      </c>
      <c r="E1073" s="158" t="s">
        <v>15</v>
      </c>
      <c r="F1073" s="158"/>
      <c r="G1073" s="158" t="s">
        <v>15</v>
      </c>
    </row>
    <row r="1074" spans="1:7" ht="32.999496" customHeight="1" x14ac:dyDescent="0.15">
      <c r="A1074" s="158">
        <v>1072.0</v>
      </c>
      <c r="B1074" s="158" t="s">
        <v>8</v>
      </c>
      <c r="C1074" s="158" t="s">
        <f>"武慧"</f>
        <v>2028</v>
      </c>
      <c r="D1074" s="158" t="s">
        <f>"15010113622"</f>
        <v>2029</v>
      </c>
      <c r="E1074" s="158">
        <v>42.129999999999995</v>
      </c>
      <c r="F1074" s="158"/>
      <c r="G1074" s="158">
        <v>42.129999999999995</v>
      </c>
    </row>
    <row r="1075" spans="1:7" ht="32.999496" customHeight="1" x14ac:dyDescent="0.15">
      <c r="A1075" s="158">
        <v>1073.0</v>
      </c>
      <c r="B1075" s="158" t="s">
        <v>8</v>
      </c>
      <c r="C1075" s="158" t="s">
        <f>"文倩"</f>
        <v>2030</v>
      </c>
      <c r="D1075" s="158" t="s">
        <f>"15010113623"</f>
        <v>2031</v>
      </c>
      <c r="E1075" s="158" t="s">
        <v>15</v>
      </c>
      <c r="F1075" s="158"/>
      <c r="G1075" s="158" t="s">
        <v>15</v>
      </c>
    </row>
    <row r="1076" spans="1:7" ht="32.999496" customHeight="1" x14ac:dyDescent="0.15">
      <c r="A1076" s="158">
        <v>1074.0</v>
      </c>
      <c r="B1076" s="158" t="s">
        <v>8</v>
      </c>
      <c r="C1076" s="158" t="s">
        <f>"王婷"</f>
        <v>2032</v>
      </c>
      <c r="D1076" s="158" t="s">
        <f>"15010113624"</f>
        <v>2033</v>
      </c>
      <c r="E1076" s="158" t="s">
        <v>15</v>
      </c>
      <c r="F1076" s="158"/>
      <c r="G1076" s="158" t="s">
        <v>15</v>
      </c>
    </row>
    <row r="1077" spans="1:7" ht="32.999496" customHeight="1" x14ac:dyDescent="0.15">
      <c r="A1077" s="158">
        <v>1075.0</v>
      </c>
      <c r="B1077" s="158" t="s">
        <v>8</v>
      </c>
      <c r="C1077" s="158" t="s">
        <f>"何敏"</f>
        <v>2034</v>
      </c>
      <c r="D1077" s="158" t="s">
        <f>"15010113625"</f>
        <v>2035</v>
      </c>
      <c r="E1077" s="158">
        <v>67.75999999999999</v>
      </c>
      <c r="F1077" s="158"/>
      <c r="G1077" s="158">
        <v>67.75999999999999</v>
      </c>
    </row>
    <row r="1078" spans="1:7" ht="32.999496" customHeight="1" x14ac:dyDescent="0.15">
      <c r="A1078" s="158">
        <v>1076.0</v>
      </c>
      <c r="B1078" s="158" t="s">
        <v>8</v>
      </c>
      <c r="C1078" s="158" t="s">
        <f>"南丁"</f>
        <v>2036</v>
      </c>
      <c r="D1078" s="158" t="s">
        <f>"15010113626"</f>
        <v>2037</v>
      </c>
      <c r="E1078" s="158">
        <v>63.57</v>
      </c>
      <c r="F1078" s="158">
        <v>2.5</v>
      </c>
      <c r="G1078" s="158">
        <v>66.07</v>
      </c>
    </row>
    <row r="1079" spans="1:7" ht="32.999496" customHeight="1" x14ac:dyDescent="0.15">
      <c r="A1079" s="158">
        <v>1077.0</v>
      </c>
      <c r="B1079" s="158" t="s">
        <v>8</v>
      </c>
      <c r="C1079" s="158" t="s">
        <f>"高涛"</f>
        <v>937</v>
      </c>
      <c r="D1079" s="158" t="s">
        <f>"15010113627"</f>
        <v>2038</v>
      </c>
      <c r="E1079" s="158">
        <v>49.480000000000004</v>
      </c>
      <c r="F1079" s="158"/>
      <c r="G1079" s="158">
        <v>49.480000000000004</v>
      </c>
    </row>
    <row r="1080" spans="1:7" ht="32.999496" customHeight="1" x14ac:dyDescent="0.15">
      <c r="A1080" s="158">
        <v>1078.0</v>
      </c>
      <c r="B1080" s="158" t="s">
        <v>8</v>
      </c>
      <c r="C1080" s="158" t="s">
        <f>"冯雪岩"</f>
        <v>2039</v>
      </c>
      <c r="D1080" s="158" t="s">
        <f>"15010113628"</f>
        <v>2040</v>
      </c>
      <c r="E1080" s="158">
        <v>61.23</v>
      </c>
      <c r="F1080" s="158"/>
      <c r="G1080" s="158">
        <v>61.23</v>
      </c>
    </row>
    <row r="1081" spans="1:7" ht="32.999496" customHeight="1" x14ac:dyDescent="0.15">
      <c r="A1081" s="158">
        <v>1079.0</v>
      </c>
      <c r="B1081" s="158" t="s">
        <v>8</v>
      </c>
      <c r="C1081" s="158" t="s">
        <f>"吴兴宇"</f>
        <v>2041</v>
      </c>
      <c r="D1081" s="158" t="s">
        <f>"15010113629"</f>
        <v>2042</v>
      </c>
      <c r="E1081" s="158">
        <v>61.87</v>
      </c>
      <c r="F1081" s="158"/>
      <c r="G1081" s="158">
        <v>61.87</v>
      </c>
    </row>
    <row r="1082" spans="1:7" ht="32.999496" customHeight="1" x14ac:dyDescent="0.15">
      <c r="A1082" s="158">
        <v>1080.0</v>
      </c>
      <c r="B1082" s="158" t="s">
        <v>8</v>
      </c>
      <c r="C1082" s="158" t="s">
        <f>"崔丽沙"</f>
        <v>2043</v>
      </c>
      <c r="D1082" s="158" t="s">
        <f>"15010113630"</f>
        <v>2044</v>
      </c>
      <c r="E1082" s="158">
        <v>44.34</v>
      </c>
      <c r="F1082" s="158"/>
      <c r="G1082" s="158">
        <v>44.34</v>
      </c>
    </row>
    <row r="1083" spans="1:7" ht="32.999496" customHeight="1" x14ac:dyDescent="0.15">
      <c r="A1083" s="158">
        <v>1081.0</v>
      </c>
      <c r="B1083" s="158" t="s">
        <v>8</v>
      </c>
      <c r="C1083" s="158" t="s">
        <f>"尹富强"</f>
        <v>2045</v>
      </c>
      <c r="D1083" s="158" t="s">
        <f>"15010113701"</f>
        <v>2046</v>
      </c>
      <c r="E1083" s="158">
        <v>45.47</v>
      </c>
      <c r="F1083" s="158"/>
      <c r="G1083" s="158">
        <v>45.47</v>
      </c>
    </row>
    <row r="1084" spans="1:7" ht="32.999496" customHeight="1" x14ac:dyDescent="0.15">
      <c r="A1084" s="158">
        <v>1082.0</v>
      </c>
      <c r="B1084" s="158" t="s">
        <v>8</v>
      </c>
      <c r="C1084" s="158" t="s">
        <f>"邱宇"</f>
        <v>2047</v>
      </c>
      <c r="D1084" s="158" t="s">
        <f>"15010113702"</f>
        <v>2048</v>
      </c>
      <c r="E1084" s="158">
        <v>65.14</v>
      </c>
      <c r="F1084" s="158"/>
      <c r="G1084" s="158">
        <v>65.14</v>
      </c>
    </row>
    <row r="1085" spans="1:7" ht="32.999496" customHeight="1" x14ac:dyDescent="0.15">
      <c r="A1085" s="158">
        <v>1083.0</v>
      </c>
      <c r="B1085" s="158" t="s">
        <v>8</v>
      </c>
      <c r="C1085" s="158" t="s">
        <f>"祁雅星"</f>
        <v>2049</v>
      </c>
      <c r="D1085" s="158" t="s">
        <f>"15010113703"</f>
        <v>2050</v>
      </c>
      <c r="E1085" s="158" t="s">
        <v>15</v>
      </c>
      <c r="F1085" s="158">
        <v>2.5</v>
      </c>
      <c r="G1085" s="158" t="s">
        <v>15</v>
      </c>
    </row>
    <row r="1086" spans="1:7" ht="32.999496" customHeight="1" x14ac:dyDescent="0.15">
      <c r="A1086" s="158">
        <v>1084.0</v>
      </c>
      <c r="B1086" s="158" t="s">
        <v>8</v>
      </c>
      <c r="C1086" s="158" t="s">
        <f>"白燕"</f>
        <v>2051</v>
      </c>
      <c r="D1086" s="158" t="s">
        <f>"15010113704"</f>
        <v>2052</v>
      </c>
      <c r="E1086" s="158">
        <v>57.24</v>
      </c>
      <c r="F1086" s="158"/>
      <c r="G1086" s="158">
        <v>57.24</v>
      </c>
    </row>
    <row r="1087" spans="1:7" ht="32.999496" customHeight="1" x14ac:dyDescent="0.15">
      <c r="A1087" s="158">
        <v>1085.0</v>
      </c>
      <c r="B1087" s="158" t="s">
        <v>8</v>
      </c>
      <c r="C1087" s="158" t="s">
        <f>"奥丹"</f>
        <v>2053</v>
      </c>
      <c r="D1087" s="158" t="s">
        <f>"15010113705"</f>
        <v>2054</v>
      </c>
      <c r="E1087" s="158">
        <v>62.55</v>
      </c>
      <c r="F1087" s="158"/>
      <c r="G1087" s="158">
        <v>62.55</v>
      </c>
    </row>
    <row r="1088" spans="1:7" ht="32.999496" customHeight="1" x14ac:dyDescent="0.15">
      <c r="A1088" s="158">
        <v>1086.0</v>
      </c>
      <c r="B1088" s="158" t="s">
        <v>8</v>
      </c>
      <c r="C1088" s="158" t="s">
        <f>"张乔"</f>
        <v>2055</v>
      </c>
      <c r="D1088" s="158" t="s">
        <f>"15010113706"</f>
        <v>2056</v>
      </c>
      <c r="E1088" s="158">
        <v>63.14</v>
      </c>
      <c r="F1088" s="158"/>
      <c r="G1088" s="158">
        <v>63.14</v>
      </c>
    </row>
    <row r="1089" spans="1:7" ht="32.999496" customHeight="1" x14ac:dyDescent="0.15">
      <c r="A1089" s="158">
        <v>1087.0</v>
      </c>
      <c r="B1089" s="158" t="s">
        <v>8</v>
      </c>
      <c r="C1089" s="158" t="s">
        <f>"郭效玥"</f>
        <v>2057</v>
      </c>
      <c r="D1089" s="158" t="s">
        <f>"15010113707"</f>
        <v>2058</v>
      </c>
      <c r="E1089" s="158">
        <v>53.68</v>
      </c>
      <c r="F1089" s="158"/>
      <c r="G1089" s="158">
        <v>53.68</v>
      </c>
    </row>
    <row r="1090" spans="1:7" ht="32.999496" customHeight="1" x14ac:dyDescent="0.15">
      <c r="A1090" s="158">
        <v>1088.0</v>
      </c>
      <c r="B1090" s="158" t="s">
        <v>8</v>
      </c>
      <c r="C1090" s="158" t="s">
        <f>"刘璐"</f>
        <v>2059</v>
      </c>
      <c r="D1090" s="158" t="s">
        <f>"15010113708"</f>
        <v>2060</v>
      </c>
      <c r="E1090" s="158">
        <v>68.78</v>
      </c>
      <c r="F1090" s="158"/>
      <c r="G1090" s="158">
        <v>68.78</v>
      </c>
    </row>
    <row r="1091" spans="1:7" ht="32.999496" customHeight="1" x14ac:dyDescent="0.15">
      <c r="A1091" s="158">
        <v>1089.0</v>
      </c>
      <c r="B1091" s="158" t="s">
        <v>8</v>
      </c>
      <c r="C1091" s="158" t="s">
        <f>"刘鑫源"</f>
        <v>2061</v>
      </c>
      <c r="D1091" s="158" t="s">
        <f>"15010113709"</f>
        <v>2062</v>
      </c>
      <c r="E1091" s="158" t="s">
        <v>15</v>
      </c>
      <c r="F1091" s="158"/>
      <c r="G1091" s="158" t="s">
        <v>15</v>
      </c>
    </row>
    <row r="1092" spans="1:7" ht="32.999496" customHeight="1" x14ac:dyDescent="0.15">
      <c r="A1092" s="158">
        <v>1090.0</v>
      </c>
      <c r="B1092" s="158" t="s">
        <v>8</v>
      </c>
      <c r="C1092" s="158" t="s">
        <f>"张舒婷"</f>
        <v>2063</v>
      </c>
      <c r="D1092" s="158" t="s">
        <f>"15010113710"</f>
        <v>2064</v>
      </c>
      <c r="E1092" s="158">
        <v>49.69</v>
      </c>
      <c r="F1092" s="158"/>
      <c r="G1092" s="158">
        <v>49.69</v>
      </c>
    </row>
    <row r="1093" spans="1:7" ht="32.999496" customHeight="1" x14ac:dyDescent="0.15">
      <c r="A1093" s="158">
        <v>1091.0</v>
      </c>
      <c r="B1093" s="158" t="s">
        <v>8</v>
      </c>
      <c r="C1093" s="158" t="s">
        <f>"王世红"</f>
        <v>2065</v>
      </c>
      <c r="D1093" s="158" t="s">
        <f>"15010113711"</f>
        <v>2066</v>
      </c>
      <c r="E1093" s="158" t="s">
        <v>15</v>
      </c>
      <c r="F1093" s="158"/>
      <c r="G1093" s="158" t="s">
        <v>15</v>
      </c>
    </row>
    <row r="1094" spans="1:7" ht="32.999496" customHeight="1" x14ac:dyDescent="0.15">
      <c r="A1094" s="158">
        <v>1092.0</v>
      </c>
      <c r="B1094" s="158" t="s">
        <v>8</v>
      </c>
      <c r="C1094" s="158" t="s">
        <f>"王圆圆"</f>
        <v>2067</v>
      </c>
      <c r="D1094" s="158" t="s">
        <f>"15010113712"</f>
        <v>2068</v>
      </c>
      <c r="E1094" s="158">
        <v>76.21000000000001</v>
      </c>
      <c r="F1094" s="158"/>
      <c r="G1094" s="158">
        <v>76.21000000000001</v>
      </c>
    </row>
    <row r="1095" spans="1:7" ht="32.999496" customHeight="1" x14ac:dyDescent="0.15">
      <c r="A1095" s="158">
        <v>1093.0</v>
      </c>
      <c r="B1095" s="158" t="s">
        <v>8</v>
      </c>
      <c r="C1095" s="158" t="s">
        <f>"张玥"</f>
        <v>2069</v>
      </c>
      <c r="D1095" s="158" t="s">
        <f>"15010113713"</f>
        <v>2070</v>
      </c>
      <c r="E1095" s="158">
        <v>56.47</v>
      </c>
      <c r="F1095" s="158"/>
      <c r="G1095" s="158">
        <v>56.47</v>
      </c>
    </row>
    <row r="1096" spans="1:7" ht="32.999496" customHeight="1" x14ac:dyDescent="0.15">
      <c r="A1096" s="158">
        <v>1094.0</v>
      </c>
      <c r="B1096" s="158" t="s">
        <v>8</v>
      </c>
      <c r="C1096" s="158" t="s">
        <f>"高慧敏"</f>
        <v>2071</v>
      </c>
      <c r="D1096" s="158" t="s">
        <f>"15010113714"</f>
        <v>2072</v>
      </c>
      <c r="E1096" s="158">
        <v>61.05</v>
      </c>
      <c r="F1096" s="158"/>
      <c r="G1096" s="158">
        <v>61.05</v>
      </c>
    </row>
    <row r="1097" spans="1:7" ht="32.999496" customHeight="1" x14ac:dyDescent="0.15">
      <c r="A1097" s="158">
        <v>1095.0</v>
      </c>
      <c r="B1097" s="158" t="s">
        <v>8</v>
      </c>
      <c r="C1097" s="158" t="s">
        <f>"赵娟"</f>
        <v>2073</v>
      </c>
      <c r="D1097" s="158" t="s">
        <f>"15010113715"</f>
        <v>2074</v>
      </c>
      <c r="E1097" s="158">
        <v>8.85</v>
      </c>
      <c r="F1097" s="158"/>
      <c r="G1097" s="158">
        <v>8.85</v>
      </c>
    </row>
    <row r="1098" spans="1:7" ht="32.999496" customHeight="1" x14ac:dyDescent="0.15">
      <c r="A1098" s="158">
        <v>1096.0</v>
      </c>
      <c r="B1098" s="158" t="s">
        <v>8</v>
      </c>
      <c r="C1098" s="158" t="s">
        <f>"白宇"</f>
        <v>2075</v>
      </c>
      <c r="D1098" s="158" t="s">
        <f>"15010113716"</f>
        <v>2076</v>
      </c>
      <c r="E1098" s="158" t="s">
        <v>15</v>
      </c>
      <c r="F1098" s="158"/>
      <c r="G1098" s="158" t="s">
        <v>15</v>
      </c>
    </row>
    <row r="1099" spans="1:7" ht="32.999496" customHeight="1" x14ac:dyDescent="0.15">
      <c r="A1099" s="158">
        <v>1097.0</v>
      </c>
      <c r="B1099" s="158" t="s">
        <v>8</v>
      </c>
      <c r="C1099" s="158" t="s">
        <f>"张泽敏"</f>
        <v>2077</v>
      </c>
      <c r="D1099" s="158" t="s">
        <f>"15010113717"</f>
        <v>2078</v>
      </c>
      <c r="E1099" s="158">
        <v>76.2</v>
      </c>
      <c r="F1099" s="158"/>
      <c r="G1099" s="158">
        <v>76.2</v>
      </c>
    </row>
    <row r="1100" spans="1:7" ht="32.999496" customHeight="1" x14ac:dyDescent="0.15">
      <c r="A1100" s="158">
        <v>1098.0</v>
      </c>
      <c r="B1100" s="158" t="s">
        <v>8</v>
      </c>
      <c r="C1100" s="158" t="s">
        <f>"徐宇婷"</f>
        <v>2079</v>
      </c>
      <c r="D1100" s="158" t="s">
        <f>"15010113718"</f>
        <v>2080</v>
      </c>
      <c r="E1100" s="158" t="s">
        <v>15</v>
      </c>
      <c r="F1100" s="158"/>
      <c r="G1100" s="158" t="s">
        <v>15</v>
      </c>
    </row>
    <row r="1101" spans="1:7" ht="32.999496" customHeight="1" x14ac:dyDescent="0.15">
      <c r="A1101" s="158">
        <v>1099.0</v>
      </c>
      <c r="B1101" s="158" t="s">
        <v>8</v>
      </c>
      <c r="C1101" s="158" t="s">
        <f>"王桃"</f>
        <v>2081</v>
      </c>
      <c r="D1101" s="158" t="s">
        <f>"15010113719"</f>
        <v>2082</v>
      </c>
      <c r="E1101" s="158">
        <v>55.43</v>
      </c>
      <c r="F1101" s="158"/>
      <c r="G1101" s="158">
        <v>55.43</v>
      </c>
    </row>
    <row r="1102" spans="1:7" ht="32.999496" customHeight="1" x14ac:dyDescent="0.15">
      <c r="A1102" s="158">
        <v>1100.0</v>
      </c>
      <c r="B1102" s="158" t="s">
        <v>8</v>
      </c>
      <c r="C1102" s="158" t="s">
        <f>"杨磊"</f>
        <v>2083</v>
      </c>
      <c r="D1102" s="158" t="s">
        <f>"15010113720"</f>
        <v>2084</v>
      </c>
      <c r="E1102" s="158">
        <v>63.96</v>
      </c>
      <c r="F1102" s="158"/>
      <c r="G1102" s="158">
        <v>63.96</v>
      </c>
    </row>
    <row r="1103" spans="1:7" ht="32.999496" customHeight="1" x14ac:dyDescent="0.15">
      <c r="A1103" s="158">
        <v>1101.0</v>
      </c>
      <c r="B1103" s="158" t="s">
        <v>8</v>
      </c>
      <c r="C1103" s="158" t="s">
        <f>"赵娜"</f>
        <v>2085</v>
      </c>
      <c r="D1103" s="158" t="s">
        <f>"15010113721"</f>
        <v>2086</v>
      </c>
      <c r="E1103" s="158">
        <v>55.16</v>
      </c>
      <c r="F1103" s="158"/>
      <c r="G1103" s="158">
        <v>55.16</v>
      </c>
    </row>
    <row r="1104" spans="1:7" ht="32.999496" customHeight="1" x14ac:dyDescent="0.15">
      <c r="A1104" s="158">
        <v>1102.0</v>
      </c>
      <c r="B1104" s="158" t="s">
        <v>8</v>
      </c>
      <c r="C1104" s="158" t="s">
        <f>"藏婉荣"</f>
        <v>2087</v>
      </c>
      <c r="D1104" s="158" t="s">
        <f>"15010113722"</f>
        <v>2088</v>
      </c>
      <c r="E1104" s="158">
        <v>53.84</v>
      </c>
      <c r="F1104" s="158"/>
      <c r="G1104" s="158">
        <v>53.84</v>
      </c>
    </row>
    <row r="1105" spans="1:7" ht="32.999496" customHeight="1" x14ac:dyDescent="0.15">
      <c r="A1105" s="158">
        <v>1103.0</v>
      </c>
      <c r="B1105" s="158" t="s">
        <v>8</v>
      </c>
      <c r="C1105" s="158" t="s">
        <f>"常小春"</f>
        <v>2089</v>
      </c>
      <c r="D1105" s="158" t="s">
        <f>"15010113723"</f>
        <v>2090</v>
      </c>
      <c r="E1105" s="158">
        <v>50.4</v>
      </c>
      <c r="F1105" s="158">
        <v>2.5</v>
      </c>
      <c r="G1105" s="158">
        <v>52.9</v>
      </c>
    </row>
    <row r="1106" spans="1:7" ht="32.999496" customHeight="1" x14ac:dyDescent="0.15">
      <c r="A1106" s="158">
        <v>1104.0</v>
      </c>
      <c r="B1106" s="158" t="s">
        <v>8</v>
      </c>
      <c r="C1106" s="158" t="s">
        <f>"吴雨璇"</f>
        <v>2091</v>
      </c>
      <c r="D1106" s="158" t="s">
        <f>"15010113724"</f>
        <v>2092</v>
      </c>
      <c r="E1106" s="158" t="s">
        <v>15</v>
      </c>
      <c r="F1106" s="158"/>
      <c r="G1106" s="158" t="s">
        <v>15</v>
      </c>
    </row>
    <row r="1107" spans="1:7" ht="32.999496" customHeight="1" x14ac:dyDescent="0.15">
      <c r="A1107" s="158">
        <v>1105.0</v>
      </c>
      <c r="B1107" s="158" t="s">
        <v>8</v>
      </c>
      <c r="C1107" s="158" t="s">
        <f>"孟磊"</f>
        <v>2093</v>
      </c>
      <c r="D1107" s="158" t="s">
        <f>"15010113725"</f>
        <v>2094</v>
      </c>
      <c r="E1107" s="158">
        <v>45.92</v>
      </c>
      <c r="F1107" s="158"/>
      <c r="G1107" s="158">
        <v>45.92</v>
      </c>
    </row>
    <row r="1108" spans="1:7" ht="32.999496" customHeight="1" x14ac:dyDescent="0.15">
      <c r="A1108" s="158">
        <v>1106.0</v>
      </c>
      <c r="B1108" s="158" t="s">
        <v>8</v>
      </c>
      <c r="C1108" s="158" t="s">
        <f>"王鹏"</f>
        <v>1459</v>
      </c>
      <c r="D1108" s="158" t="s">
        <f>"15010113726"</f>
        <v>2095</v>
      </c>
      <c r="E1108" s="158" t="s">
        <v>15</v>
      </c>
      <c r="F1108" s="158"/>
      <c r="G1108" s="158" t="s">
        <v>15</v>
      </c>
    </row>
    <row r="1109" spans="1:7" ht="32.999496" customHeight="1" x14ac:dyDescent="0.15">
      <c r="A1109" s="158">
        <v>1107.0</v>
      </c>
      <c r="B1109" s="158" t="s">
        <v>8</v>
      </c>
      <c r="C1109" s="158" t="s">
        <f>"刘乐"</f>
        <v>2096</v>
      </c>
      <c r="D1109" s="158" t="s">
        <f>"15010113727"</f>
        <v>2097</v>
      </c>
      <c r="E1109" s="158">
        <v>36.21</v>
      </c>
      <c r="F1109" s="158"/>
      <c r="G1109" s="158">
        <v>36.21</v>
      </c>
    </row>
    <row r="1110" spans="1:7" ht="32.999496" customHeight="1" x14ac:dyDescent="0.15">
      <c r="A1110" s="158">
        <v>1108.0</v>
      </c>
      <c r="B1110" s="158" t="s">
        <v>8</v>
      </c>
      <c r="C1110" s="158" t="s">
        <f>"贾金荣"</f>
        <v>2098</v>
      </c>
      <c r="D1110" s="158" t="s">
        <f>"15010113728"</f>
        <v>2099</v>
      </c>
      <c r="E1110" s="158">
        <v>54.41</v>
      </c>
      <c r="F1110" s="158"/>
      <c r="G1110" s="158">
        <v>54.41</v>
      </c>
    </row>
    <row r="1111" spans="1:7" ht="32.999496" customHeight="1" x14ac:dyDescent="0.15">
      <c r="A1111" s="158">
        <v>1109.0</v>
      </c>
      <c r="B1111" s="158" t="s">
        <v>8</v>
      </c>
      <c r="C1111" s="158" t="s">
        <f>"韩杰"</f>
        <v>2100</v>
      </c>
      <c r="D1111" s="158" t="s">
        <f>"15010113729"</f>
        <v>2101</v>
      </c>
      <c r="E1111" s="158" t="s">
        <v>15</v>
      </c>
      <c r="F1111" s="158"/>
      <c r="G1111" s="158" t="s">
        <v>15</v>
      </c>
    </row>
    <row r="1112" spans="1:7" ht="32.999496" customHeight="1" x14ac:dyDescent="0.15">
      <c r="A1112" s="158">
        <v>1110.0</v>
      </c>
      <c r="B1112" s="158" t="s">
        <v>8</v>
      </c>
      <c r="C1112" s="158" t="s">
        <f>"王浩莎"</f>
        <v>2102</v>
      </c>
      <c r="D1112" s="158" t="s">
        <f>"15010113730"</f>
        <v>2103</v>
      </c>
      <c r="E1112" s="158" t="s">
        <v>15</v>
      </c>
      <c r="F1112" s="158">
        <v>2.5</v>
      </c>
      <c r="G1112" s="158" t="s">
        <v>15</v>
      </c>
    </row>
    <row r="1113" spans="1:7" ht="32.999496" customHeight="1" x14ac:dyDescent="0.15">
      <c r="A1113" s="158">
        <v>1111.0</v>
      </c>
      <c r="B1113" s="158" t="s">
        <v>8</v>
      </c>
      <c r="C1113" s="158" t="s">
        <f>"袁昕佑"</f>
        <v>2104</v>
      </c>
      <c r="D1113" s="158" t="s">
        <f>"15010113801"</f>
        <v>2105</v>
      </c>
      <c r="E1113" s="158">
        <v>57.18</v>
      </c>
      <c r="F1113" s="158"/>
      <c r="G1113" s="158">
        <v>57.18</v>
      </c>
    </row>
    <row r="1114" spans="1:7" ht="32.999496" customHeight="1" x14ac:dyDescent="0.15">
      <c r="A1114" s="158">
        <v>1112.0</v>
      </c>
      <c r="B1114" s="158" t="s">
        <v>8</v>
      </c>
      <c r="C1114" s="158" t="s">
        <f>"刘佳颖"</f>
        <v>2106</v>
      </c>
      <c r="D1114" s="158" t="s">
        <f>"15010113802"</f>
        <v>2107</v>
      </c>
      <c r="E1114" s="158" t="s">
        <v>15</v>
      </c>
      <c r="F1114" s="158"/>
      <c r="G1114" s="158" t="s">
        <v>15</v>
      </c>
    </row>
    <row r="1115" spans="1:7" ht="32.999496" customHeight="1" x14ac:dyDescent="0.15">
      <c r="A1115" s="158">
        <v>1113.0</v>
      </c>
      <c r="B1115" s="158" t="s">
        <v>8</v>
      </c>
      <c r="C1115" s="158" t="s">
        <f>"刘欣雨"</f>
        <v>2108</v>
      </c>
      <c r="D1115" s="158" t="s">
        <f>"15010113803"</f>
        <v>2109</v>
      </c>
      <c r="E1115" s="158">
        <v>53.93</v>
      </c>
      <c r="F1115" s="158"/>
      <c r="G1115" s="158">
        <v>53.93</v>
      </c>
    </row>
    <row r="1116" spans="1:7" ht="32.999496" customHeight="1" x14ac:dyDescent="0.15">
      <c r="A1116" s="158">
        <v>1114.0</v>
      </c>
      <c r="B1116" s="158" t="s">
        <v>8</v>
      </c>
      <c r="C1116" s="158" t="s">
        <f>"王新慧"</f>
        <v>2110</v>
      </c>
      <c r="D1116" s="158" t="s">
        <f>"15010113804"</f>
        <v>2111</v>
      </c>
      <c r="E1116" s="158">
        <v>65.24000000000001</v>
      </c>
      <c r="F1116" s="158"/>
      <c r="G1116" s="158">
        <v>65.24000000000001</v>
      </c>
    </row>
    <row r="1117" spans="1:7" ht="32.999496" customHeight="1" x14ac:dyDescent="0.15">
      <c r="A1117" s="158">
        <v>1115.0</v>
      </c>
      <c r="B1117" s="158" t="s">
        <v>8</v>
      </c>
      <c r="C1117" s="158" t="s">
        <f>"刘荣"</f>
        <v>1154</v>
      </c>
      <c r="D1117" s="158" t="s">
        <f>"15010113805"</f>
        <v>2112</v>
      </c>
      <c r="E1117" s="158">
        <v>57.55</v>
      </c>
      <c r="F1117" s="158"/>
      <c r="G1117" s="158">
        <v>57.55</v>
      </c>
    </row>
    <row r="1118" spans="1:7" ht="32.999496" customHeight="1" x14ac:dyDescent="0.15">
      <c r="A1118" s="158">
        <v>1116.0</v>
      </c>
      <c r="B1118" s="158" t="s">
        <v>8</v>
      </c>
      <c r="C1118" s="158" t="s">
        <f>"何伟"</f>
        <v>402</v>
      </c>
      <c r="D1118" s="158" t="s">
        <f>"15010113806"</f>
        <v>2113</v>
      </c>
      <c r="E1118" s="158">
        <v>68.07</v>
      </c>
      <c r="F1118" s="158"/>
      <c r="G1118" s="158">
        <v>68.07</v>
      </c>
    </row>
    <row r="1119" spans="1:7" ht="32.999496" customHeight="1" x14ac:dyDescent="0.15">
      <c r="A1119" s="158">
        <v>1117.0</v>
      </c>
      <c r="B1119" s="158" t="s">
        <v>8</v>
      </c>
      <c r="C1119" s="158" t="s">
        <f>"张辉"</f>
        <v>2114</v>
      </c>
      <c r="D1119" s="158" t="s">
        <f>"15010113807"</f>
        <v>2115</v>
      </c>
      <c r="E1119" s="158" t="s">
        <v>15</v>
      </c>
      <c r="F1119" s="158"/>
      <c r="G1119" s="158" t="s">
        <v>15</v>
      </c>
    </row>
    <row r="1120" spans="1:7" ht="32.999496" customHeight="1" x14ac:dyDescent="0.15">
      <c r="A1120" s="158">
        <v>1118.0</v>
      </c>
      <c r="B1120" s="158" t="s">
        <v>8</v>
      </c>
      <c r="C1120" s="158" t="s">
        <f>"李源"</f>
        <v>2116</v>
      </c>
      <c r="D1120" s="158" t="s">
        <f>"15010113808"</f>
        <v>2117</v>
      </c>
      <c r="E1120" s="158" t="s">
        <v>15</v>
      </c>
      <c r="F1120" s="158"/>
      <c r="G1120" s="158" t="s">
        <v>15</v>
      </c>
    </row>
    <row r="1121" spans="1:7" ht="32.999496" customHeight="1" x14ac:dyDescent="0.15">
      <c r="A1121" s="158">
        <v>1119.0</v>
      </c>
      <c r="B1121" s="158" t="s">
        <v>8</v>
      </c>
      <c r="C1121" s="158" t="s">
        <f>"冯娜"</f>
        <v>2118</v>
      </c>
      <c r="D1121" s="158" t="s">
        <f>"15010113809"</f>
        <v>2119</v>
      </c>
      <c r="E1121" s="158">
        <v>66</v>
      </c>
      <c r="F1121" s="158"/>
      <c r="G1121" s="158">
        <v>66</v>
      </c>
    </row>
    <row r="1122" spans="1:7" ht="32.999496" customHeight="1" x14ac:dyDescent="0.15">
      <c r="A1122" s="158">
        <v>1120.0</v>
      </c>
      <c r="B1122" s="158" t="s">
        <v>8</v>
      </c>
      <c r="C1122" s="158" t="s">
        <f>"许萍"</f>
        <v>2120</v>
      </c>
      <c r="D1122" s="158" t="s">
        <f>"15010113810"</f>
        <v>2121</v>
      </c>
      <c r="E1122" s="158">
        <v>58.17</v>
      </c>
      <c r="F1122" s="158"/>
      <c r="G1122" s="158">
        <v>58.17</v>
      </c>
    </row>
    <row r="1123" spans="1:7" ht="32.999496" customHeight="1" x14ac:dyDescent="0.15">
      <c r="A1123" s="158">
        <v>1121.0</v>
      </c>
      <c r="B1123" s="158" t="s">
        <v>8</v>
      </c>
      <c r="C1123" s="158" t="s">
        <f>"温红丽"</f>
        <v>2122</v>
      </c>
      <c r="D1123" s="158" t="s">
        <f>"15010113811"</f>
        <v>2123</v>
      </c>
      <c r="E1123" s="158">
        <v>64.67</v>
      </c>
      <c r="F1123" s="158"/>
      <c r="G1123" s="158">
        <v>64.67</v>
      </c>
    </row>
    <row r="1124" spans="1:7" ht="32.999496" customHeight="1" x14ac:dyDescent="0.15">
      <c r="A1124" s="158">
        <v>1122.0</v>
      </c>
      <c r="B1124" s="158" t="s">
        <v>8</v>
      </c>
      <c r="C1124" s="158" t="s">
        <f>"白瑞"</f>
        <v>832</v>
      </c>
      <c r="D1124" s="158" t="s">
        <f>"15010113812"</f>
        <v>2124</v>
      </c>
      <c r="E1124" s="158">
        <v>59.58</v>
      </c>
      <c r="F1124" s="158"/>
      <c r="G1124" s="158">
        <v>59.58</v>
      </c>
    </row>
    <row r="1125" spans="1:7" ht="32.999496" customHeight="1" x14ac:dyDescent="0.15">
      <c r="A1125" s="158">
        <v>1123.0</v>
      </c>
      <c r="B1125" s="158" t="s">
        <v>8</v>
      </c>
      <c r="C1125" s="158" t="s">
        <f>"赵帅"</f>
        <v>2125</v>
      </c>
      <c r="D1125" s="158" t="s">
        <f>"15010113813"</f>
        <v>2126</v>
      </c>
      <c r="E1125" s="158">
        <v>51.269999999999996</v>
      </c>
      <c r="F1125" s="158"/>
      <c r="G1125" s="158">
        <v>51.269999999999996</v>
      </c>
    </row>
    <row r="1126" spans="1:7" ht="32.999496" customHeight="1" x14ac:dyDescent="0.15">
      <c r="A1126" s="158">
        <v>1124.0</v>
      </c>
      <c r="B1126" s="158" t="s">
        <v>8</v>
      </c>
      <c r="C1126" s="158" t="s">
        <f>"赵鑫"</f>
        <v>2127</v>
      </c>
      <c r="D1126" s="158" t="s">
        <f>"15010113814"</f>
        <v>2128</v>
      </c>
      <c r="E1126" s="158" t="s">
        <v>15</v>
      </c>
      <c r="F1126" s="158"/>
      <c r="G1126" s="158" t="s">
        <v>15</v>
      </c>
    </row>
    <row r="1127" spans="1:7" ht="32.999496" customHeight="1" x14ac:dyDescent="0.15">
      <c r="A1127" s="158">
        <v>1125.0</v>
      </c>
      <c r="B1127" s="158" t="s">
        <v>8</v>
      </c>
      <c r="C1127" s="158" t="s">
        <f>"李旭"</f>
        <v>2129</v>
      </c>
      <c r="D1127" s="158" t="s">
        <f>"15010113815"</f>
        <v>2130</v>
      </c>
      <c r="E1127" s="158">
        <v>55.57</v>
      </c>
      <c r="F1127" s="158"/>
      <c r="G1127" s="158">
        <v>55.57</v>
      </c>
    </row>
    <row r="1128" spans="1:7" ht="32.999496" customHeight="1" x14ac:dyDescent="0.15">
      <c r="A1128" s="158">
        <v>1126.0</v>
      </c>
      <c r="B1128" s="158" t="s">
        <v>8</v>
      </c>
      <c r="C1128" s="158" t="s">
        <f>"武慧"</f>
        <v>2028</v>
      </c>
      <c r="D1128" s="158" t="s">
        <f>"15010113816"</f>
        <v>2131</v>
      </c>
      <c r="E1128" s="158" t="s">
        <v>15</v>
      </c>
      <c r="F1128" s="158"/>
      <c r="G1128" s="158" t="s">
        <v>15</v>
      </c>
    </row>
    <row r="1129" spans="1:7" ht="32.999496" customHeight="1" x14ac:dyDescent="0.15">
      <c r="A1129" s="158">
        <v>1127.0</v>
      </c>
      <c r="B1129" s="158" t="s">
        <v>8</v>
      </c>
      <c r="C1129" s="158" t="s">
        <f>"田中明"</f>
        <v>2132</v>
      </c>
      <c r="D1129" s="158" t="s">
        <f>"15010113817"</f>
        <v>2133</v>
      </c>
      <c r="E1129" s="158">
        <v>59</v>
      </c>
      <c r="F1129" s="158"/>
      <c r="G1129" s="158">
        <v>59</v>
      </c>
    </row>
    <row r="1130" spans="1:7" ht="32.999496" customHeight="1" x14ac:dyDescent="0.15">
      <c r="A1130" s="158">
        <v>1128.0</v>
      </c>
      <c r="B1130" s="158" t="s">
        <v>8</v>
      </c>
      <c r="C1130" s="158" t="s">
        <f>"王舒誉"</f>
        <v>2134</v>
      </c>
      <c r="D1130" s="158" t="s">
        <f>"15010113818"</f>
        <v>2135</v>
      </c>
      <c r="E1130" s="158">
        <v>54.25</v>
      </c>
      <c r="F1130" s="158"/>
      <c r="G1130" s="158">
        <v>54.25</v>
      </c>
    </row>
    <row r="1131" spans="1:7" ht="32.999496" customHeight="1" x14ac:dyDescent="0.15">
      <c r="A1131" s="158">
        <v>1129.0</v>
      </c>
      <c r="B1131" s="158" t="s">
        <v>8</v>
      </c>
      <c r="C1131" s="158" t="s">
        <f>"任佳"</f>
        <v>2136</v>
      </c>
      <c r="D1131" s="158" t="s">
        <f>"15010113819"</f>
        <v>2137</v>
      </c>
      <c r="E1131" s="158">
        <v>41.5</v>
      </c>
      <c r="F1131" s="158"/>
      <c r="G1131" s="158">
        <v>41.5</v>
      </c>
    </row>
    <row r="1132" spans="1:7" ht="32.999496" customHeight="1" x14ac:dyDescent="0.15">
      <c r="A1132" s="158">
        <v>1130.0</v>
      </c>
      <c r="B1132" s="158" t="s">
        <v>8</v>
      </c>
      <c r="C1132" s="158" t="s">
        <f>"温鑫"</f>
        <v>264</v>
      </c>
      <c r="D1132" s="158" t="s">
        <f>"15010113820"</f>
        <v>2138</v>
      </c>
      <c r="E1132" s="158">
        <v>48.34</v>
      </c>
      <c r="F1132" s="158"/>
      <c r="G1132" s="158">
        <v>48.34</v>
      </c>
    </row>
    <row r="1133" spans="1:7" ht="32.999496" customHeight="1" x14ac:dyDescent="0.15">
      <c r="A1133" s="158">
        <v>1131.0</v>
      </c>
      <c r="B1133" s="158" t="s">
        <v>8</v>
      </c>
      <c r="C1133" s="158" t="s">
        <f>"杜鹏伟"</f>
        <v>2139</v>
      </c>
      <c r="D1133" s="158" t="s">
        <f>"15010113821"</f>
        <v>2140</v>
      </c>
      <c r="E1133" s="158">
        <v>60.16</v>
      </c>
      <c r="F1133" s="158"/>
      <c r="G1133" s="158">
        <v>60.16</v>
      </c>
    </row>
    <row r="1134" spans="1:7" ht="32.999496" customHeight="1" x14ac:dyDescent="0.15">
      <c r="A1134" s="158">
        <v>1132.0</v>
      </c>
      <c r="B1134" s="158" t="s">
        <v>8</v>
      </c>
      <c r="C1134" s="158" t="s">
        <f>"弓滨赫"</f>
        <v>2141</v>
      </c>
      <c r="D1134" s="158" t="s">
        <f>"15010113822"</f>
        <v>2142</v>
      </c>
      <c r="E1134" s="158">
        <v>59.7</v>
      </c>
      <c r="F1134" s="158">
        <v>2.5</v>
      </c>
      <c r="G1134" s="158">
        <v>62.2</v>
      </c>
    </row>
    <row r="1135" spans="1:7" ht="32.999496" customHeight="1" x14ac:dyDescent="0.15">
      <c r="A1135" s="158">
        <v>1133.0</v>
      </c>
      <c r="B1135" s="158" t="s">
        <v>8</v>
      </c>
      <c r="C1135" s="158" t="s">
        <f>"陈龙"</f>
        <v>2143</v>
      </c>
      <c r="D1135" s="158" t="s">
        <f>"15010113823"</f>
        <v>2144</v>
      </c>
      <c r="E1135" s="158" t="s">
        <v>15</v>
      </c>
      <c r="F1135" s="158"/>
      <c r="G1135" s="158" t="s">
        <v>15</v>
      </c>
    </row>
    <row r="1136" spans="1:7" ht="32.999496" customHeight="1" x14ac:dyDescent="0.15">
      <c r="A1136" s="158">
        <v>1134.0</v>
      </c>
      <c r="B1136" s="158" t="s">
        <v>8</v>
      </c>
      <c r="C1136" s="158" t="s">
        <f>"杨春袁"</f>
        <v>2145</v>
      </c>
      <c r="D1136" s="158" t="s">
        <f>"15010113824"</f>
        <v>2146</v>
      </c>
      <c r="E1136" s="158" t="s">
        <v>15</v>
      </c>
      <c r="F1136" s="158"/>
      <c r="G1136" s="158" t="s">
        <v>15</v>
      </c>
    </row>
    <row r="1137" spans="1:7" ht="32.999496" customHeight="1" x14ac:dyDescent="0.15">
      <c r="A1137" s="158">
        <v>1135.0</v>
      </c>
      <c r="B1137" s="158" t="s">
        <v>8</v>
      </c>
      <c r="C1137" s="158" t="s">
        <f>"李艳"</f>
        <v>1470</v>
      </c>
      <c r="D1137" s="158" t="s">
        <f>"15010113825"</f>
        <v>2147</v>
      </c>
      <c r="E1137" s="158" t="s">
        <v>15</v>
      </c>
      <c r="F1137" s="158"/>
      <c r="G1137" s="158" t="s">
        <v>15</v>
      </c>
    </row>
    <row r="1138" spans="1:7" ht="32.999496" customHeight="1" x14ac:dyDescent="0.15">
      <c r="A1138" s="158">
        <v>1136.0</v>
      </c>
      <c r="B1138" s="158" t="s">
        <v>8</v>
      </c>
      <c r="C1138" s="158" t="s">
        <f>"李倩"</f>
        <v>2148</v>
      </c>
      <c r="D1138" s="158" t="s">
        <f>"15010113826"</f>
        <v>2149</v>
      </c>
      <c r="E1138" s="158">
        <v>60.93</v>
      </c>
      <c r="F1138" s="158"/>
      <c r="G1138" s="158">
        <v>60.93</v>
      </c>
    </row>
    <row r="1139" spans="1:7" ht="32.999496" customHeight="1" x14ac:dyDescent="0.15">
      <c r="A1139" s="158">
        <v>1137.0</v>
      </c>
      <c r="B1139" s="158" t="s">
        <v>8</v>
      </c>
      <c r="C1139" s="158" t="s">
        <f>"袁鑫"</f>
        <v>2150</v>
      </c>
      <c r="D1139" s="158" t="s">
        <f>"15010113827"</f>
        <v>2151</v>
      </c>
      <c r="E1139" s="158">
        <v>49.13</v>
      </c>
      <c r="F1139" s="158"/>
      <c r="G1139" s="158">
        <v>49.13</v>
      </c>
    </row>
    <row r="1140" spans="1:7" ht="32.999496" customHeight="1" x14ac:dyDescent="0.15">
      <c r="A1140" s="158">
        <v>1138.0</v>
      </c>
      <c r="B1140" s="158" t="s">
        <v>8</v>
      </c>
      <c r="C1140" s="158" t="s">
        <f>"乔博雅"</f>
        <v>2152</v>
      </c>
      <c r="D1140" s="158" t="s">
        <f>"15010113828"</f>
        <v>2153</v>
      </c>
      <c r="E1140" s="158" t="s">
        <v>15</v>
      </c>
      <c r="F1140" s="158"/>
      <c r="G1140" s="158" t="s">
        <v>15</v>
      </c>
    </row>
    <row r="1141" spans="1:7" ht="32.999496" customHeight="1" x14ac:dyDescent="0.15">
      <c r="A1141" s="158">
        <v>1139.0</v>
      </c>
      <c r="B1141" s="158" t="s">
        <v>8</v>
      </c>
      <c r="C1141" s="158" t="s">
        <f>"郭会丽"</f>
        <v>2154</v>
      </c>
      <c r="D1141" s="158" t="s">
        <f>"15010113829"</f>
        <v>2155</v>
      </c>
      <c r="E1141" s="158" t="s">
        <v>15</v>
      </c>
      <c r="F1141" s="158"/>
      <c r="G1141" s="158" t="s">
        <v>15</v>
      </c>
    </row>
    <row r="1142" spans="1:7" ht="32.999496" customHeight="1" x14ac:dyDescent="0.15">
      <c r="A1142" s="158">
        <v>1140.0</v>
      </c>
      <c r="B1142" s="158" t="s">
        <v>8</v>
      </c>
      <c r="C1142" s="158" t="s">
        <f>"张霞"</f>
        <v>1295</v>
      </c>
      <c r="D1142" s="158" t="s">
        <f>"15010113830"</f>
        <v>2156</v>
      </c>
      <c r="E1142" s="158" t="s">
        <v>15</v>
      </c>
      <c r="F1142" s="158"/>
      <c r="G1142" s="158" t="s">
        <v>15</v>
      </c>
    </row>
    <row r="1143" spans="1:7" ht="32.999496" customHeight="1" x14ac:dyDescent="0.15">
      <c r="A1143" s="158">
        <v>1141.0</v>
      </c>
      <c r="B1143" s="158" t="s">
        <v>8</v>
      </c>
      <c r="C1143" s="158" t="s">
        <f>"王敏"</f>
        <v>2157</v>
      </c>
      <c r="D1143" s="158" t="s">
        <f>"15010113901"</f>
        <v>2158</v>
      </c>
      <c r="E1143" s="158" t="s">
        <v>15</v>
      </c>
      <c r="F1143" s="158"/>
      <c r="G1143" s="158" t="s">
        <v>15</v>
      </c>
    </row>
    <row r="1144" spans="1:7" ht="32.999496" customHeight="1" x14ac:dyDescent="0.15">
      <c r="A1144" s="158">
        <v>1142.0</v>
      </c>
      <c r="B1144" s="158" t="s">
        <v>8</v>
      </c>
      <c r="C1144" s="158" t="s">
        <f>"李娜"</f>
        <v>609</v>
      </c>
      <c r="D1144" s="158" t="s">
        <f>"15010113902"</f>
        <v>2159</v>
      </c>
      <c r="E1144" s="158" t="s">
        <v>15</v>
      </c>
      <c r="F1144" s="158"/>
      <c r="G1144" s="158" t="s">
        <v>15</v>
      </c>
    </row>
    <row r="1145" spans="1:7" ht="32.999496" customHeight="1" x14ac:dyDescent="0.15">
      <c r="A1145" s="158">
        <v>1143.0</v>
      </c>
      <c r="B1145" s="158" t="s">
        <v>8</v>
      </c>
      <c r="C1145" s="158" t="s">
        <f>"杨小芳"</f>
        <v>2160</v>
      </c>
      <c r="D1145" s="158" t="s">
        <f>"15010113903"</f>
        <v>2161</v>
      </c>
      <c r="E1145" s="158">
        <v>47.03</v>
      </c>
      <c r="F1145" s="158"/>
      <c r="G1145" s="158">
        <v>47.03</v>
      </c>
    </row>
    <row r="1146" spans="1:7" ht="32.999496" customHeight="1" x14ac:dyDescent="0.15">
      <c r="A1146" s="158">
        <v>1144.0</v>
      </c>
      <c r="B1146" s="158" t="s">
        <v>8</v>
      </c>
      <c r="C1146" s="158" t="s">
        <f>"栗婷"</f>
        <v>2162</v>
      </c>
      <c r="D1146" s="158" t="s">
        <f>"15010113904"</f>
        <v>2163</v>
      </c>
      <c r="E1146" s="158">
        <v>51.58</v>
      </c>
      <c r="F1146" s="158"/>
      <c r="G1146" s="158">
        <v>51.58</v>
      </c>
    </row>
    <row r="1147" spans="1:7" ht="32.999496" customHeight="1" x14ac:dyDescent="0.15">
      <c r="A1147" s="158">
        <v>1145.0</v>
      </c>
      <c r="B1147" s="158" t="s">
        <v>8</v>
      </c>
      <c r="C1147" s="158" t="s">
        <f>"杨文炳"</f>
        <v>2164</v>
      </c>
      <c r="D1147" s="158" t="s">
        <f>"15010113905"</f>
        <v>2165</v>
      </c>
      <c r="E1147" s="158">
        <v>62.15</v>
      </c>
      <c r="F1147" s="158"/>
      <c r="G1147" s="158">
        <v>62.15</v>
      </c>
    </row>
    <row r="1148" spans="1:7" ht="32.999496" customHeight="1" x14ac:dyDescent="0.15">
      <c r="A1148" s="158">
        <v>1146.0</v>
      </c>
      <c r="B1148" s="158" t="s">
        <v>8</v>
      </c>
      <c r="C1148" s="158" t="s">
        <f>"高于航"</f>
        <v>2166</v>
      </c>
      <c r="D1148" s="158" t="s">
        <f>"15010113906"</f>
        <v>2167</v>
      </c>
      <c r="E1148" s="158">
        <v>59.92</v>
      </c>
      <c r="F1148" s="158"/>
      <c r="G1148" s="158">
        <v>59.92</v>
      </c>
    </row>
    <row r="1149" spans="1:7" ht="32.999496" customHeight="1" x14ac:dyDescent="0.15">
      <c r="A1149" s="158">
        <v>1147.0</v>
      </c>
      <c r="B1149" s="158" t="s">
        <v>8</v>
      </c>
      <c r="C1149" s="158" t="s">
        <f>"王淑玥"</f>
        <v>2168</v>
      </c>
      <c r="D1149" s="158" t="s">
        <f>"15010113907"</f>
        <v>2169</v>
      </c>
      <c r="E1149" s="158">
        <v>47.120000000000005</v>
      </c>
      <c r="F1149" s="158"/>
      <c r="G1149" s="158">
        <v>47.120000000000005</v>
      </c>
    </row>
    <row r="1150" spans="1:7" ht="32.999496" customHeight="1" x14ac:dyDescent="0.15">
      <c r="A1150" s="158">
        <v>1148.0</v>
      </c>
      <c r="B1150" s="158" t="s">
        <v>8</v>
      </c>
      <c r="C1150" s="158" t="s">
        <f>"门璐"</f>
        <v>2170</v>
      </c>
      <c r="D1150" s="158" t="s">
        <f>"15010113908"</f>
        <v>2171</v>
      </c>
      <c r="E1150" s="158">
        <v>66.65</v>
      </c>
      <c r="F1150" s="158"/>
      <c r="G1150" s="158">
        <v>66.65</v>
      </c>
    </row>
    <row r="1151" spans="1:7" ht="32.999496" customHeight="1" x14ac:dyDescent="0.15">
      <c r="A1151" s="158">
        <v>1149.0</v>
      </c>
      <c r="B1151" s="158" t="s">
        <v>8</v>
      </c>
      <c r="C1151" s="158" t="s">
        <f>"孙丹"</f>
        <v>2172</v>
      </c>
      <c r="D1151" s="158" t="s">
        <f>"15010113909"</f>
        <v>2173</v>
      </c>
      <c r="E1151" s="158">
        <v>62.02</v>
      </c>
      <c r="F1151" s="158"/>
      <c r="G1151" s="158">
        <v>62.02</v>
      </c>
    </row>
    <row r="1152" spans="1:7" ht="32.999496" customHeight="1" x14ac:dyDescent="0.15">
      <c r="A1152" s="158">
        <v>1150.0</v>
      </c>
      <c r="B1152" s="158" t="s">
        <v>8</v>
      </c>
      <c r="C1152" s="158" t="s">
        <f>"杨媛"</f>
        <v>24</v>
      </c>
      <c r="D1152" s="158" t="s">
        <f>"15010113910"</f>
        <v>2174</v>
      </c>
      <c r="E1152" s="158">
        <v>63.39</v>
      </c>
      <c r="F1152" s="158"/>
      <c r="G1152" s="158">
        <v>63.39</v>
      </c>
    </row>
    <row r="1153" spans="1:7" ht="32.999496" customHeight="1" x14ac:dyDescent="0.15">
      <c r="A1153" s="158">
        <v>1151.0</v>
      </c>
      <c r="B1153" s="158" t="s">
        <v>8</v>
      </c>
      <c r="C1153" s="158" t="s">
        <f>"贺竞冉"</f>
        <v>2175</v>
      </c>
      <c r="D1153" s="158" t="s">
        <f>"15010113911"</f>
        <v>2176</v>
      </c>
      <c r="E1153" s="158" t="s">
        <v>15</v>
      </c>
      <c r="F1153" s="158">
        <v>2.5</v>
      </c>
      <c r="G1153" s="158" t="s">
        <v>15</v>
      </c>
    </row>
    <row r="1154" spans="1:7" ht="32.999496" customHeight="1" x14ac:dyDescent="0.15">
      <c r="A1154" s="158">
        <v>1152.0</v>
      </c>
      <c r="B1154" s="158" t="s">
        <v>8</v>
      </c>
      <c r="C1154" s="158" t="s">
        <f>"解丽"</f>
        <v>2177</v>
      </c>
      <c r="D1154" s="158" t="s">
        <f>"15010113912"</f>
        <v>2178</v>
      </c>
      <c r="E1154" s="158">
        <v>48.93</v>
      </c>
      <c r="F1154" s="158"/>
      <c r="G1154" s="158">
        <v>48.93</v>
      </c>
    </row>
    <row r="1155" spans="1:7" ht="32.999496" customHeight="1" x14ac:dyDescent="0.15">
      <c r="A1155" s="158">
        <v>1153.0</v>
      </c>
      <c r="B1155" s="158" t="s">
        <v>8</v>
      </c>
      <c r="C1155" s="158" t="s">
        <f>"李智伟"</f>
        <v>2179</v>
      </c>
      <c r="D1155" s="158" t="s">
        <f>"15010113913"</f>
        <v>2180</v>
      </c>
      <c r="E1155" s="158">
        <v>51.379999999999995</v>
      </c>
      <c r="F1155" s="158"/>
      <c r="G1155" s="158">
        <v>51.379999999999995</v>
      </c>
    </row>
    <row r="1156" spans="1:7" ht="32.999496" customHeight="1" x14ac:dyDescent="0.15">
      <c r="A1156" s="158">
        <v>1154.0</v>
      </c>
      <c r="B1156" s="158" t="s">
        <v>8</v>
      </c>
      <c r="C1156" s="158" t="s">
        <f>"王昕"</f>
        <v>2181</v>
      </c>
      <c r="D1156" s="158" t="s">
        <f>"15010113914"</f>
        <v>2182</v>
      </c>
      <c r="E1156" s="158">
        <v>62.29</v>
      </c>
      <c r="F1156" s="158"/>
      <c r="G1156" s="158">
        <v>62.29</v>
      </c>
    </row>
    <row r="1157" spans="1:7" ht="32.999496" customHeight="1" x14ac:dyDescent="0.15">
      <c r="A1157" s="158">
        <v>1155.0</v>
      </c>
      <c r="B1157" s="158" t="s">
        <v>8</v>
      </c>
      <c r="C1157" s="158" t="s">
        <f>"李雪"</f>
        <v>18</v>
      </c>
      <c r="D1157" s="158" t="s">
        <f>"15010113915"</f>
        <v>2183</v>
      </c>
      <c r="E1157" s="158">
        <v>59.4</v>
      </c>
      <c r="F1157" s="158"/>
      <c r="G1157" s="158">
        <v>59.4</v>
      </c>
    </row>
    <row r="1158" spans="1:7" ht="32.999496" customHeight="1" x14ac:dyDescent="0.15">
      <c r="A1158" s="158">
        <v>1156.0</v>
      </c>
      <c r="B1158" s="158" t="s">
        <v>8</v>
      </c>
      <c r="C1158" s="158" t="s">
        <f>"张娜"</f>
        <v>32</v>
      </c>
      <c r="D1158" s="158" t="s">
        <f>"15010113916"</f>
        <v>2184</v>
      </c>
      <c r="E1158" s="158">
        <v>55.61</v>
      </c>
      <c r="F1158" s="158"/>
      <c r="G1158" s="158">
        <v>55.61</v>
      </c>
    </row>
    <row r="1159" spans="1:7" ht="32.999496" customHeight="1" x14ac:dyDescent="0.15">
      <c r="A1159" s="158">
        <v>1157.0</v>
      </c>
      <c r="B1159" s="158" t="s">
        <v>8</v>
      </c>
      <c r="C1159" s="158" t="s">
        <f>"乔磊"</f>
        <v>2185</v>
      </c>
      <c r="D1159" s="158" t="s">
        <f>"15010113917"</f>
        <v>2186</v>
      </c>
      <c r="E1159" s="158" t="s">
        <v>15</v>
      </c>
      <c r="F1159" s="158"/>
      <c r="G1159" s="158" t="s">
        <v>15</v>
      </c>
    </row>
    <row r="1160" spans="1:7" ht="32.999496" customHeight="1" x14ac:dyDescent="0.15">
      <c r="A1160" s="158">
        <v>1158.0</v>
      </c>
      <c r="B1160" s="158" t="s">
        <v>8</v>
      </c>
      <c r="C1160" s="158" t="s">
        <f>"马振峰"</f>
        <v>2187</v>
      </c>
      <c r="D1160" s="158" t="s">
        <f>"15010113918"</f>
        <v>2188</v>
      </c>
      <c r="E1160" s="158" t="s">
        <v>15</v>
      </c>
      <c r="F1160" s="158"/>
      <c r="G1160" s="158" t="s">
        <v>15</v>
      </c>
    </row>
    <row r="1161" spans="1:7" ht="32.999496" customHeight="1" x14ac:dyDescent="0.15">
      <c r="A1161" s="158">
        <v>1159.0</v>
      </c>
      <c r="B1161" s="158" t="s">
        <v>8</v>
      </c>
      <c r="C1161" s="158" t="s">
        <f>"张锋"</f>
        <v>2189</v>
      </c>
      <c r="D1161" s="158" t="s">
        <f>"15010113919"</f>
        <v>2190</v>
      </c>
      <c r="E1161" s="158">
        <v>63.36</v>
      </c>
      <c r="F1161" s="158"/>
      <c r="G1161" s="158">
        <v>63.36</v>
      </c>
    </row>
    <row r="1162" spans="1:7" ht="32.999496" customHeight="1" x14ac:dyDescent="0.15">
      <c r="A1162" s="158">
        <v>1160.0</v>
      </c>
      <c r="B1162" s="158" t="s">
        <v>8</v>
      </c>
      <c r="C1162" s="158" t="s">
        <f>"王月"</f>
        <v>2191</v>
      </c>
      <c r="D1162" s="158" t="s">
        <f>"15010113920"</f>
        <v>2192</v>
      </c>
      <c r="E1162" s="158" t="s">
        <v>15</v>
      </c>
      <c r="F1162" s="158"/>
      <c r="G1162" s="158" t="s">
        <v>15</v>
      </c>
    </row>
    <row r="1163" spans="1:7" ht="32.999496" customHeight="1" x14ac:dyDescent="0.15">
      <c r="A1163" s="158">
        <v>1161.0</v>
      </c>
      <c r="B1163" s="158" t="s">
        <v>8</v>
      </c>
      <c r="C1163" s="158" t="s">
        <f>"刘炀"</f>
        <v>2193</v>
      </c>
      <c r="D1163" s="158" t="s">
        <f>"15010113921"</f>
        <v>2194</v>
      </c>
      <c r="E1163" s="158">
        <v>47.44</v>
      </c>
      <c r="F1163" s="158"/>
      <c r="G1163" s="158">
        <v>47.44</v>
      </c>
    </row>
    <row r="1164" spans="1:7" ht="32.999496" customHeight="1" x14ac:dyDescent="0.15">
      <c r="A1164" s="158">
        <v>1162.0</v>
      </c>
      <c r="B1164" s="158" t="s">
        <v>8</v>
      </c>
      <c r="C1164" s="158" t="s">
        <f>"苏璐"</f>
        <v>2195</v>
      </c>
      <c r="D1164" s="158" t="s">
        <f>"15010113922"</f>
        <v>2196</v>
      </c>
      <c r="E1164" s="158">
        <v>53.36</v>
      </c>
      <c r="F1164" s="158"/>
      <c r="G1164" s="158">
        <v>53.36</v>
      </c>
    </row>
    <row r="1165" spans="1:7" ht="32.999496" customHeight="1" x14ac:dyDescent="0.15">
      <c r="A1165" s="158">
        <v>1163.0</v>
      </c>
      <c r="B1165" s="158" t="s">
        <v>8</v>
      </c>
      <c r="C1165" s="158" t="s">
        <f>"白茹"</f>
        <v>784</v>
      </c>
      <c r="D1165" s="158" t="s">
        <f>"15010113923"</f>
        <v>2197</v>
      </c>
      <c r="E1165" s="158">
        <v>50.760000000000005</v>
      </c>
      <c r="F1165" s="158"/>
      <c r="G1165" s="158">
        <v>50.760000000000005</v>
      </c>
    </row>
    <row r="1166" spans="1:7" ht="32.999496" customHeight="1" x14ac:dyDescent="0.15">
      <c r="A1166" s="158">
        <v>1164.0</v>
      </c>
      <c r="B1166" s="158" t="s">
        <v>8</v>
      </c>
      <c r="C1166" s="158" t="s">
        <f>"钟瑞"</f>
        <v>2198</v>
      </c>
      <c r="D1166" s="158" t="s">
        <f>"15010113924"</f>
        <v>2199</v>
      </c>
      <c r="E1166" s="158" t="s">
        <v>15</v>
      </c>
      <c r="F1166" s="158"/>
      <c r="G1166" s="158" t="s">
        <v>15</v>
      </c>
    </row>
    <row r="1167" spans="1:7" ht="32.999496" customHeight="1" x14ac:dyDescent="0.15">
      <c r="A1167" s="158">
        <v>1165.0</v>
      </c>
      <c r="B1167" s="158" t="s">
        <v>8</v>
      </c>
      <c r="C1167" s="158" t="s">
        <f>"杨慧龙"</f>
        <v>2200</v>
      </c>
      <c r="D1167" s="158" t="s">
        <f>"15010113925"</f>
        <v>2201</v>
      </c>
      <c r="E1167" s="158">
        <v>51.95</v>
      </c>
      <c r="F1167" s="158"/>
      <c r="G1167" s="158">
        <v>51.95</v>
      </c>
    </row>
    <row r="1168" spans="1:7" ht="32.999496" customHeight="1" x14ac:dyDescent="0.15">
      <c r="A1168" s="158">
        <v>1166.0</v>
      </c>
      <c r="B1168" s="158" t="s">
        <v>8</v>
      </c>
      <c r="C1168" s="158" t="s">
        <f>"武娜"</f>
        <v>2202</v>
      </c>
      <c r="D1168" s="158" t="s">
        <f>"15010113926"</f>
        <v>2203</v>
      </c>
      <c r="E1168" s="158">
        <v>65.83</v>
      </c>
      <c r="F1168" s="158"/>
      <c r="G1168" s="158">
        <v>65.83</v>
      </c>
    </row>
    <row r="1169" spans="1:7" ht="32.999496" customHeight="1" x14ac:dyDescent="0.15">
      <c r="A1169" s="158">
        <v>1167.0</v>
      </c>
      <c r="B1169" s="158" t="s">
        <v>8</v>
      </c>
      <c r="C1169" s="158" t="s">
        <f>"庄月英"</f>
        <v>2204</v>
      </c>
      <c r="D1169" s="158" t="s">
        <f>"15010113927"</f>
        <v>2205</v>
      </c>
      <c r="E1169" s="158">
        <v>52.519999999999996</v>
      </c>
      <c r="F1169" s="158"/>
      <c r="G1169" s="158">
        <v>52.519999999999996</v>
      </c>
    </row>
    <row r="1170" spans="1:7" ht="32.999496" customHeight="1" x14ac:dyDescent="0.15">
      <c r="A1170" s="158">
        <v>1168.0</v>
      </c>
      <c r="B1170" s="158" t="s">
        <v>8</v>
      </c>
      <c r="C1170" s="158" t="s">
        <f>"高宇"</f>
        <v>2206</v>
      </c>
      <c r="D1170" s="158" t="s">
        <f>"15010113928"</f>
        <v>2207</v>
      </c>
      <c r="E1170" s="158">
        <v>52.21</v>
      </c>
      <c r="F1170" s="158"/>
      <c r="G1170" s="158">
        <v>52.21</v>
      </c>
    </row>
    <row r="1171" spans="1:7" ht="32.999496" customHeight="1" x14ac:dyDescent="0.15">
      <c r="A1171" s="158">
        <v>1169.0</v>
      </c>
      <c r="B1171" s="158" t="s">
        <v>8</v>
      </c>
      <c r="C1171" s="158" t="s">
        <f>"王舒誉"</f>
        <v>2134</v>
      </c>
      <c r="D1171" s="158" t="s">
        <f>"15010113929"</f>
        <v>2208</v>
      </c>
      <c r="E1171" s="158" t="s">
        <v>15</v>
      </c>
      <c r="F1171" s="158"/>
      <c r="G1171" s="158" t="s">
        <v>15</v>
      </c>
    </row>
    <row r="1172" spans="1:7" ht="32.999496" customHeight="1" x14ac:dyDescent="0.15">
      <c r="A1172" s="158">
        <v>1170.0</v>
      </c>
      <c r="B1172" s="158" t="s">
        <v>8</v>
      </c>
      <c r="C1172" s="158" t="s">
        <f>"冯芳"</f>
        <v>2209</v>
      </c>
      <c r="D1172" s="158" t="s">
        <f>"15010113930"</f>
        <v>2210</v>
      </c>
      <c r="E1172" s="158">
        <v>52.96</v>
      </c>
      <c r="F1172" s="158"/>
      <c r="G1172" s="158">
        <v>52.96</v>
      </c>
    </row>
    <row r="1173" spans="1:7" ht="32.999496" customHeight="1" x14ac:dyDescent="0.15">
      <c r="A1173" s="158">
        <v>1171.0</v>
      </c>
      <c r="B1173" s="158" t="s">
        <v>8</v>
      </c>
      <c r="C1173" s="158" t="s">
        <f>"马丽"</f>
        <v>2211</v>
      </c>
      <c r="D1173" s="158" t="s">
        <f>"15010114001"</f>
        <v>2212</v>
      </c>
      <c r="E1173" s="158">
        <v>48.17</v>
      </c>
      <c r="F1173" s="158"/>
      <c r="G1173" s="158">
        <v>48.17</v>
      </c>
    </row>
    <row r="1174" spans="1:7" ht="32.999496" customHeight="1" x14ac:dyDescent="0.15">
      <c r="A1174" s="158">
        <v>1172.0</v>
      </c>
      <c r="B1174" s="158" t="s">
        <v>8</v>
      </c>
      <c r="C1174" s="158" t="s">
        <f>"李小智"</f>
        <v>2213</v>
      </c>
      <c r="D1174" s="158" t="s">
        <f>"15010114002"</f>
        <v>2214</v>
      </c>
      <c r="E1174" s="158" t="s">
        <v>15</v>
      </c>
      <c r="F1174" s="158"/>
      <c r="G1174" s="158" t="s">
        <v>15</v>
      </c>
    </row>
    <row r="1175" spans="1:7" ht="32.999496" customHeight="1" x14ac:dyDescent="0.15">
      <c r="A1175" s="158">
        <v>1173.0</v>
      </c>
      <c r="B1175" s="158" t="s">
        <v>8</v>
      </c>
      <c r="C1175" s="158" t="s">
        <f>"庞雪"</f>
        <v>2215</v>
      </c>
      <c r="D1175" s="158" t="s">
        <f>"15010114003"</f>
        <v>2216</v>
      </c>
      <c r="E1175" s="158">
        <v>57.39</v>
      </c>
      <c r="F1175" s="158"/>
      <c r="G1175" s="158">
        <v>57.39</v>
      </c>
    </row>
    <row r="1176" spans="1:7" ht="32.999496" customHeight="1" x14ac:dyDescent="0.15">
      <c r="A1176" s="158">
        <v>1174.0</v>
      </c>
      <c r="B1176" s="158" t="s">
        <v>8</v>
      </c>
      <c r="C1176" s="158" t="s">
        <f>"孟媛媛"</f>
        <v>2217</v>
      </c>
      <c r="D1176" s="158" t="s">
        <f>"15010114004"</f>
        <v>2218</v>
      </c>
      <c r="E1176" s="158" t="s">
        <v>15</v>
      </c>
      <c r="F1176" s="158"/>
      <c r="G1176" s="158" t="s">
        <v>15</v>
      </c>
    </row>
    <row r="1177" spans="1:7" ht="32.999496" customHeight="1" x14ac:dyDescent="0.15">
      <c r="A1177" s="158">
        <v>1175.0</v>
      </c>
      <c r="B1177" s="158" t="s">
        <v>8</v>
      </c>
      <c r="C1177" s="158" t="s">
        <f>"赵建刚"</f>
        <v>2219</v>
      </c>
      <c r="D1177" s="158" t="s">
        <f>"15010114005"</f>
        <v>2220</v>
      </c>
      <c r="E1177" s="158">
        <v>56.01</v>
      </c>
      <c r="F1177" s="158"/>
      <c r="G1177" s="158">
        <v>56.01</v>
      </c>
    </row>
    <row r="1178" spans="1:7" ht="32.999496" customHeight="1" x14ac:dyDescent="0.15">
      <c r="A1178" s="158">
        <v>1176.0</v>
      </c>
      <c r="B1178" s="158" t="s">
        <v>8</v>
      </c>
      <c r="C1178" s="158" t="s">
        <f>"高钰柠"</f>
        <v>2221</v>
      </c>
      <c r="D1178" s="158" t="s">
        <f>"15010114006"</f>
        <v>2222</v>
      </c>
      <c r="E1178" s="158">
        <v>28.58</v>
      </c>
      <c r="F1178" s="158"/>
      <c r="G1178" s="158">
        <v>28.58</v>
      </c>
    </row>
    <row r="1179" spans="1:7" ht="32.999496" customHeight="1" x14ac:dyDescent="0.15">
      <c r="A1179" s="158">
        <v>1177.0</v>
      </c>
      <c r="B1179" s="158" t="s">
        <v>8</v>
      </c>
      <c r="C1179" s="158" t="s">
        <f>"刘治平"</f>
        <v>2223</v>
      </c>
      <c r="D1179" s="158" t="s">
        <f>"15010114007"</f>
        <v>2224</v>
      </c>
      <c r="E1179" s="158" t="s">
        <v>15</v>
      </c>
      <c r="F1179" s="158"/>
      <c r="G1179" s="158" t="s">
        <v>15</v>
      </c>
    </row>
    <row r="1180" spans="1:7" ht="32.999496" customHeight="1" x14ac:dyDescent="0.15">
      <c r="A1180" s="158">
        <v>1178.0</v>
      </c>
      <c r="B1180" s="158" t="s">
        <v>8</v>
      </c>
      <c r="C1180" s="158" t="s">
        <f>"刘玉梅"</f>
        <v>2225</v>
      </c>
      <c r="D1180" s="158" t="s">
        <f>"15010114008"</f>
        <v>2226</v>
      </c>
      <c r="E1180" s="158">
        <v>53.269999999999996</v>
      </c>
      <c r="F1180" s="158">
        <v>2.5</v>
      </c>
      <c r="G1180" s="158">
        <v>55.769999999999996</v>
      </c>
    </row>
    <row r="1181" spans="1:7" ht="32.999496" customHeight="1" x14ac:dyDescent="0.15">
      <c r="A1181" s="158">
        <v>1179.0</v>
      </c>
      <c r="B1181" s="158" t="s">
        <v>8</v>
      </c>
      <c r="C1181" s="158" t="s">
        <f>"郭荣"</f>
        <v>1270</v>
      </c>
      <c r="D1181" s="158" t="s">
        <f>"15010114009"</f>
        <v>2227</v>
      </c>
      <c r="E1181" s="158">
        <v>58.269999999999996</v>
      </c>
      <c r="F1181" s="158"/>
      <c r="G1181" s="158">
        <v>58.269999999999996</v>
      </c>
    </row>
    <row r="1182" spans="1:7" ht="32.999496" customHeight="1" x14ac:dyDescent="0.15">
      <c r="A1182" s="158">
        <v>1180.0</v>
      </c>
      <c r="B1182" s="158" t="s">
        <v>8</v>
      </c>
      <c r="C1182" s="158" t="s">
        <f>"李靖"</f>
        <v>2228</v>
      </c>
      <c r="D1182" s="158" t="s">
        <f>"15010114010"</f>
        <v>2229</v>
      </c>
      <c r="E1182" s="158">
        <v>62.48</v>
      </c>
      <c r="F1182" s="158"/>
      <c r="G1182" s="158">
        <v>62.48</v>
      </c>
    </row>
    <row r="1183" spans="1:7" ht="32.999496" customHeight="1" x14ac:dyDescent="0.15">
      <c r="A1183" s="158">
        <v>1181.0</v>
      </c>
      <c r="B1183" s="158" t="s">
        <v>8</v>
      </c>
      <c r="C1183" s="158" t="s">
        <f>"白静"</f>
        <v>244</v>
      </c>
      <c r="D1183" s="158" t="s">
        <f>"15010114011"</f>
        <v>2230</v>
      </c>
      <c r="E1183" s="158">
        <v>61.1</v>
      </c>
      <c r="F1183" s="158"/>
      <c r="G1183" s="158">
        <v>61.1</v>
      </c>
    </row>
    <row r="1184" spans="1:7" ht="32.999496" customHeight="1" x14ac:dyDescent="0.15">
      <c r="A1184" s="158">
        <v>1182.0</v>
      </c>
      <c r="B1184" s="158" t="s">
        <v>8</v>
      </c>
      <c r="C1184" s="158" t="s">
        <f>"郭静"</f>
        <v>2231</v>
      </c>
      <c r="D1184" s="158" t="s">
        <f>"15010114012"</f>
        <v>2232</v>
      </c>
      <c r="E1184" s="158">
        <v>47.379999999999995</v>
      </c>
      <c r="F1184" s="158"/>
      <c r="G1184" s="158">
        <v>47.379999999999995</v>
      </c>
    </row>
    <row r="1185" spans="1:7" ht="32.999496" customHeight="1" x14ac:dyDescent="0.15">
      <c r="A1185" s="158">
        <v>1183.0</v>
      </c>
      <c r="B1185" s="158" t="s">
        <v>8</v>
      </c>
      <c r="C1185" s="158" t="s">
        <f>"刘渊"</f>
        <v>2233</v>
      </c>
      <c r="D1185" s="158" t="s">
        <f>"15010114013"</f>
        <v>2234</v>
      </c>
      <c r="E1185" s="158">
        <v>53.16</v>
      </c>
      <c r="F1185" s="158"/>
      <c r="G1185" s="158">
        <v>53.16</v>
      </c>
    </row>
    <row r="1186" spans="1:7" ht="32.999496" customHeight="1" x14ac:dyDescent="0.15">
      <c r="A1186" s="158">
        <v>1184.0</v>
      </c>
      <c r="B1186" s="158" t="s">
        <v>8</v>
      </c>
      <c r="C1186" s="158" t="s">
        <f>"郭利刚"</f>
        <v>2235</v>
      </c>
      <c r="D1186" s="158" t="s">
        <f>"15010114014"</f>
        <v>2236</v>
      </c>
      <c r="E1186" s="158">
        <v>52.59</v>
      </c>
      <c r="F1186" s="158"/>
      <c r="G1186" s="158">
        <v>52.59</v>
      </c>
    </row>
    <row r="1187" spans="1:7" ht="32.999496" customHeight="1" x14ac:dyDescent="0.15">
      <c r="A1187" s="158">
        <v>1185.0</v>
      </c>
      <c r="B1187" s="158" t="s">
        <v>8</v>
      </c>
      <c r="C1187" s="158" t="s">
        <f>"陈刚"</f>
        <v>2237</v>
      </c>
      <c r="D1187" s="158" t="s">
        <f>"15010114015"</f>
        <v>2238</v>
      </c>
      <c r="E1187" s="158" t="s">
        <v>15</v>
      </c>
      <c r="F1187" s="158"/>
      <c r="G1187" s="158" t="s">
        <v>15</v>
      </c>
    </row>
    <row r="1188" spans="1:7" ht="32.999496" customHeight="1" x14ac:dyDescent="0.15">
      <c r="A1188" s="158">
        <v>1186.0</v>
      </c>
      <c r="B1188" s="158" t="s">
        <v>8</v>
      </c>
      <c r="C1188" s="158" t="s">
        <f>"井宇"</f>
        <v>2239</v>
      </c>
      <c r="D1188" s="158" t="s">
        <f>"15010114016"</f>
        <v>2240</v>
      </c>
      <c r="E1188" s="158">
        <v>60.4</v>
      </c>
      <c r="F1188" s="158"/>
      <c r="G1188" s="158">
        <v>60.4</v>
      </c>
    </row>
    <row r="1189" spans="1:7" ht="32.999496" customHeight="1" x14ac:dyDescent="0.15">
      <c r="A1189" s="158">
        <v>1187.0</v>
      </c>
      <c r="B1189" s="158" t="s">
        <v>8</v>
      </c>
      <c r="C1189" s="158" t="s">
        <f>"李海英"</f>
        <v>2241</v>
      </c>
      <c r="D1189" s="158" t="s">
        <f>"15010114017"</f>
        <v>2242</v>
      </c>
      <c r="E1189" s="158">
        <v>68.05</v>
      </c>
      <c r="F1189" s="158"/>
      <c r="G1189" s="158">
        <v>68.05</v>
      </c>
    </row>
    <row r="1190" spans="1:7" ht="32.999496" customHeight="1" x14ac:dyDescent="0.15">
      <c r="A1190" s="158">
        <v>1188.0</v>
      </c>
      <c r="B1190" s="158" t="s">
        <v>8</v>
      </c>
      <c r="C1190" s="158" t="s">
        <f>"郝艳梅"</f>
        <v>2243</v>
      </c>
      <c r="D1190" s="158" t="s">
        <f>"15010114018"</f>
        <v>2244</v>
      </c>
      <c r="E1190" s="158">
        <v>52.269999999999996</v>
      </c>
      <c r="F1190" s="158"/>
      <c r="G1190" s="158">
        <v>52.269999999999996</v>
      </c>
    </row>
    <row r="1191" spans="1:7" ht="32.999496" customHeight="1" x14ac:dyDescent="0.15">
      <c r="A1191" s="158">
        <v>1189.0</v>
      </c>
      <c r="B1191" s="158" t="s">
        <v>8</v>
      </c>
      <c r="C1191" s="158" t="s">
        <f>"陈鑫"</f>
        <v>2245</v>
      </c>
      <c r="D1191" s="158" t="s">
        <f>"15010114019"</f>
        <v>2246</v>
      </c>
      <c r="E1191" s="158">
        <v>54.69</v>
      </c>
      <c r="F1191" s="158"/>
      <c r="G1191" s="158">
        <v>54.69</v>
      </c>
    </row>
    <row r="1192" spans="1:7" ht="32.999496" customHeight="1" x14ac:dyDescent="0.15">
      <c r="A1192" s="158">
        <v>1190.0</v>
      </c>
      <c r="B1192" s="158" t="s">
        <v>8</v>
      </c>
      <c r="C1192" s="158" t="s">
        <f>"马娜"</f>
        <v>2247</v>
      </c>
      <c r="D1192" s="158" t="s">
        <f>"15010114020"</f>
        <v>2248</v>
      </c>
      <c r="E1192" s="158" t="s">
        <v>15</v>
      </c>
      <c r="F1192" s="158"/>
      <c r="G1192" s="158" t="s">
        <v>15</v>
      </c>
    </row>
    <row r="1193" spans="1:7" ht="32.999496" customHeight="1" x14ac:dyDescent="0.15">
      <c r="A1193" s="158">
        <v>1191.0</v>
      </c>
      <c r="B1193" s="158" t="s">
        <v>8</v>
      </c>
      <c r="C1193" s="158" t="s">
        <f>"谢巧燕"</f>
        <v>2249</v>
      </c>
      <c r="D1193" s="158" t="s">
        <f>"15010114021"</f>
        <v>2250</v>
      </c>
      <c r="E1193" s="158">
        <v>60.23</v>
      </c>
      <c r="F1193" s="158"/>
      <c r="G1193" s="158">
        <v>60.23</v>
      </c>
    </row>
    <row r="1194" spans="1:7" ht="32.999496" customHeight="1" x14ac:dyDescent="0.15">
      <c r="A1194" s="158">
        <v>1192.0</v>
      </c>
      <c r="B1194" s="158" t="s">
        <v>8</v>
      </c>
      <c r="C1194" s="158" t="s">
        <f>"韩凇屹"</f>
        <v>2251</v>
      </c>
      <c r="D1194" s="158" t="s">
        <f>"15010114022"</f>
        <v>2252</v>
      </c>
      <c r="E1194" s="158">
        <v>56.01</v>
      </c>
      <c r="F1194" s="158"/>
      <c r="G1194" s="158">
        <v>56.01</v>
      </c>
    </row>
    <row r="1195" spans="1:7" ht="32.999496" customHeight="1" x14ac:dyDescent="0.15">
      <c r="A1195" s="158">
        <v>1193.0</v>
      </c>
      <c r="B1195" s="158" t="s">
        <v>8</v>
      </c>
      <c r="C1195" s="158" t="s">
        <f>"苏艳峰"</f>
        <v>2253</v>
      </c>
      <c r="D1195" s="158" t="s">
        <f>"15010114023"</f>
        <v>2254</v>
      </c>
      <c r="E1195" s="158" t="s">
        <v>15</v>
      </c>
      <c r="F1195" s="158"/>
      <c r="G1195" s="158" t="s">
        <v>15</v>
      </c>
    </row>
    <row r="1196" spans="1:7" ht="32.999496" customHeight="1" x14ac:dyDescent="0.15">
      <c r="A1196" s="158">
        <v>1194.0</v>
      </c>
      <c r="B1196" s="158" t="s">
        <v>8</v>
      </c>
      <c r="C1196" s="158" t="s">
        <f>"张芙蓉"</f>
        <v>2255</v>
      </c>
      <c r="D1196" s="158" t="s">
        <f>"15010114024"</f>
        <v>2256</v>
      </c>
      <c r="E1196" s="158">
        <v>62.22</v>
      </c>
      <c r="F1196" s="158"/>
      <c r="G1196" s="158">
        <v>62.22</v>
      </c>
    </row>
    <row r="1197" spans="1:7" ht="32.999496" customHeight="1" x14ac:dyDescent="0.15">
      <c r="A1197" s="158">
        <v>1195.0</v>
      </c>
      <c r="B1197" s="158" t="s">
        <v>8</v>
      </c>
      <c r="C1197" s="158" t="s">
        <f>"贾春媛"</f>
        <v>2257</v>
      </c>
      <c r="D1197" s="158" t="s">
        <f>"15010114025"</f>
        <v>2258</v>
      </c>
      <c r="E1197" s="158">
        <v>38.5</v>
      </c>
      <c r="F1197" s="158"/>
      <c r="G1197" s="158">
        <v>38.5</v>
      </c>
    </row>
    <row r="1198" spans="1:7" ht="32.999496" customHeight="1" x14ac:dyDescent="0.15">
      <c r="A1198" s="158">
        <v>1196.0</v>
      </c>
      <c r="B1198" s="158" t="s">
        <v>8</v>
      </c>
      <c r="C1198" s="158" t="s">
        <f>"王泓清"</f>
        <v>2259</v>
      </c>
      <c r="D1198" s="158" t="s">
        <f>"15010114026"</f>
        <v>2260</v>
      </c>
      <c r="E1198" s="158" t="s">
        <v>15</v>
      </c>
      <c r="F1198" s="158"/>
      <c r="G1198" s="158" t="s">
        <v>15</v>
      </c>
    </row>
    <row r="1199" spans="1:7" ht="32.999496" customHeight="1" x14ac:dyDescent="0.15">
      <c r="A1199" s="158">
        <v>1197.0</v>
      </c>
      <c r="B1199" s="158" t="s">
        <v>8</v>
      </c>
      <c r="C1199" s="158" t="s">
        <f>"肖正正"</f>
        <v>2261</v>
      </c>
      <c r="D1199" s="158" t="s">
        <f>"15010114027"</f>
        <v>2262</v>
      </c>
      <c r="E1199" s="158" t="s">
        <v>15</v>
      </c>
      <c r="F1199" s="158"/>
      <c r="G1199" s="158" t="s">
        <v>15</v>
      </c>
    </row>
    <row r="1200" spans="1:7" ht="32.999496" customHeight="1" x14ac:dyDescent="0.15">
      <c r="A1200" s="158">
        <v>1198.0</v>
      </c>
      <c r="B1200" s="158" t="s">
        <v>8</v>
      </c>
      <c r="C1200" s="158" t="s">
        <f>"郭丽婷"</f>
        <v>2263</v>
      </c>
      <c r="D1200" s="158" t="s">
        <f>"15010114028"</f>
        <v>2264</v>
      </c>
      <c r="E1200" s="158">
        <v>63.19</v>
      </c>
      <c r="F1200" s="158"/>
      <c r="G1200" s="158">
        <v>63.19</v>
      </c>
    </row>
    <row r="1201" spans="1:7" ht="32.999496" customHeight="1" x14ac:dyDescent="0.15">
      <c r="A1201" s="158">
        <v>1199.0</v>
      </c>
      <c r="B1201" s="158" t="s">
        <v>8</v>
      </c>
      <c r="C1201" s="158" t="s">
        <f>"张智龙"</f>
        <v>2265</v>
      </c>
      <c r="D1201" s="158" t="s">
        <f>"15010114029"</f>
        <v>2266</v>
      </c>
      <c r="E1201" s="158">
        <v>50.769999999999996</v>
      </c>
      <c r="F1201" s="158"/>
      <c r="G1201" s="158">
        <v>50.769999999999996</v>
      </c>
    </row>
    <row r="1202" spans="1:7" ht="32.999496" customHeight="1" x14ac:dyDescent="0.15">
      <c r="A1202" s="158">
        <v>1200.0</v>
      </c>
      <c r="B1202" s="158" t="s">
        <v>8</v>
      </c>
      <c r="C1202" s="158" t="s">
        <f>"解燕"</f>
        <v>2267</v>
      </c>
      <c r="D1202" s="158" t="s">
        <f>"15010114030"</f>
        <v>2268</v>
      </c>
      <c r="E1202" s="158">
        <v>52.86</v>
      </c>
      <c r="F1202" s="158"/>
      <c r="G1202" s="158">
        <v>52.86</v>
      </c>
    </row>
    <row r="1203" spans="1:7" ht="32.999496" customHeight="1" x14ac:dyDescent="0.15">
      <c r="A1203" s="158">
        <v>1201.0</v>
      </c>
      <c r="B1203" s="158" t="s">
        <v>8</v>
      </c>
      <c r="C1203" s="158" t="s">
        <f>"王伟"</f>
        <v>660</v>
      </c>
      <c r="D1203" s="158" t="s">
        <f>"15010114101"</f>
        <v>2269</v>
      </c>
      <c r="E1203" s="158">
        <v>69.82</v>
      </c>
      <c r="F1203" s="158"/>
      <c r="G1203" s="158">
        <v>69.82</v>
      </c>
    </row>
    <row r="1204" spans="1:7" ht="32.999496" customHeight="1" x14ac:dyDescent="0.15">
      <c r="A1204" s="158">
        <v>1202.0</v>
      </c>
      <c r="B1204" s="158" t="s">
        <v>8</v>
      </c>
      <c r="C1204" s="158" t="s">
        <f>"孟红丽"</f>
        <v>2270</v>
      </c>
      <c r="D1204" s="158" t="s">
        <f>"15010114102"</f>
        <v>2271</v>
      </c>
      <c r="E1204" s="158">
        <v>45.510000000000005</v>
      </c>
      <c r="F1204" s="158"/>
      <c r="G1204" s="158">
        <v>45.510000000000005</v>
      </c>
    </row>
    <row r="1205" spans="1:7" ht="32.999496" customHeight="1" x14ac:dyDescent="0.15">
      <c r="A1205" s="158">
        <v>1203.0</v>
      </c>
      <c r="B1205" s="158" t="s">
        <v>8</v>
      </c>
      <c r="C1205" s="158" t="s">
        <f>"吴鑫"</f>
        <v>2272</v>
      </c>
      <c r="D1205" s="158" t="s">
        <f>"15010114103"</f>
        <v>2273</v>
      </c>
      <c r="E1205" s="158">
        <v>56.44</v>
      </c>
      <c r="F1205" s="158"/>
      <c r="G1205" s="158">
        <v>56.44</v>
      </c>
    </row>
    <row r="1206" spans="1:7" ht="32.999496" customHeight="1" x14ac:dyDescent="0.15">
      <c r="A1206" s="158">
        <v>1204.0</v>
      </c>
      <c r="B1206" s="158" t="s">
        <v>8</v>
      </c>
      <c r="C1206" s="158" t="s">
        <f>"王宁"</f>
        <v>2274</v>
      </c>
      <c r="D1206" s="158" t="s">
        <f>"15010114104"</f>
        <v>2275</v>
      </c>
      <c r="E1206" s="158" t="s">
        <v>15</v>
      </c>
      <c r="F1206" s="158"/>
      <c r="G1206" s="158" t="s">
        <v>15</v>
      </c>
    </row>
    <row r="1207" spans="1:7" ht="32.999496" customHeight="1" x14ac:dyDescent="0.15">
      <c r="A1207" s="158">
        <v>1205.0</v>
      </c>
      <c r="B1207" s="158" t="s">
        <v>8</v>
      </c>
      <c r="C1207" s="158" t="s">
        <f>"高伟"</f>
        <v>1201</v>
      </c>
      <c r="D1207" s="158" t="s">
        <f>"15010114105"</f>
        <v>2276</v>
      </c>
      <c r="E1207" s="158" t="s">
        <v>15</v>
      </c>
      <c r="F1207" s="158"/>
      <c r="G1207" s="158" t="s">
        <v>15</v>
      </c>
    </row>
    <row r="1208" spans="1:7" ht="32.999496" customHeight="1" x14ac:dyDescent="0.15">
      <c r="A1208" s="158">
        <v>1206.0</v>
      </c>
      <c r="B1208" s="158" t="s">
        <v>8</v>
      </c>
      <c r="C1208" s="158" t="s">
        <f>"王国英"</f>
        <v>2277</v>
      </c>
      <c r="D1208" s="158" t="s">
        <f>"15010114106"</f>
        <v>2278</v>
      </c>
      <c r="E1208" s="158" t="s">
        <v>15</v>
      </c>
      <c r="F1208" s="158"/>
      <c r="G1208" s="158" t="s">
        <v>15</v>
      </c>
    </row>
    <row r="1209" spans="1:7" ht="32.999496" customHeight="1" x14ac:dyDescent="0.15">
      <c r="A1209" s="158">
        <v>1207.0</v>
      </c>
      <c r="B1209" s="158" t="s">
        <v>8</v>
      </c>
      <c r="C1209" s="158" t="s">
        <f>"郝瑞龙"</f>
        <v>2279</v>
      </c>
      <c r="D1209" s="158" t="s">
        <f>"15010114107"</f>
        <v>2280</v>
      </c>
      <c r="E1209" s="158">
        <v>34.55</v>
      </c>
      <c r="F1209" s="158"/>
      <c r="G1209" s="158">
        <v>34.55</v>
      </c>
    </row>
    <row r="1210" spans="1:7" ht="32.999496" customHeight="1" x14ac:dyDescent="0.15">
      <c r="A1210" s="158">
        <v>1208.0</v>
      </c>
      <c r="B1210" s="158" t="s">
        <v>8</v>
      </c>
      <c r="C1210" s="158" t="s">
        <f>"李选"</f>
        <v>2281</v>
      </c>
      <c r="D1210" s="158" t="s">
        <f>"15010114108"</f>
        <v>2282</v>
      </c>
      <c r="E1210" s="158" t="s">
        <v>15</v>
      </c>
      <c r="F1210" s="158"/>
      <c r="G1210" s="158" t="s">
        <v>15</v>
      </c>
    </row>
    <row r="1211" spans="1:7" ht="32.999496" customHeight="1" x14ac:dyDescent="0.15">
      <c r="A1211" s="158">
        <v>1209.0</v>
      </c>
      <c r="B1211" s="158" t="s">
        <v>8</v>
      </c>
      <c r="C1211" s="158" t="s">
        <f>"吴天柱"</f>
        <v>2283</v>
      </c>
      <c r="D1211" s="158" t="s">
        <f>"15010114109"</f>
        <v>2284</v>
      </c>
      <c r="E1211" s="158" t="s">
        <v>15</v>
      </c>
      <c r="F1211" s="158">
        <v>2.5</v>
      </c>
      <c r="G1211" s="158" t="s">
        <v>15</v>
      </c>
    </row>
    <row r="1212" spans="1:7" ht="32.999496" customHeight="1" x14ac:dyDescent="0.15">
      <c r="A1212" s="158">
        <v>1210.0</v>
      </c>
      <c r="B1212" s="158" t="s">
        <v>8</v>
      </c>
      <c r="C1212" s="158" t="s">
        <f>"王乐"</f>
        <v>994</v>
      </c>
      <c r="D1212" s="158" t="s">
        <f>"15010114110"</f>
        <v>2285</v>
      </c>
      <c r="E1212" s="158" t="s">
        <v>15</v>
      </c>
      <c r="F1212" s="158"/>
      <c r="G1212" s="158" t="s">
        <v>15</v>
      </c>
    </row>
    <row r="1213" spans="1:7" ht="32.999496" customHeight="1" x14ac:dyDescent="0.15">
      <c r="A1213" s="158">
        <v>1211.0</v>
      </c>
      <c r="B1213" s="158" t="s">
        <v>8</v>
      </c>
      <c r="C1213" s="158" t="s">
        <f>"解娜"</f>
        <v>2286</v>
      </c>
      <c r="D1213" s="158" t="s">
        <f>"15010114111"</f>
        <v>2287</v>
      </c>
      <c r="E1213" s="158" t="s">
        <v>15</v>
      </c>
      <c r="F1213" s="158"/>
      <c r="G1213" s="158" t="s">
        <v>15</v>
      </c>
    </row>
    <row r="1214" spans="1:7" ht="32.999496" customHeight="1" x14ac:dyDescent="0.15">
      <c r="A1214" s="158">
        <v>1212.0</v>
      </c>
      <c r="B1214" s="158" t="s">
        <v>8</v>
      </c>
      <c r="C1214" s="158" t="s">
        <f>"张丽"</f>
        <v>2288</v>
      </c>
      <c r="D1214" s="158" t="s">
        <f>"15010114112"</f>
        <v>2289</v>
      </c>
      <c r="E1214" s="158" t="s">
        <v>15</v>
      </c>
      <c r="F1214" s="158"/>
      <c r="G1214" s="158" t="s">
        <v>15</v>
      </c>
    </row>
    <row r="1215" spans="1:7" ht="32.999496" customHeight="1" x14ac:dyDescent="0.15">
      <c r="A1215" s="158">
        <v>1213.0</v>
      </c>
      <c r="B1215" s="158" t="s">
        <v>8</v>
      </c>
      <c r="C1215" s="158" t="s">
        <f>"杨瑞鹏"</f>
        <v>2290</v>
      </c>
      <c r="D1215" s="158" t="s">
        <f>"15010114113"</f>
        <v>2291</v>
      </c>
      <c r="E1215" s="158" t="s">
        <v>15</v>
      </c>
      <c r="F1215" s="158"/>
      <c r="G1215" s="158" t="s">
        <v>15</v>
      </c>
    </row>
    <row r="1216" spans="1:7" ht="32.999496" customHeight="1" x14ac:dyDescent="0.15">
      <c r="A1216" s="158">
        <v>1214.0</v>
      </c>
      <c r="B1216" s="158" t="s">
        <v>8</v>
      </c>
      <c r="C1216" s="158" t="s">
        <f>"王慧"</f>
        <v>180</v>
      </c>
      <c r="D1216" s="158" t="s">
        <f>"15010114114"</f>
        <v>2292</v>
      </c>
      <c r="E1216" s="158">
        <v>37.5</v>
      </c>
      <c r="F1216" s="158"/>
      <c r="G1216" s="158">
        <v>37.5</v>
      </c>
    </row>
    <row r="1217" spans="1:7" ht="32.999496" customHeight="1" x14ac:dyDescent="0.15">
      <c r="A1217" s="158">
        <v>1215.0</v>
      </c>
      <c r="B1217" s="158" t="s">
        <v>8</v>
      </c>
      <c r="C1217" s="158" t="s">
        <f>"韩鑫"</f>
        <v>2293</v>
      </c>
      <c r="D1217" s="158" t="s">
        <f>"15010114115"</f>
        <v>2294</v>
      </c>
      <c r="E1217" s="158" t="s">
        <v>15</v>
      </c>
      <c r="F1217" s="158"/>
      <c r="G1217" s="158" t="s">
        <v>15</v>
      </c>
    </row>
    <row r="1218" spans="1:7" ht="32.999496" customHeight="1" x14ac:dyDescent="0.15">
      <c r="A1218" s="158">
        <v>1216.0</v>
      </c>
      <c r="B1218" s="158" t="s">
        <v>8</v>
      </c>
      <c r="C1218" s="158" t="s">
        <f>"武佳聪"</f>
        <v>2295</v>
      </c>
      <c r="D1218" s="158" t="s">
        <f>"15010114116"</f>
        <v>2296</v>
      </c>
      <c r="E1218" s="158">
        <v>57.83</v>
      </c>
      <c r="F1218" s="158"/>
      <c r="G1218" s="158">
        <v>57.83</v>
      </c>
    </row>
    <row r="1219" spans="1:7" ht="32.999496" customHeight="1" x14ac:dyDescent="0.15">
      <c r="A1219" s="158">
        <v>1217.0</v>
      </c>
      <c r="B1219" s="158" t="s">
        <v>8</v>
      </c>
      <c r="C1219" s="158" t="s">
        <f>"赵候仁"</f>
        <v>2297</v>
      </c>
      <c r="D1219" s="158" t="s">
        <f>"15010114117"</f>
        <v>2298</v>
      </c>
      <c r="E1219" s="158">
        <v>67.46000000000001</v>
      </c>
      <c r="F1219" s="158"/>
      <c r="G1219" s="158">
        <v>67.46000000000001</v>
      </c>
    </row>
    <row r="1220" spans="1:7" ht="32.999496" customHeight="1" x14ac:dyDescent="0.15">
      <c r="A1220" s="158">
        <v>1218.0</v>
      </c>
      <c r="B1220" s="158" t="s">
        <v>8</v>
      </c>
      <c r="C1220" s="158" t="s">
        <f>"柴妤卓"</f>
        <v>2299</v>
      </c>
      <c r="D1220" s="158" t="s">
        <f>"15010114118"</f>
        <v>2300</v>
      </c>
      <c r="E1220" s="158" t="s">
        <v>15</v>
      </c>
      <c r="F1220" s="158"/>
      <c r="G1220" s="158" t="s">
        <v>15</v>
      </c>
    </row>
    <row r="1221" spans="1:7" ht="32.999496" customHeight="1" x14ac:dyDescent="0.15">
      <c r="A1221" s="158">
        <v>1219.0</v>
      </c>
      <c r="B1221" s="158" t="s">
        <v>8</v>
      </c>
      <c r="C1221" s="158" t="s">
        <f>"刘鹏"</f>
        <v>2301</v>
      </c>
      <c r="D1221" s="158" t="s">
        <f>"15010114119"</f>
        <v>2302</v>
      </c>
      <c r="E1221" s="158">
        <v>66.56</v>
      </c>
      <c r="F1221" s="158"/>
      <c r="G1221" s="158">
        <v>66.56</v>
      </c>
    </row>
    <row r="1222" spans="1:7" ht="32.999496" customHeight="1" x14ac:dyDescent="0.15">
      <c r="A1222" s="158">
        <v>1220.0</v>
      </c>
      <c r="B1222" s="158" t="s">
        <v>8</v>
      </c>
      <c r="C1222" s="158" t="s">
        <f>"贾胜杰"</f>
        <v>2303</v>
      </c>
      <c r="D1222" s="158" t="s">
        <f>"15010114120"</f>
        <v>2304</v>
      </c>
      <c r="E1222" s="158">
        <v>65.14</v>
      </c>
      <c r="F1222" s="158"/>
      <c r="G1222" s="158">
        <v>65.14</v>
      </c>
    </row>
    <row r="1223" spans="1:7" ht="32.999496" customHeight="1" x14ac:dyDescent="0.15">
      <c r="A1223" s="158">
        <v>1221.0</v>
      </c>
      <c r="B1223" s="158" t="s">
        <v>8</v>
      </c>
      <c r="C1223" s="158" t="s">
        <f>"白敏"</f>
        <v>2305</v>
      </c>
      <c r="D1223" s="158" t="s">
        <f>"15010114121"</f>
        <v>2306</v>
      </c>
      <c r="E1223" s="158" t="s">
        <v>15</v>
      </c>
      <c r="F1223" s="158"/>
      <c r="G1223" s="158" t="s">
        <v>15</v>
      </c>
    </row>
    <row r="1224" spans="1:7" ht="32.999496" customHeight="1" x14ac:dyDescent="0.15">
      <c r="A1224" s="158">
        <v>1222.0</v>
      </c>
      <c r="B1224" s="158" t="s">
        <v>8</v>
      </c>
      <c r="C1224" s="158" t="s">
        <f>"梁宇"</f>
        <v>2307</v>
      </c>
      <c r="D1224" s="158" t="s">
        <f>"15010114122"</f>
        <v>2308</v>
      </c>
      <c r="E1224" s="158">
        <v>58.57</v>
      </c>
      <c r="F1224" s="158"/>
      <c r="G1224" s="158">
        <v>58.57</v>
      </c>
    </row>
    <row r="1225" spans="1:7" ht="32.999496" customHeight="1" x14ac:dyDescent="0.15">
      <c r="A1225" s="158">
        <v>1223.0</v>
      </c>
      <c r="B1225" s="158" t="s">
        <v>8</v>
      </c>
      <c r="C1225" s="158" t="s">
        <f>"高楷伦"</f>
        <v>2309</v>
      </c>
      <c r="D1225" s="158" t="s">
        <f>"15010114123"</f>
        <v>2310</v>
      </c>
      <c r="E1225" s="158">
        <v>43.73</v>
      </c>
      <c r="F1225" s="158"/>
      <c r="G1225" s="158">
        <v>43.73</v>
      </c>
    </row>
    <row r="1226" spans="1:7" ht="32.999496" customHeight="1" x14ac:dyDescent="0.15">
      <c r="A1226" s="158">
        <v>1224.0</v>
      </c>
      <c r="B1226" s="158" t="s">
        <v>8</v>
      </c>
      <c r="C1226" s="158" t="s">
        <f>"朱彤"</f>
        <v>2311</v>
      </c>
      <c r="D1226" s="158" t="s">
        <f>"15010114124"</f>
        <v>2312</v>
      </c>
      <c r="E1226" s="158" t="s">
        <v>15</v>
      </c>
      <c r="F1226" s="158"/>
      <c r="G1226" s="158" t="s">
        <v>15</v>
      </c>
    </row>
    <row r="1227" spans="1:7" ht="32.999496" customHeight="1" x14ac:dyDescent="0.15">
      <c r="A1227" s="158">
        <v>1225.0</v>
      </c>
      <c r="B1227" s="158" t="s">
        <v>8</v>
      </c>
      <c r="C1227" s="158" t="s">
        <f>"乌云毕力格"</f>
        <v>2313</v>
      </c>
      <c r="D1227" s="158" t="s">
        <f>"15010114125"</f>
        <v>2314</v>
      </c>
      <c r="E1227" s="158">
        <v>50.48</v>
      </c>
      <c r="F1227" s="158">
        <v>2.5</v>
      </c>
      <c r="G1227" s="158">
        <v>52.98</v>
      </c>
    </row>
    <row r="1228" spans="1:7" ht="32.999496" customHeight="1" x14ac:dyDescent="0.15">
      <c r="A1228" s="158">
        <v>1226.0</v>
      </c>
      <c r="B1228" s="158" t="s">
        <v>8</v>
      </c>
      <c r="C1228" s="158" t="s">
        <f>"奇煦乔"</f>
        <v>2315</v>
      </c>
      <c r="D1228" s="158" t="s">
        <f>"15010114126"</f>
        <v>2316</v>
      </c>
      <c r="E1228" s="158" t="s">
        <v>15</v>
      </c>
      <c r="F1228" s="158">
        <v>2.5</v>
      </c>
      <c r="G1228" s="158" t="s">
        <v>15</v>
      </c>
    </row>
    <row r="1229" spans="1:7" ht="32.999496" customHeight="1" x14ac:dyDescent="0.15">
      <c r="A1229" s="158">
        <v>1227.0</v>
      </c>
      <c r="B1229" s="158" t="s">
        <v>8</v>
      </c>
      <c r="C1229" s="158" t="s">
        <f>"李瑞"</f>
        <v>2317</v>
      </c>
      <c r="D1229" s="158" t="s">
        <f>"15010114127"</f>
        <v>2318</v>
      </c>
      <c r="E1229" s="158" t="s">
        <v>15</v>
      </c>
      <c r="F1229" s="158"/>
      <c r="G1229" s="158" t="s">
        <v>15</v>
      </c>
    </row>
    <row r="1230" spans="1:7" ht="32.999496" customHeight="1" x14ac:dyDescent="0.15">
      <c r="A1230" s="158">
        <v>1228.0</v>
      </c>
      <c r="B1230" s="158" t="s">
        <v>8</v>
      </c>
      <c r="C1230" s="158" t="s">
        <f>"江蕾"</f>
        <v>2319</v>
      </c>
      <c r="D1230" s="158" t="s">
        <f>"15010114128"</f>
        <v>2320</v>
      </c>
      <c r="E1230" s="158">
        <v>58.980000000000004</v>
      </c>
      <c r="F1230" s="158"/>
      <c r="G1230" s="158">
        <v>58.980000000000004</v>
      </c>
    </row>
    <row r="1231" spans="1:7" ht="32.999496" customHeight="1" x14ac:dyDescent="0.15">
      <c r="A1231" s="158">
        <v>1229.0</v>
      </c>
      <c r="B1231" s="158" t="s">
        <v>8</v>
      </c>
      <c r="C1231" s="158" t="s">
        <f>"张煊荣"</f>
        <v>2321</v>
      </c>
      <c r="D1231" s="158" t="s">
        <f>"15010114129"</f>
        <v>2322</v>
      </c>
      <c r="E1231" s="158">
        <v>55.72</v>
      </c>
      <c r="F1231" s="158"/>
      <c r="G1231" s="158">
        <v>55.72</v>
      </c>
    </row>
    <row r="1232" spans="1:7" ht="32.999496" customHeight="1" x14ac:dyDescent="0.15">
      <c r="A1232" s="158">
        <v>1230.0</v>
      </c>
      <c r="B1232" s="158" t="s">
        <v>8</v>
      </c>
      <c r="C1232" s="158" t="s">
        <f>"吴碧祖"</f>
        <v>2323</v>
      </c>
      <c r="D1232" s="158" t="s">
        <f>"15010114130"</f>
        <v>2324</v>
      </c>
      <c r="E1232" s="158">
        <v>53.370000000000005</v>
      </c>
      <c r="F1232" s="158"/>
      <c r="G1232" s="158">
        <v>53.370000000000005</v>
      </c>
    </row>
    <row r="1233" spans="1:7" ht="32.999496" customHeight="1" x14ac:dyDescent="0.15">
      <c r="A1233" s="158">
        <v>1231.0</v>
      </c>
      <c r="B1233" s="158" t="s">
        <v>8</v>
      </c>
      <c r="C1233" s="158" t="s">
        <f>"郭艳梅"</f>
        <v>2325</v>
      </c>
      <c r="D1233" s="158" t="s">
        <f>"15010114201"</f>
        <v>2326</v>
      </c>
      <c r="E1233" s="158">
        <v>52.46</v>
      </c>
      <c r="F1233" s="158"/>
      <c r="G1233" s="158">
        <v>52.46</v>
      </c>
    </row>
    <row r="1234" spans="1:7" ht="32.999496" customHeight="1" x14ac:dyDescent="0.15">
      <c r="A1234" s="158">
        <v>1232.0</v>
      </c>
      <c r="B1234" s="158" t="s">
        <v>8</v>
      </c>
      <c r="C1234" s="158" t="s">
        <f>"张媛"</f>
        <v>795</v>
      </c>
      <c r="D1234" s="158" t="s">
        <f>"15010114202"</f>
        <v>2327</v>
      </c>
      <c r="E1234" s="158">
        <v>63.41</v>
      </c>
      <c r="F1234" s="158"/>
      <c r="G1234" s="158">
        <v>63.41</v>
      </c>
    </row>
    <row r="1235" spans="1:7" ht="32.999496" customHeight="1" x14ac:dyDescent="0.15">
      <c r="A1235" s="158">
        <v>1233.0</v>
      </c>
      <c r="B1235" s="158" t="s">
        <v>8</v>
      </c>
      <c r="C1235" s="158" t="s">
        <f>"冯瑞娜"</f>
        <v>2328</v>
      </c>
      <c r="D1235" s="158" t="s">
        <f>"15010114203"</f>
        <v>2329</v>
      </c>
      <c r="E1235" s="158">
        <v>56.230000000000004</v>
      </c>
      <c r="F1235" s="158"/>
      <c r="G1235" s="158">
        <v>56.230000000000004</v>
      </c>
    </row>
    <row r="1236" spans="1:7" ht="32.999496" customHeight="1" x14ac:dyDescent="0.15">
      <c r="A1236" s="158">
        <v>1234.0</v>
      </c>
      <c r="B1236" s="158" t="s">
        <v>8</v>
      </c>
      <c r="C1236" s="158" t="s">
        <f>"王伟"</f>
        <v>660</v>
      </c>
      <c r="D1236" s="158" t="s">
        <f>"15010114204"</f>
        <v>2330</v>
      </c>
      <c r="E1236" s="158">
        <v>59.66</v>
      </c>
      <c r="F1236" s="158"/>
      <c r="G1236" s="158">
        <v>59.66</v>
      </c>
    </row>
    <row r="1237" spans="1:7" ht="32.999496" customHeight="1" x14ac:dyDescent="0.15">
      <c r="A1237" s="158">
        <v>1235.0</v>
      </c>
      <c r="B1237" s="158" t="s">
        <v>8</v>
      </c>
      <c r="C1237" s="158" t="s">
        <f>"雷媛"</f>
        <v>2331</v>
      </c>
      <c r="D1237" s="158" t="s">
        <f>"15010114205"</f>
        <v>2332</v>
      </c>
      <c r="E1237" s="158">
        <v>53.620000000000005</v>
      </c>
      <c r="F1237" s="158"/>
      <c r="G1237" s="158">
        <v>53.620000000000005</v>
      </c>
    </row>
    <row r="1238" spans="1:7" ht="32.999496" customHeight="1" x14ac:dyDescent="0.15">
      <c r="A1238" s="158">
        <v>1236.0</v>
      </c>
      <c r="B1238" s="158" t="s">
        <v>8</v>
      </c>
      <c r="C1238" s="158" t="s">
        <f>"乔璐"</f>
        <v>471</v>
      </c>
      <c r="D1238" s="158" t="s">
        <f>"15010114206"</f>
        <v>2333</v>
      </c>
      <c r="E1238" s="158">
        <v>49.28</v>
      </c>
      <c r="F1238" s="158"/>
      <c r="G1238" s="158">
        <v>49.28</v>
      </c>
    </row>
    <row r="1239" spans="1:7" ht="32.999496" customHeight="1" x14ac:dyDescent="0.15">
      <c r="A1239" s="158">
        <v>1237.0</v>
      </c>
      <c r="B1239" s="158" t="s">
        <v>8</v>
      </c>
      <c r="C1239" s="158" t="s">
        <f>"安贺"</f>
        <v>2334</v>
      </c>
      <c r="D1239" s="158" t="s">
        <f>"15010114207"</f>
        <v>2335</v>
      </c>
      <c r="E1239" s="158">
        <v>52.03</v>
      </c>
      <c r="F1239" s="158"/>
      <c r="G1239" s="158">
        <v>52.03</v>
      </c>
    </row>
    <row r="1240" spans="1:7" ht="32.999496" customHeight="1" x14ac:dyDescent="0.15">
      <c r="A1240" s="158">
        <v>1238.0</v>
      </c>
      <c r="B1240" s="158" t="s">
        <v>8</v>
      </c>
      <c r="C1240" s="158" t="s">
        <f>"李雪"</f>
        <v>18</v>
      </c>
      <c r="D1240" s="158" t="s">
        <f>"15010114208"</f>
        <v>2336</v>
      </c>
      <c r="E1240" s="158">
        <v>71.86</v>
      </c>
      <c r="F1240" s="158"/>
      <c r="G1240" s="158">
        <v>71.86</v>
      </c>
    </row>
    <row r="1241" spans="1:7" ht="32.999496" customHeight="1" x14ac:dyDescent="0.15">
      <c r="A1241" s="158">
        <v>1239.0</v>
      </c>
      <c r="B1241" s="158" t="s">
        <v>8</v>
      </c>
      <c r="C1241" s="158" t="s">
        <f>"王轶姝"</f>
        <v>2337</v>
      </c>
      <c r="D1241" s="158" t="s">
        <f>"15010114209"</f>
        <v>2338</v>
      </c>
      <c r="E1241" s="158" t="s">
        <v>15</v>
      </c>
      <c r="F1241" s="158"/>
      <c r="G1241" s="158" t="s">
        <v>15</v>
      </c>
    </row>
    <row r="1242" spans="1:7" ht="32.999496" customHeight="1" x14ac:dyDescent="0.15">
      <c r="A1242" s="158">
        <v>1240.0</v>
      </c>
      <c r="B1242" s="158" t="s">
        <v>8</v>
      </c>
      <c r="C1242" s="158" t="s">
        <f>"张学亮"</f>
        <v>2339</v>
      </c>
      <c r="D1242" s="158" t="s">
        <f>"15010114210"</f>
        <v>2340</v>
      </c>
      <c r="E1242" s="158">
        <v>58.68</v>
      </c>
      <c r="F1242" s="158"/>
      <c r="G1242" s="158">
        <v>58.68</v>
      </c>
    </row>
    <row r="1243" spans="1:7" ht="32.999496" customHeight="1" x14ac:dyDescent="0.15">
      <c r="A1243" s="158">
        <v>1241.0</v>
      </c>
      <c r="B1243" s="158" t="s">
        <v>8</v>
      </c>
      <c r="C1243" s="158" t="s">
        <f>"郭浩"</f>
        <v>2341</v>
      </c>
      <c r="D1243" s="158" t="s">
        <f>"15010114211"</f>
        <v>2342</v>
      </c>
      <c r="E1243" s="158">
        <v>48.81</v>
      </c>
      <c r="F1243" s="158"/>
      <c r="G1243" s="158">
        <v>48.81</v>
      </c>
    </row>
    <row r="1244" spans="1:7" ht="32.999496" customHeight="1" x14ac:dyDescent="0.15">
      <c r="A1244" s="158">
        <v>1242.0</v>
      </c>
      <c r="B1244" s="158" t="s">
        <v>8</v>
      </c>
      <c r="C1244" s="158" t="s">
        <f>"李晓娟"</f>
        <v>2343</v>
      </c>
      <c r="D1244" s="158" t="s">
        <f>"15010114212"</f>
        <v>2344</v>
      </c>
      <c r="E1244" s="158">
        <v>62.12</v>
      </c>
      <c r="F1244" s="158"/>
      <c r="G1244" s="158">
        <v>62.12</v>
      </c>
    </row>
    <row r="1245" spans="1:7" ht="32.999496" customHeight="1" x14ac:dyDescent="0.15">
      <c r="A1245" s="158">
        <v>1243.0</v>
      </c>
      <c r="B1245" s="158" t="s">
        <v>8</v>
      </c>
      <c r="C1245" s="158" t="s">
        <f>"尚治鹏"</f>
        <v>2345</v>
      </c>
      <c r="D1245" s="158" t="s">
        <f>"15010114213"</f>
        <v>2346</v>
      </c>
      <c r="E1245" s="158">
        <v>41.370000000000005</v>
      </c>
      <c r="F1245" s="158"/>
      <c r="G1245" s="158">
        <v>41.370000000000005</v>
      </c>
    </row>
    <row r="1246" spans="1:7" ht="32.999496" customHeight="1" x14ac:dyDescent="0.15">
      <c r="A1246" s="158">
        <v>1244.0</v>
      </c>
      <c r="B1246" s="158" t="s">
        <v>8</v>
      </c>
      <c r="C1246" s="158" t="s">
        <f>"杨智会"</f>
        <v>2347</v>
      </c>
      <c r="D1246" s="158" t="s">
        <f>"15010114214"</f>
        <v>2348</v>
      </c>
      <c r="E1246" s="158" t="s">
        <v>15</v>
      </c>
      <c r="F1246" s="158"/>
      <c r="G1246" s="158" t="s">
        <v>15</v>
      </c>
    </row>
    <row r="1247" spans="1:7" ht="32.999496" customHeight="1" x14ac:dyDescent="0.15">
      <c r="A1247" s="158">
        <v>1245.0</v>
      </c>
      <c r="B1247" s="158" t="s">
        <v>8</v>
      </c>
      <c r="C1247" s="158" t="s">
        <f>"白媛媛"</f>
        <v>2349</v>
      </c>
      <c r="D1247" s="158" t="s">
        <f>"15010114215"</f>
        <v>2350</v>
      </c>
      <c r="E1247" s="158" t="s">
        <v>15</v>
      </c>
      <c r="F1247" s="158"/>
      <c r="G1247" s="158" t="s">
        <v>15</v>
      </c>
    </row>
    <row r="1248" spans="1:7" ht="32.999496" customHeight="1" x14ac:dyDescent="0.15">
      <c r="A1248" s="158">
        <v>1246.0</v>
      </c>
      <c r="B1248" s="158" t="s">
        <v>8</v>
      </c>
      <c r="C1248" s="158" t="s">
        <f>"杨卓拉"</f>
        <v>2351</v>
      </c>
      <c r="D1248" s="158" t="s">
        <f>"15010114216"</f>
        <v>2352</v>
      </c>
      <c r="E1248" s="158" t="s">
        <v>15</v>
      </c>
      <c r="F1248" s="158">
        <v>2.5</v>
      </c>
      <c r="G1248" s="158" t="s">
        <v>15</v>
      </c>
    </row>
    <row r="1249" spans="1:7" ht="32.999496" customHeight="1" x14ac:dyDescent="0.15">
      <c r="A1249" s="158">
        <v>1247.0</v>
      </c>
      <c r="B1249" s="158" t="s">
        <v>8</v>
      </c>
      <c r="C1249" s="158" t="s">
        <f>"史伊敏"</f>
        <v>2353</v>
      </c>
      <c r="D1249" s="158" t="s">
        <f>"15010114217"</f>
        <v>2354</v>
      </c>
      <c r="E1249" s="158">
        <v>54.09</v>
      </c>
      <c r="F1249" s="158"/>
      <c r="G1249" s="158">
        <v>54.09</v>
      </c>
    </row>
    <row r="1250" spans="1:7" ht="32.999496" customHeight="1" x14ac:dyDescent="0.15">
      <c r="A1250" s="158">
        <v>1248.0</v>
      </c>
      <c r="B1250" s="158" t="s">
        <v>8</v>
      </c>
      <c r="C1250" s="158" t="s">
        <f>"曹梦妮"</f>
        <v>2355</v>
      </c>
      <c r="D1250" s="158" t="s">
        <f>"15010114218"</f>
        <v>2356</v>
      </c>
      <c r="E1250" s="158" t="s">
        <v>15</v>
      </c>
      <c r="F1250" s="158"/>
      <c r="G1250" s="158" t="s">
        <v>15</v>
      </c>
    </row>
    <row r="1251" spans="1:7" ht="32.999496" customHeight="1" x14ac:dyDescent="0.15">
      <c r="A1251" s="158">
        <v>1249.0</v>
      </c>
      <c r="B1251" s="158" t="s">
        <v>8</v>
      </c>
      <c r="C1251" s="158" t="s">
        <f>"宋佳"</f>
        <v>2357</v>
      </c>
      <c r="D1251" s="158" t="s">
        <f>"15010114219"</f>
        <v>2358</v>
      </c>
      <c r="E1251" s="158">
        <v>68.75999999999999</v>
      </c>
      <c r="F1251" s="158"/>
      <c r="G1251" s="158">
        <v>68.75999999999999</v>
      </c>
    </row>
    <row r="1252" spans="1:7" ht="32.999496" customHeight="1" x14ac:dyDescent="0.15">
      <c r="A1252" s="158">
        <v>1250.0</v>
      </c>
      <c r="B1252" s="158" t="s">
        <v>8</v>
      </c>
      <c r="C1252" s="158" t="s">
        <f>"边利君"</f>
        <v>2359</v>
      </c>
      <c r="D1252" s="158" t="s">
        <f>"15010114220"</f>
        <v>2360</v>
      </c>
      <c r="E1252" s="158">
        <v>28.28</v>
      </c>
      <c r="F1252" s="158"/>
      <c r="G1252" s="158">
        <v>28.28</v>
      </c>
    </row>
    <row r="1253" spans="1:7" ht="32.999496" customHeight="1" x14ac:dyDescent="0.15">
      <c r="A1253" s="158">
        <v>1251.0</v>
      </c>
      <c r="B1253" s="158" t="s">
        <v>8</v>
      </c>
      <c r="C1253" s="158" t="s">
        <f>"高淑贤"</f>
        <v>2361</v>
      </c>
      <c r="D1253" s="158" t="s">
        <f>"15010114221"</f>
        <v>2362</v>
      </c>
      <c r="E1253" s="158" t="s">
        <v>15</v>
      </c>
      <c r="F1253" s="158"/>
      <c r="G1253" s="158" t="s">
        <v>15</v>
      </c>
    </row>
    <row r="1254" spans="1:7" ht="32.999496" customHeight="1" x14ac:dyDescent="0.15">
      <c r="A1254" s="158">
        <v>1252.0</v>
      </c>
      <c r="B1254" s="158" t="s">
        <v>8</v>
      </c>
      <c r="C1254" s="158" t="s">
        <f>"郭娜"</f>
        <v>619</v>
      </c>
      <c r="D1254" s="158" t="s">
        <f>"15010114222"</f>
        <v>2363</v>
      </c>
      <c r="E1254" s="158">
        <v>58.66</v>
      </c>
      <c r="F1254" s="158"/>
      <c r="G1254" s="158">
        <v>58.66</v>
      </c>
    </row>
    <row r="1255" spans="1:7" ht="32.999496" customHeight="1" x14ac:dyDescent="0.15">
      <c r="A1255" s="158">
        <v>1253.0</v>
      </c>
      <c r="B1255" s="158" t="s">
        <v>8</v>
      </c>
      <c r="C1255" s="158" t="s">
        <f>"李旭东"</f>
        <v>2364</v>
      </c>
      <c r="D1255" s="158" t="s">
        <f>"15010114223"</f>
        <v>2365</v>
      </c>
      <c r="E1255" s="158" t="s">
        <v>15</v>
      </c>
      <c r="F1255" s="158"/>
      <c r="G1255" s="158" t="s">
        <v>15</v>
      </c>
    </row>
    <row r="1256" spans="1:7" ht="32.999496" customHeight="1" x14ac:dyDescent="0.15">
      <c r="A1256" s="158">
        <v>1254.0</v>
      </c>
      <c r="B1256" s="158" t="s">
        <v>8</v>
      </c>
      <c r="C1256" s="158" t="s">
        <f>"刘鑫宇"</f>
        <v>2366</v>
      </c>
      <c r="D1256" s="158" t="s">
        <f>"15010114224"</f>
        <v>2367</v>
      </c>
      <c r="E1256" s="158">
        <v>57.230000000000004</v>
      </c>
      <c r="F1256" s="158"/>
      <c r="G1256" s="158">
        <v>57.230000000000004</v>
      </c>
    </row>
    <row r="1257" spans="1:7" ht="32.999496" customHeight="1" x14ac:dyDescent="0.15">
      <c r="A1257" s="158">
        <v>1255.0</v>
      </c>
      <c r="B1257" s="158" t="s">
        <v>8</v>
      </c>
      <c r="C1257" s="158" t="s">
        <f>"张惠"</f>
        <v>2368</v>
      </c>
      <c r="D1257" s="158" t="s">
        <f>"15010114225"</f>
        <v>2369</v>
      </c>
      <c r="E1257" s="158">
        <v>57.63</v>
      </c>
      <c r="F1257" s="158"/>
      <c r="G1257" s="158">
        <v>57.63</v>
      </c>
    </row>
    <row r="1258" spans="1:7" ht="32.999496" customHeight="1" x14ac:dyDescent="0.15">
      <c r="A1258" s="158">
        <v>1256.0</v>
      </c>
      <c r="B1258" s="158" t="s">
        <v>8</v>
      </c>
      <c r="C1258" s="158" t="s">
        <f>"高鑫"</f>
        <v>1850</v>
      </c>
      <c r="D1258" s="158" t="s">
        <f>"15010114226"</f>
        <v>2370</v>
      </c>
      <c r="E1258" s="158">
        <v>63.22</v>
      </c>
      <c r="F1258" s="158"/>
      <c r="G1258" s="158">
        <v>63.22</v>
      </c>
    </row>
    <row r="1259" spans="1:7" ht="32.999496" customHeight="1" x14ac:dyDescent="0.15">
      <c r="A1259" s="158">
        <v>1257.0</v>
      </c>
      <c r="B1259" s="158" t="s">
        <v>8</v>
      </c>
      <c r="C1259" s="158" t="s">
        <f>"贺靖"</f>
        <v>2371</v>
      </c>
      <c r="D1259" s="158" t="s">
        <f>"15010114227"</f>
        <v>2372</v>
      </c>
      <c r="E1259" s="158">
        <v>59.6</v>
      </c>
      <c r="F1259" s="158"/>
      <c r="G1259" s="158">
        <v>59.6</v>
      </c>
    </row>
    <row r="1260" spans="1:7" ht="32.999496" customHeight="1" x14ac:dyDescent="0.15">
      <c r="A1260" s="158">
        <v>1258.0</v>
      </c>
      <c r="B1260" s="158" t="s">
        <v>8</v>
      </c>
      <c r="C1260" s="158" t="s">
        <f>"杨玉莹"</f>
        <v>2373</v>
      </c>
      <c r="D1260" s="158" t="s">
        <f>"15010114228"</f>
        <v>2374</v>
      </c>
      <c r="E1260" s="158">
        <v>52.81</v>
      </c>
      <c r="F1260" s="158"/>
      <c r="G1260" s="158">
        <v>52.81</v>
      </c>
    </row>
    <row r="1261" spans="1:7" ht="32.999496" customHeight="1" x14ac:dyDescent="0.15">
      <c r="A1261" s="158">
        <v>1259.0</v>
      </c>
      <c r="B1261" s="158" t="s">
        <v>8</v>
      </c>
      <c r="C1261" s="158" t="s">
        <f>"白情"</f>
        <v>2375</v>
      </c>
      <c r="D1261" s="158" t="s">
        <f>"15010114229"</f>
        <v>2376</v>
      </c>
      <c r="E1261" s="158" t="s">
        <v>15</v>
      </c>
      <c r="F1261" s="158"/>
      <c r="G1261" s="158" t="s">
        <v>15</v>
      </c>
    </row>
    <row r="1262" spans="1:7" ht="32.999496" customHeight="1" x14ac:dyDescent="0.15">
      <c r="A1262" s="158">
        <v>1260.0</v>
      </c>
      <c r="B1262" s="158" t="s">
        <v>8</v>
      </c>
      <c r="C1262" s="158" t="s">
        <f>"王敏"</f>
        <v>2157</v>
      </c>
      <c r="D1262" s="158" t="s">
        <f>"15010114230"</f>
        <v>2377</v>
      </c>
      <c r="E1262" s="158">
        <v>52.269999999999996</v>
      </c>
      <c r="F1262" s="158"/>
      <c r="G1262" s="158">
        <v>52.269999999999996</v>
      </c>
    </row>
    <row r="1263" spans="1:7" ht="32.999496" customHeight="1" x14ac:dyDescent="0.15">
      <c r="A1263" s="158">
        <v>1261.0</v>
      </c>
      <c r="B1263" s="158" t="s">
        <v>8</v>
      </c>
      <c r="C1263" s="158" t="s">
        <f>"王晚惠"</f>
        <v>2378</v>
      </c>
      <c r="D1263" s="158" t="s">
        <f>"15010114301"</f>
        <v>2379</v>
      </c>
      <c r="E1263" s="158">
        <v>49.3</v>
      </c>
      <c r="F1263" s="158"/>
      <c r="G1263" s="158">
        <v>49.3</v>
      </c>
    </row>
    <row r="1264" spans="1:7" ht="32.999496" customHeight="1" x14ac:dyDescent="0.15">
      <c r="A1264" s="158">
        <v>1262.0</v>
      </c>
      <c r="B1264" s="158" t="s">
        <v>8</v>
      </c>
      <c r="C1264" s="158" t="s">
        <f>"杨瑞"</f>
        <v>2380</v>
      </c>
      <c r="D1264" s="158" t="s">
        <f>"15010114302"</f>
        <v>2381</v>
      </c>
      <c r="E1264" s="158" t="s">
        <v>15</v>
      </c>
      <c r="F1264" s="158"/>
      <c r="G1264" s="158" t="s">
        <v>15</v>
      </c>
    </row>
    <row r="1265" spans="1:7" ht="32.999496" customHeight="1" x14ac:dyDescent="0.15">
      <c r="A1265" s="158">
        <v>1263.0</v>
      </c>
      <c r="B1265" s="158" t="s">
        <v>8</v>
      </c>
      <c r="C1265" s="158" t="s">
        <f>"杨凯雯"</f>
        <v>2382</v>
      </c>
      <c r="D1265" s="158" t="s">
        <f>"15010114303"</f>
        <v>2383</v>
      </c>
      <c r="E1265" s="158" t="s">
        <v>15</v>
      </c>
      <c r="F1265" s="158"/>
      <c r="G1265" s="158" t="s">
        <v>15</v>
      </c>
    </row>
    <row r="1266" spans="1:7" ht="32.999496" customHeight="1" x14ac:dyDescent="0.15">
      <c r="A1266" s="158">
        <v>1264.0</v>
      </c>
      <c r="B1266" s="158" t="s">
        <v>8</v>
      </c>
      <c r="C1266" s="158" t="s">
        <f>"杨慧"</f>
        <v>491</v>
      </c>
      <c r="D1266" s="158" t="s">
        <f>"15010114304"</f>
        <v>2384</v>
      </c>
      <c r="E1266" s="158">
        <v>59.89</v>
      </c>
      <c r="F1266" s="158"/>
      <c r="G1266" s="158">
        <v>59.89</v>
      </c>
    </row>
    <row r="1267" spans="1:7" ht="32.999496" customHeight="1" x14ac:dyDescent="0.15">
      <c r="A1267" s="158">
        <v>1265.0</v>
      </c>
      <c r="B1267" s="158" t="s">
        <v>8</v>
      </c>
      <c r="C1267" s="158" t="s">
        <f>"赵睿婕"</f>
        <v>2385</v>
      </c>
      <c r="D1267" s="158" t="s">
        <f>"15010114305"</f>
        <v>2386</v>
      </c>
      <c r="E1267" s="158" t="s">
        <v>15</v>
      </c>
      <c r="F1267" s="158"/>
      <c r="G1267" s="158" t="s">
        <v>15</v>
      </c>
    </row>
    <row r="1268" spans="1:7" ht="32.999496" customHeight="1" x14ac:dyDescent="0.15">
      <c r="A1268" s="158">
        <v>1266.0</v>
      </c>
      <c r="B1268" s="158" t="s">
        <v>8</v>
      </c>
      <c r="C1268" s="158" t="s">
        <f>"康佳"</f>
        <v>1918</v>
      </c>
      <c r="D1268" s="158" t="s">
        <f>"15010114306"</f>
        <v>2387</v>
      </c>
      <c r="E1268" s="158" t="s">
        <v>15</v>
      </c>
      <c r="F1268" s="158"/>
      <c r="G1268" s="158" t="s">
        <v>15</v>
      </c>
    </row>
    <row r="1269" spans="1:7" ht="32.999496" customHeight="1" x14ac:dyDescent="0.15">
      <c r="A1269" s="158">
        <v>1267.0</v>
      </c>
      <c r="B1269" s="158" t="s">
        <v>8</v>
      </c>
      <c r="C1269" s="158" t="s">
        <f>"郭鑫"</f>
        <v>2388</v>
      </c>
      <c r="D1269" s="158" t="s">
        <f>"15010114307"</f>
        <v>2389</v>
      </c>
      <c r="E1269" s="158" t="s">
        <v>15</v>
      </c>
      <c r="F1269" s="158"/>
      <c r="G1269" s="158" t="s">
        <v>15</v>
      </c>
    </row>
    <row r="1270" spans="1:7" ht="32.999496" customHeight="1" x14ac:dyDescent="0.15">
      <c r="A1270" s="158">
        <v>1268.0</v>
      </c>
      <c r="B1270" s="158" t="s">
        <v>8</v>
      </c>
      <c r="C1270" s="158" t="s">
        <f>"王玉"</f>
        <v>985</v>
      </c>
      <c r="D1270" s="158" t="s">
        <f>"15010114308"</f>
        <v>2390</v>
      </c>
      <c r="E1270" s="158" t="s">
        <v>15</v>
      </c>
      <c r="F1270" s="158"/>
      <c r="G1270" s="158" t="s">
        <v>15</v>
      </c>
    </row>
    <row r="1271" spans="1:7" ht="32.999496" customHeight="1" x14ac:dyDescent="0.15">
      <c r="A1271" s="158">
        <v>1269.0</v>
      </c>
      <c r="B1271" s="158" t="s">
        <v>8</v>
      </c>
      <c r="C1271" s="158" t="s">
        <f>"李亭"</f>
        <v>2391</v>
      </c>
      <c r="D1271" s="158" t="s">
        <f>"15010114309"</f>
        <v>2392</v>
      </c>
      <c r="E1271" s="158" t="s">
        <v>15</v>
      </c>
      <c r="F1271" s="158"/>
      <c r="G1271" s="158" t="s">
        <v>15</v>
      </c>
    </row>
    <row r="1272" spans="1:7" ht="32.999496" customHeight="1" x14ac:dyDescent="0.15">
      <c r="A1272" s="158">
        <v>1270.0</v>
      </c>
      <c r="B1272" s="158" t="s">
        <v>8</v>
      </c>
      <c r="C1272" s="158" t="s">
        <f>"刘丹虹"</f>
        <v>2393</v>
      </c>
      <c r="D1272" s="158" t="s">
        <f>"15010114310"</f>
        <v>2394</v>
      </c>
      <c r="E1272" s="158">
        <v>48.14</v>
      </c>
      <c r="F1272" s="158"/>
      <c r="G1272" s="158">
        <v>48.14</v>
      </c>
    </row>
    <row r="1273" spans="1:7" ht="32.999496" customHeight="1" x14ac:dyDescent="0.15">
      <c r="A1273" s="158">
        <v>1271.0</v>
      </c>
      <c r="B1273" s="158" t="s">
        <v>8</v>
      </c>
      <c r="C1273" s="158" t="s">
        <f>"高月"</f>
        <v>2395</v>
      </c>
      <c r="D1273" s="158" t="s">
        <f>"15010114311"</f>
        <v>2396</v>
      </c>
      <c r="E1273" s="158" t="s">
        <v>15</v>
      </c>
      <c r="F1273" s="158"/>
      <c r="G1273" s="158" t="s">
        <v>15</v>
      </c>
    </row>
    <row r="1274" spans="1:7" ht="32.999496" customHeight="1" x14ac:dyDescent="0.15">
      <c r="A1274" s="158">
        <v>1272.0</v>
      </c>
      <c r="B1274" s="158" t="s">
        <v>8</v>
      </c>
      <c r="C1274" s="158" t="s">
        <f>"杜鑫"</f>
        <v>2397</v>
      </c>
      <c r="D1274" s="158" t="s">
        <f>"15010114312"</f>
        <v>2398</v>
      </c>
      <c r="E1274" s="158">
        <v>24.39</v>
      </c>
      <c r="F1274" s="158"/>
      <c r="G1274" s="158">
        <v>24.39</v>
      </c>
    </row>
    <row r="1275" spans="1:7" ht="32.999496" customHeight="1" x14ac:dyDescent="0.15">
      <c r="A1275" s="158">
        <v>1273.0</v>
      </c>
      <c r="B1275" s="158" t="s">
        <v>8</v>
      </c>
      <c r="C1275" s="158" t="s">
        <f>"郝世杰"</f>
        <v>2399</v>
      </c>
      <c r="D1275" s="158" t="s">
        <f>"15010114313"</f>
        <v>2400</v>
      </c>
      <c r="E1275" s="158">
        <v>43.31</v>
      </c>
      <c r="F1275" s="158"/>
      <c r="G1275" s="158">
        <v>43.31</v>
      </c>
    </row>
    <row r="1276" spans="1:7" ht="32.999496" customHeight="1" x14ac:dyDescent="0.15">
      <c r="A1276" s="158">
        <v>1274.0</v>
      </c>
      <c r="B1276" s="158" t="s">
        <v>8</v>
      </c>
      <c r="C1276" s="158" t="s">
        <f>"贾金璐"</f>
        <v>2401</v>
      </c>
      <c r="D1276" s="158" t="s">
        <f>"15010114314"</f>
        <v>2402</v>
      </c>
      <c r="E1276" s="158">
        <v>48.239999999999995</v>
      </c>
      <c r="F1276" s="158"/>
      <c r="G1276" s="158">
        <v>48.239999999999995</v>
      </c>
    </row>
    <row r="1277" spans="1:7" ht="32.999496" customHeight="1" x14ac:dyDescent="0.15">
      <c r="A1277" s="158">
        <v>1275.0</v>
      </c>
      <c r="B1277" s="158" t="s">
        <v>8</v>
      </c>
      <c r="C1277" s="158" t="s">
        <f>"李娜"</f>
        <v>609</v>
      </c>
      <c r="D1277" s="158" t="s">
        <f>"15010114315"</f>
        <v>2403</v>
      </c>
      <c r="E1277" s="158">
        <v>57.75</v>
      </c>
      <c r="F1277" s="158"/>
      <c r="G1277" s="158">
        <v>57.75</v>
      </c>
    </row>
    <row r="1278" spans="1:7" ht="32.999496" customHeight="1" x14ac:dyDescent="0.15">
      <c r="A1278" s="158">
        <v>1276.0</v>
      </c>
      <c r="B1278" s="158" t="s">
        <v>8</v>
      </c>
      <c r="C1278" s="158" t="s">
        <f>"李欣"</f>
        <v>939</v>
      </c>
      <c r="D1278" s="158" t="s">
        <f>"15010114316"</f>
        <v>2404</v>
      </c>
      <c r="E1278" s="158">
        <v>57.68</v>
      </c>
      <c r="F1278" s="158"/>
      <c r="G1278" s="158">
        <v>57.68</v>
      </c>
    </row>
    <row r="1279" spans="1:7" ht="32.999496" customHeight="1" x14ac:dyDescent="0.15">
      <c r="A1279" s="158">
        <v>1277.0</v>
      </c>
      <c r="B1279" s="158" t="s">
        <v>8</v>
      </c>
      <c r="C1279" s="158" t="s">
        <f>"张博宇"</f>
        <v>2405</v>
      </c>
      <c r="D1279" s="158" t="s">
        <f>"15010114317"</f>
        <v>2406</v>
      </c>
      <c r="E1279" s="158">
        <v>47.75</v>
      </c>
      <c r="F1279" s="158"/>
      <c r="G1279" s="158">
        <v>47.75</v>
      </c>
    </row>
    <row r="1280" spans="1:7" ht="32.999496" customHeight="1" x14ac:dyDescent="0.15">
      <c r="A1280" s="158">
        <v>1278.0</v>
      </c>
      <c r="B1280" s="158" t="s">
        <v>8</v>
      </c>
      <c r="C1280" s="158" t="s">
        <f>"高峰"</f>
        <v>2407</v>
      </c>
      <c r="D1280" s="158" t="s">
        <f>"15010114318"</f>
        <v>2408</v>
      </c>
      <c r="E1280" s="158" t="s">
        <v>15</v>
      </c>
      <c r="F1280" s="158"/>
      <c r="G1280" s="158" t="s">
        <v>15</v>
      </c>
    </row>
    <row r="1281" spans="1:7" ht="32.999496" customHeight="1" x14ac:dyDescent="0.15">
      <c r="A1281" s="158">
        <v>1279.0</v>
      </c>
      <c r="B1281" s="158" t="s">
        <v>8</v>
      </c>
      <c r="C1281" s="158" t="s">
        <f>"张艳"</f>
        <v>199</v>
      </c>
      <c r="D1281" s="158" t="s">
        <f>"15010114319"</f>
        <v>2409</v>
      </c>
      <c r="E1281" s="158">
        <v>55.879999999999995</v>
      </c>
      <c r="F1281" s="158"/>
      <c r="G1281" s="158">
        <v>55.879999999999995</v>
      </c>
    </row>
    <row r="1282" spans="1:7" ht="32.999496" customHeight="1" x14ac:dyDescent="0.15">
      <c r="A1282" s="158">
        <v>1280.0</v>
      </c>
      <c r="B1282" s="158" t="s">
        <v>8</v>
      </c>
      <c r="C1282" s="158" t="s">
        <f>"孟繁博"</f>
        <v>2410</v>
      </c>
      <c r="D1282" s="158" t="s">
        <f>"15010114320"</f>
        <v>2411</v>
      </c>
      <c r="E1282" s="158">
        <v>64.56</v>
      </c>
      <c r="F1282" s="158"/>
      <c r="G1282" s="158">
        <v>64.56</v>
      </c>
    </row>
    <row r="1283" spans="1:7" ht="32.999496" customHeight="1" x14ac:dyDescent="0.15">
      <c r="A1283" s="158">
        <v>1281.0</v>
      </c>
      <c r="B1283" s="158" t="s">
        <v>8</v>
      </c>
      <c r="C1283" s="158" t="s">
        <f>"苏海霞"</f>
        <v>2412</v>
      </c>
      <c r="D1283" s="158" t="s">
        <f>"15010114321"</f>
        <v>2413</v>
      </c>
      <c r="E1283" s="158">
        <v>41.92</v>
      </c>
      <c r="F1283" s="158"/>
      <c r="G1283" s="158">
        <v>41.92</v>
      </c>
    </row>
    <row r="1284" spans="1:7" ht="32.999496" customHeight="1" x14ac:dyDescent="0.15">
      <c r="A1284" s="158">
        <v>1282.0</v>
      </c>
      <c r="B1284" s="158" t="s">
        <v>8</v>
      </c>
      <c r="C1284" s="158" t="s">
        <f>"丁春越"</f>
        <v>2414</v>
      </c>
      <c r="D1284" s="158" t="s">
        <f>"15010114322"</f>
        <v>2415</v>
      </c>
      <c r="E1284" s="158">
        <v>56.269999999999996</v>
      </c>
      <c r="F1284" s="158"/>
      <c r="G1284" s="158">
        <v>56.269999999999996</v>
      </c>
    </row>
    <row r="1285" spans="1:7" ht="32.999496" customHeight="1" x14ac:dyDescent="0.15">
      <c r="A1285" s="158">
        <v>1283.0</v>
      </c>
      <c r="B1285" s="158" t="s">
        <v>8</v>
      </c>
      <c r="C1285" s="158" t="s">
        <f>"李敏"</f>
        <v>444</v>
      </c>
      <c r="D1285" s="158" t="s">
        <f>"15010114323"</f>
        <v>2416</v>
      </c>
      <c r="E1285" s="158">
        <v>78.75999999999999</v>
      </c>
      <c r="F1285" s="158"/>
      <c r="G1285" s="158">
        <v>78.75999999999999</v>
      </c>
    </row>
    <row r="1286" spans="1:7" ht="32.999496" customHeight="1" x14ac:dyDescent="0.15">
      <c r="A1286" s="158">
        <v>1284.0</v>
      </c>
      <c r="B1286" s="158" t="s">
        <v>8</v>
      </c>
      <c r="C1286" s="158" t="s">
        <f>"王子悦"</f>
        <v>2417</v>
      </c>
      <c r="D1286" s="158" t="s">
        <f>"15010114324"</f>
        <v>2418</v>
      </c>
      <c r="E1286" s="158" t="s">
        <v>15</v>
      </c>
      <c r="F1286" s="158"/>
      <c r="G1286" s="158" t="s">
        <v>15</v>
      </c>
    </row>
    <row r="1287" spans="1:7" ht="32.999496" customHeight="1" x14ac:dyDescent="0.15">
      <c r="A1287" s="158">
        <v>1285.0</v>
      </c>
      <c r="B1287" s="158" t="s">
        <v>8</v>
      </c>
      <c r="C1287" s="158" t="s">
        <f>"屈彩梅"</f>
        <v>2419</v>
      </c>
      <c r="D1287" s="158" t="s">
        <f>"15010114325"</f>
        <v>2420</v>
      </c>
      <c r="E1287" s="158">
        <v>57.44</v>
      </c>
      <c r="F1287" s="158"/>
      <c r="G1287" s="158">
        <v>57.44</v>
      </c>
    </row>
    <row r="1288" spans="1:7" ht="32.999496" customHeight="1" x14ac:dyDescent="0.15">
      <c r="A1288" s="158">
        <v>1286.0</v>
      </c>
      <c r="B1288" s="158" t="s">
        <v>8</v>
      </c>
      <c r="C1288" s="158" t="s">
        <f>"李鹏"</f>
        <v>662</v>
      </c>
      <c r="D1288" s="158" t="s">
        <f>"15010114326"</f>
        <v>2421</v>
      </c>
      <c r="E1288" s="158">
        <v>48.06</v>
      </c>
      <c r="F1288" s="158"/>
      <c r="G1288" s="158">
        <v>48.06</v>
      </c>
    </row>
    <row r="1289" spans="1:7" ht="32.999496" customHeight="1" x14ac:dyDescent="0.15">
      <c r="A1289" s="158">
        <v>1287.0</v>
      </c>
      <c r="B1289" s="158" t="s">
        <v>8</v>
      </c>
      <c r="C1289" s="158" t="s">
        <f>"王月婷"</f>
        <v>2422</v>
      </c>
      <c r="D1289" s="158" t="s">
        <f>"15010114327"</f>
        <v>2423</v>
      </c>
      <c r="E1289" s="158">
        <v>61.92</v>
      </c>
      <c r="F1289" s="158"/>
      <c r="G1289" s="158">
        <v>61.92</v>
      </c>
    </row>
    <row r="1290" spans="1:7" ht="32.999496" customHeight="1" x14ac:dyDescent="0.15">
      <c r="A1290" s="158">
        <v>1288.0</v>
      </c>
      <c r="B1290" s="158" t="s">
        <v>8</v>
      </c>
      <c r="C1290" s="158" t="s">
        <f>"王羽琪"</f>
        <v>2424</v>
      </c>
      <c r="D1290" s="158" t="s">
        <f>"15010114328"</f>
        <v>2425</v>
      </c>
      <c r="E1290" s="158" t="s">
        <v>15</v>
      </c>
      <c r="F1290" s="158"/>
      <c r="G1290" s="158" t="s">
        <v>15</v>
      </c>
    </row>
    <row r="1291" spans="1:7" ht="32.999496" customHeight="1" x14ac:dyDescent="0.15">
      <c r="A1291" s="158">
        <v>1289.0</v>
      </c>
      <c r="B1291" s="158" t="s">
        <v>8</v>
      </c>
      <c r="C1291" s="158" t="s">
        <f>"刘伊彤"</f>
        <v>2426</v>
      </c>
      <c r="D1291" s="158" t="s">
        <f>"15010114329"</f>
        <v>2427</v>
      </c>
      <c r="E1291" s="158">
        <v>51.39</v>
      </c>
      <c r="F1291" s="158"/>
      <c r="G1291" s="158">
        <v>51.39</v>
      </c>
    </row>
    <row r="1292" spans="1:7" ht="32.999496" customHeight="1" x14ac:dyDescent="0.15">
      <c r="A1292" s="158">
        <v>1290.0</v>
      </c>
      <c r="B1292" s="158" t="s">
        <v>8</v>
      </c>
      <c r="C1292" s="158" t="s">
        <f>"杨慧"</f>
        <v>491</v>
      </c>
      <c r="D1292" s="158" t="s">
        <f>"15010114330"</f>
        <v>2428</v>
      </c>
      <c r="E1292" s="158" t="s">
        <v>15</v>
      </c>
      <c r="F1292" s="158"/>
      <c r="G1292" s="158" t="s">
        <v>15</v>
      </c>
    </row>
    <row r="1293" spans="1:7" ht="32.999496" customHeight="1" x14ac:dyDescent="0.15">
      <c r="A1293" s="158">
        <v>1291.0</v>
      </c>
      <c r="B1293" s="158" t="s">
        <v>8</v>
      </c>
      <c r="C1293" s="158" t="s">
        <f>"杨丽"</f>
        <v>808</v>
      </c>
      <c r="D1293" s="158" t="s">
        <f>"15010114401"</f>
        <v>2429</v>
      </c>
      <c r="E1293" s="158" t="s">
        <v>15</v>
      </c>
      <c r="F1293" s="158"/>
      <c r="G1293" s="158" t="s">
        <v>15</v>
      </c>
    </row>
    <row r="1294" spans="1:7" ht="32.999496" customHeight="1" x14ac:dyDescent="0.15">
      <c r="A1294" s="158">
        <v>1292.0</v>
      </c>
      <c r="B1294" s="158" t="s">
        <v>8</v>
      </c>
      <c r="C1294" s="158" t="s">
        <f>"郝蓉"</f>
        <v>2430</v>
      </c>
      <c r="D1294" s="158" t="s">
        <f>"15010114402"</f>
        <v>2431</v>
      </c>
      <c r="E1294" s="158" t="s">
        <v>15</v>
      </c>
      <c r="F1294" s="158"/>
      <c r="G1294" s="158" t="s">
        <v>15</v>
      </c>
    </row>
    <row r="1295" spans="1:7" ht="32.999496" customHeight="1" x14ac:dyDescent="0.15">
      <c r="A1295" s="158">
        <v>1293.0</v>
      </c>
      <c r="B1295" s="158" t="s">
        <v>8</v>
      </c>
      <c r="C1295" s="158" t="s">
        <f>"王一帆"</f>
        <v>2432</v>
      </c>
      <c r="D1295" s="158" t="s">
        <f>"15010114403"</f>
        <v>2433</v>
      </c>
      <c r="E1295" s="158">
        <v>27.95</v>
      </c>
      <c r="F1295" s="158"/>
      <c r="G1295" s="158">
        <v>27.95</v>
      </c>
    </row>
    <row r="1296" spans="1:7" ht="32.999496" customHeight="1" x14ac:dyDescent="0.15">
      <c r="A1296" s="158">
        <v>1294.0</v>
      </c>
      <c r="B1296" s="158" t="s">
        <v>8</v>
      </c>
      <c r="C1296" s="158" t="s">
        <f>"王磊"</f>
        <v>16</v>
      </c>
      <c r="D1296" s="158" t="s">
        <f>"15010114404"</f>
        <v>2434</v>
      </c>
      <c r="E1296" s="158">
        <v>51.81</v>
      </c>
      <c r="F1296" s="158"/>
      <c r="G1296" s="158">
        <v>51.81</v>
      </c>
    </row>
    <row r="1297" spans="1:7" ht="32.999496" customHeight="1" x14ac:dyDescent="0.15">
      <c r="A1297" s="158">
        <v>1295.0</v>
      </c>
      <c r="B1297" s="158" t="s">
        <v>8</v>
      </c>
      <c r="C1297" s="158" t="s">
        <f>"张瑞"</f>
        <v>1856</v>
      </c>
      <c r="D1297" s="158" t="s">
        <f>"15010114405"</f>
        <v>2435</v>
      </c>
      <c r="E1297" s="158">
        <v>51</v>
      </c>
      <c r="F1297" s="158"/>
      <c r="G1297" s="158">
        <v>51</v>
      </c>
    </row>
    <row r="1298" spans="1:7" ht="32.999496" customHeight="1" x14ac:dyDescent="0.15">
      <c r="A1298" s="158">
        <v>1296.0</v>
      </c>
      <c r="B1298" s="158" t="s">
        <v>8</v>
      </c>
      <c r="C1298" s="158" t="s">
        <f>"李娜"</f>
        <v>609</v>
      </c>
      <c r="D1298" s="158" t="s">
        <f>"15010114406"</f>
        <v>2436</v>
      </c>
      <c r="E1298" s="158">
        <v>54.69</v>
      </c>
      <c r="F1298" s="158">
        <v>2.5</v>
      </c>
      <c r="G1298" s="158">
        <v>57.19</v>
      </c>
    </row>
    <row r="1299" spans="1:7" ht="32.999496" customHeight="1" x14ac:dyDescent="0.15">
      <c r="A1299" s="158">
        <v>1297.0</v>
      </c>
      <c r="B1299" s="158" t="s">
        <v>8</v>
      </c>
      <c r="C1299" s="158" t="s">
        <f>"张宇欣"</f>
        <v>2437</v>
      </c>
      <c r="D1299" s="158" t="s">
        <f>"15010114407"</f>
        <v>2438</v>
      </c>
      <c r="E1299" s="158">
        <v>56.2</v>
      </c>
      <c r="F1299" s="158"/>
      <c r="G1299" s="158">
        <v>56.2</v>
      </c>
    </row>
    <row r="1300" spans="1:7" ht="32.999496" customHeight="1" x14ac:dyDescent="0.15">
      <c r="A1300" s="158">
        <v>1298.0</v>
      </c>
      <c r="B1300" s="158" t="s">
        <v>8</v>
      </c>
      <c r="C1300" s="158" t="s">
        <f>"孙浩"</f>
        <v>2439</v>
      </c>
      <c r="D1300" s="158" t="s">
        <f>"15010114408"</f>
        <v>2440</v>
      </c>
      <c r="E1300" s="158">
        <v>54.77</v>
      </c>
      <c r="F1300" s="158"/>
      <c r="G1300" s="158">
        <v>54.77</v>
      </c>
    </row>
    <row r="1301" spans="1:7" ht="32.999496" customHeight="1" x14ac:dyDescent="0.15">
      <c r="A1301" s="158">
        <v>1299.0</v>
      </c>
      <c r="B1301" s="158" t="s">
        <v>8</v>
      </c>
      <c r="C1301" s="158" t="s">
        <f>"刘鹏"</f>
        <v>2301</v>
      </c>
      <c r="D1301" s="158" t="s">
        <f>"15010114409"</f>
        <v>2441</v>
      </c>
      <c r="E1301" s="158" t="s">
        <v>15</v>
      </c>
      <c r="F1301" s="158"/>
      <c r="G1301" s="158" t="s">
        <v>15</v>
      </c>
    </row>
    <row r="1302" spans="1:7" ht="32.999496" customHeight="1" x14ac:dyDescent="0.15">
      <c r="A1302" s="158">
        <v>1300.0</v>
      </c>
      <c r="B1302" s="158" t="s">
        <v>8</v>
      </c>
      <c r="C1302" s="158" t="s">
        <f>"路小雨"</f>
        <v>2442</v>
      </c>
      <c r="D1302" s="158" t="s">
        <f>"15010114410"</f>
        <v>2443</v>
      </c>
      <c r="E1302" s="158">
        <v>40.989999999999995</v>
      </c>
      <c r="F1302" s="158"/>
      <c r="G1302" s="158">
        <v>40.989999999999995</v>
      </c>
    </row>
    <row r="1303" spans="1:7" ht="32.999496" customHeight="1" x14ac:dyDescent="0.15">
      <c r="A1303" s="158">
        <v>1301.0</v>
      </c>
      <c r="B1303" s="158" t="s">
        <v>8</v>
      </c>
      <c r="C1303" s="158" t="s">
        <f>"王慧"</f>
        <v>180</v>
      </c>
      <c r="D1303" s="158" t="s">
        <f>"15010114411"</f>
        <v>2444</v>
      </c>
      <c r="E1303" s="158">
        <v>46.260000000000005</v>
      </c>
      <c r="F1303" s="158"/>
      <c r="G1303" s="158">
        <v>46.260000000000005</v>
      </c>
    </row>
    <row r="1304" spans="1:7" ht="32.999496" customHeight="1" x14ac:dyDescent="0.15">
      <c r="A1304" s="158">
        <v>1302.0</v>
      </c>
      <c r="B1304" s="158" t="s">
        <v>8</v>
      </c>
      <c r="C1304" s="158" t="s">
        <f>"马娜"</f>
        <v>2247</v>
      </c>
      <c r="D1304" s="158" t="s">
        <f>"15010114412"</f>
        <v>2445</v>
      </c>
      <c r="E1304" s="158">
        <v>43.68</v>
      </c>
      <c r="F1304" s="158"/>
      <c r="G1304" s="158">
        <v>43.68</v>
      </c>
    </row>
    <row r="1305" spans="1:7" ht="32.999496" customHeight="1" x14ac:dyDescent="0.15">
      <c r="A1305" s="158">
        <v>1303.0</v>
      </c>
      <c r="B1305" s="158" t="s">
        <v>8</v>
      </c>
      <c r="C1305" s="158" t="s">
        <f>"高磊"</f>
        <v>1177</v>
      </c>
      <c r="D1305" s="158" t="s">
        <f>"15010114413"</f>
        <v>2446</v>
      </c>
      <c r="E1305" s="158" t="s">
        <v>15</v>
      </c>
      <c r="F1305" s="158"/>
      <c r="G1305" s="158" t="s">
        <v>15</v>
      </c>
    </row>
    <row r="1306" spans="1:7" ht="32.999496" customHeight="1" x14ac:dyDescent="0.15">
      <c r="A1306" s="158">
        <v>1304.0</v>
      </c>
      <c r="B1306" s="158" t="s">
        <v>8</v>
      </c>
      <c r="C1306" s="158" t="s">
        <f>"高菊蔓"</f>
        <v>2447</v>
      </c>
      <c r="D1306" s="158" t="s">
        <f>"15010114414"</f>
        <v>2448</v>
      </c>
      <c r="E1306" s="158" t="s">
        <v>15</v>
      </c>
      <c r="F1306" s="158"/>
      <c r="G1306" s="158" t="s">
        <v>15</v>
      </c>
    </row>
    <row r="1307" spans="1:7" ht="32.999496" customHeight="1" x14ac:dyDescent="0.15">
      <c r="A1307" s="158">
        <v>1305.0</v>
      </c>
      <c r="B1307" s="158" t="s">
        <v>8</v>
      </c>
      <c r="C1307" s="158" t="s">
        <f>"侯慧"</f>
        <v>2449</v>
      </c>
      <c r="D1307" s="158" t="s">
        <f>"15010114415"</f>
        <v>2450</v>
      </c>
      <c r="E1307" s="158">
        <v>52.33</v>
      </c>
      <c r="F1307" s="158"/>
      <c r="G1307" s="158">
        <v>52.33</v>
      </c>
    </row>
    <row r="1308" spans="1:7" ht="32.999496" customHeight="1" x14ac:dyDescent="0.15">
      <c r="A1308" s="158">
        <v>1306.0</v>
      </c>
      <c r="B1308" s="158" t="s">
        <v>8</v>
      </c>
      <c r="C1308" s="158" t="s">
        <f>"高倩"</f>
        <v>102</v>
      </c>
      <c r="D1308" s="158" t="s">
        <f>"15010114416"</f>
        <v>2451</v>
      </c>
      <c r="E1308" s="158" t="s">
        <v>15</v>
      </c>
      <c r="F1308" s="158"/>
      <c r="G1308" s="158" t="s">
        <v>15</v>
      </c>
    </row>
    <row r="1309" spans="1:7" ht="32.999496" customHeight="1" x14ac:dyDescent="0.15">
      <c r="A1309" s="158">
        <v>1307.0</v>
      </c>
      <c r="B1309" s="158" t="s">
        <v>8</v>
      </c>
      <c r="C1309" s="158" t="s">
        <f>"郭厅"</f>
        <v>2452</v>
      </c>
      <c r="D1309" s="158" t="s">
        <f>"15010114417"</f>
        <v>2453</v>
      </c>
      <c r="E1309" s="158">
        <v>48.870000000000005</v>
      </c>
      <c r="F1309" s="158"/>
      <c r="G1309" s="158">
        <v>48.870000000000005</v>
      </c>
    </row>
    <row r="1310" spans="1:7" ht="32.999496" customHeight="1" x14ac:dyDescent="0.15">
      <c r="A1310" s="158">
        <v>1308.0</v>
      </c>
      <c r="B1310" s="158" t="s">
        <v>8</v>
      </c>
      <c r="C1310" s="158" t="s">
        <f>"苏悦"</f>
        <v>2454</v>
      </c>
      <c r="D1310" s="158" t="s">
        <f>"15010114418"</f>
        <v>2455</v>
      </c>
      <c r="E1310" s="158">
        <v>57.03</v>
      </c>
      <c r="F1310" s="158"/>
      <c r="G1310" s="158">
        <v>57.03</v>
      </c>
    </row>
    <row r="1311" spans="1:7" ht="32.999496" customHeight="1" x14ac:dyDescent="0.15">
      <c r="A1311" s="158">
        <v>1309.0</v>
      </c>
      <c r="B1311" s="158" t="s">
        <v>8</v>
      </c>
      <c r="C1311" s="158" t="s">
        <f>"王晓龙"</f>
        <v>2456</v>
      </c>
      <c r="D1311" s="158" t="s">
        <f>"15010114419"</f>
        <v>2457</v>
      </c>
      <c r="E1311" s="158">
        <v>56.9</v>
      </c>
      <c r="F1311" s="158"/>
      <c r="G1311" s="158">
        <v>56.9</v>
      </c>
    </row>
    <row r="1312" spans="1:7" ht="32.999496" customHeight="1" x14ac:dyDescent="0.15">
      <c r="A1312" s="158">
        <v>1310.0</v>
      </c>
      <c r="B1312" s="158" t="s">
        <v>8</v>
      </c>
      <c r="C1312" s="158" t="s">
        <f>"王国卿"</f>
        <v>2458</v>
      </c>
      <c r="D1312" s="158" t="s">
        <f>"15010114420"</f>
        <v>2459</v>
      </c>
      <c r="E1312" s="158" t="s">
        <v>15</v>
      </c>
      <c r="F1312" s="158"/>
      <c r="G1312" s="158" t="s">
        <v>15</v>
      </c>
    </row>
    <row r="1313" spans="1:7" ht="32.999496" customHeight="1" x14ac:dyDescent="0.15">
      <c r="A1313" s="158">
        <v>1311.0</v>
      </c>
      <c r="B1313" s="158" t="s">
        <v>8</v>
      </c>
      <c r="C1313" s="158" t="s">
        <f>"乔梅"</f>
        <v>2460</v>
      </c>
      <c r="D1313" s="158" t="s">
        <f>"15010114421"</f>
        <v>2461</v>
      </c>
      <c r="E1313" s="158">
        <v>40.3</v>
      </c>
      <c r="F1313" s="158"/>
      <c r="G1313" s="158">
        <v>40.3</v>
      </c>
    </row>
    <row r="1314" spans="1:7" ht="32.999496" customHeight="1" x14ac:dyDescent="0.15">
      <c r="A1314" s="158">
        <v>1312.0</v>
      </c>
      <c r="B1314" s="158" t="s">
        <v>8</v>
      </c>
      <c r="C1314" s="158" t="s">
        <f>"车慧芬"</f>
        <v>2462</v>
      </c>
      <c r="D1314" s="158" t="s">
        <f>"15010114422"</f>
        <v>2463</v>
      </c>
      <c r="E1314" s="158">
        <v>49.55</v>
      </c>
      <c r="F1314" s="158"/>
      <c r="G1314" s="158">
        <v>49.55</v>
      </c>
    </row>
    <row r="1315" spans="1:7" ht="32.999496" customHeight="1" x14ac:dyDescent="0.15">
      <c r="A1315" s="158">
        <v>1313.0</v>
      </c>
      <c r="B1315" s="158" t="s">
        <v>8</v>
      </c>
      <c r="C1315" s="158" t="s">
        <f>"那日娜"</f>
        <v>2464</v>
      </c>
      <c r="D1315" s="158" t="s">
        <f>"15010114423"</f>
        <v>2465</v>
      </c>
      <c r="E1315" s="158" t="s">
        <v>15</v>
      </c>
      <c r="F1315" s="158">
        <v>2.5</v>
      </c>
      <c r="G1315" s="158" t="s">
        <v>15</v>
      </c>
    </row>
    <row r="1316" spans="1:7" ht="32.999496" customHeight="1" x14ac:dyDescent="0.15">
      <c r="A1316" s="158">
        <v>1314.0</v>
      </c>
      <c r="B1316" s="158" t="s">
        <v>8</v>
      </c>
      <c r="C1316" s="158" t="s">
        <f>"李荣"</f>
        <v>2466</v>
      </c>
      <c r="D1316" s="158" t="s">
        <f>"15010114424"</f>
        <v>2467</v>
      </c>
      <c r="E1316" s="158">
        <v>50.03</v>
      </c>
      <c r="F1316" s="158"/>
      <c r="G1316" s="158">
        <v>50.03</v>
      </c>
    </row>
    <row r="1317" spans="1:7" ht="32.999496" customHeight="1" x14ac:dyDescent="0.15">
      <c r="A1317" s="158">
        <v>1315.0</v>
      </c>
      <c r="B1317" s="158" t="s">
        <v>8</v>
      </c>
      <c r="C1317" s="158" t="s">
        <f>"李洋"</f>
        <v>1252</v>
      </c>
      <c r="D1317" s="158" t="s">
        <f>"15010114425"</f>
        <v>2468</v>
      </c>
      <c r="E1317" s="158">
        <v>47.760000000000005</v>
      </c>
      <c r="F1317" s="158"/>
      <c r="G1317" s="158">
        <v>47.760000000000005</v>
      </c>
    </row>
    <row r="1318" spans="1:7" ht="32.999496" customHeight="1" x14ac:dyDescent="0.15">
      <c r="A1318" s="158">
        <v>1316.0</v>
      </c>
      <c r="B1318" s="158" t="s">
        <v>8</v>
      </c>
      <c r="C1318" s="158" t="s">
        <f>"袁丹"</f>
        <v>2469</v>
      </c>
      <c r="D1318" s="158" t="s">
        <f>"15010114426"</f>
        <v>2470</v>
      </c>
      <c r="E1318" s="158" t="s">
        <v>15</v>
      </c>
      <c r="F1318" s="158"/>
      <c r="G1318" s="158" t="s">
        <v>15</v>
      </c>
    </row>
    <row r="1319" spans="1:7" ht="32.999496" customHeight="1" x14ac:dyDescent="0.15">
      <c r="A1319" s="158">
        <v>1317.0</v>
      </c>
      <c r="B1319" s="158" t="s">
        <v>8</v>
      </c>
      <c r="C1319" s="158" t="s">
        <f>"徐荣"</f>
        <v>1652</v>
      </c>
      <c r="D1319" s="158" t="s">
        <f>"15010114427"</f>
        <v>2471</v>
      </c>
      <c r="E1319" s="158">
        <v>44.510000000000005</v>
      </c>
      <c r="F1319" s="158"/>
      <c r="G1319" s="158">
        <v>44.510000000000005</v>
      </c>
    </row>
    <row r="1320" spans="1:7" ht="32.999496" customHeight="1" x14ac:dyDescent="0.15">
      <c r="A1320" s="158">
        <v>1318.0</v>
      </c>
      <c r="B1320" s="158" t="s">
        <v>8</v>
      </c>
      <c r="C1320" s="158" t="s">
        <f>"高娜"</f>
        <v>46</v>
      </c>
      <c r="D1320" s="158" t="s">
        <f>"15010114428"</f>
        <v>2472</v>
      </c>
      <c r="E1320" s="158">
        <v>70.67</v>
      </c>
      <c r="F1320" s="158"/>
      <c r="G1320" s="158">
        <v>70.67</v>
      </c>
    </row>
    <row r="1321" spans="1:7" ht="32.999496" customHeight="1" x14ac:dyDescent="0.15">
      <c r="A1321" s="158">
        <v>1319.0</v>
      </c>
      <c r="B1321" s="158" t="s">
        <v>8</v>
      </c>
      <c r="C1321" s="158" t="s">
        <f>"郝乐桐"</f>
        <v>2473</v>
      </c>
      <c r="D1321" s="158" t="s">
        <f>"15010114429"</f>
        <v>2474</v>
      </c>
      <c r="E1321" s="158">
        <v>65.66</v>
      </c>
      <c r="F1321" s="158"/>
      <c r="G1321" s="158">
        <v>65.66</v>
      </c>
    </row>
    <row r="1322" spans="1:7" ht="32.999496" customHeight="1" x14ac:dyDescent="0.15">
      <c r="A1322" s="158">
        <v>1320.0</v>
      </c>
      <c r="B1322" s="158" t="s">
        <v>8</v>
      </c>
      <c r="C1322" s="158" t="s">
        <f>"崔雨"</f>
        <v>2475</v>
      </c>
      <c r="D1322" s="158" t="s">
        <f>"15010114430"</f>
        <v>2476</v>
      </c>
      <c r="E1322" s="158" t="s">
        <v>15</v>
      </c>
      <c r="F1322" s="158"/>
      <c r="G1322" s="158" t="s">
        <v>15</v>
      </c>
    </row>
    <row r="1323" spans="1:7" ht="32.999496" customHeight="1" x14ac:dyDescent="0.15">
      <c r="A1323" s="158">
        <v>1321.0</v>
      </c>
      <c r="B1323" s="158" t="s">
        <v>8</v>
      </c>
      <c r="C1323" s="158" t="s">
        <f>"郭香"</f>
        <v>2477</v>
      </c>
      <c r="D1323" s="158" t="s">
        <f>"15010114501"</f>
        <v>2478</v>
      </c>
      <c r="E1323" s="158">
        <v>53.33</v>
      </c>
      <c r="F1323" s="158"/>
      <c r="G1323" s="158">
        <v>53.33</v>
      </c>
    </row>
    <row r="1324" spans="1:7" ht="32.999496" customHeight="1" x14ac:dyDescent="0.15">
      <c r="A1324" s="158">
        <v>1322.0</v>
      </c>
      <c r="B1324" s="158" t="s">
        <v>8</v>
      </c>
      <c r="C1324" s="158" t="s">
        <f>"崔鹏"</f>
        <v>2479</v>
      </c>
      <c r="D1324" s="158" t="s">
        <f>"15010114502"</f>
        <v>2480</v>
      </c>
      <c r="E1324" s="158">
        <v>54.68</v>
      </c>
      <c r="F1324" s="158"/>
      <c r="G1324" s="158">
        <v>54.68</v>
      </c>
    </row>
    <row r="1325" spans="1:7" ht="32.999496" customHeight="1" x14ac:dyDescent="0.15">
      <c r="A1325" s="158">
        <v>1323.0</v>
      </c>
      <c r="B1325" s="158" t="s">
        <v>8</v>
      </c>
      <c r="C1325" s="158" t="s">
        <f>"李琳琳"</f>
        <v>2481</v>
      </c>
      <c r="D1325" s="158" t="s">
        <f>"15010114503"</f>
        <v>2482</v>
      </c>
      <c r="E1325" s="158">
        <v>53.269999999999996</v>
      </c>
      <c r="F1325" s="158"/>
      <c r="G1325" s="158">
        <v>53.269999999999996</v>
      </c>
    </row>
    <row r="1326" spans="1:7" ht="32.999496" customHeight="1" x14ac:dyDescent="0.15">
      <c r="A1326" s="158">
        <v>1324.0</v>
      </c>
      <c r="B1326" s="158" t="s">
        <v>8</v>
      </c>
      <c r="C1326" s="158" t="s">
        <f>"苏磊"</f>
        <v>2483</v>
      </c>
      <c r="D1326" s="158" t="s">
        <f>"15010114504"</f>
        <v>2484</v>
      </c>
      <c r="E1326" s="158" t="s">
        <v>15</v>
      </c>
      <c r="F1326" s="158"/>
      <c r="G1326" s="158" t="s">
        <v>15</v>
      </c>
    </row>
    <row r="1327" spans="1:7" ht="32.999496" customHeight="1" x14ac:dyDescent="0.15">
      <c r="A1327" s="158">
        <v>1325.0</v>
      </c>
      <c r="B1327" s="158" t="s">
        <v>8</v>
      </c>
      <c r="C1327" s="158" t="s">
        <f>"宋燕"</f>
        <v>2485</v>
      </c>
      <c r="D1327" s="158" t="s">
        <f>"15010114505"</f>
        <v>2486</v>
      </c>
      <c r="E1327" s="158">
        <v>71.75</v>
      </c>
      <c r="F1327" s="158"/>
      <c r="G1327" s="158">
        <v>71.75</v>
      </c>
    </row>
    <row r="1328" spans="1:7" ht="32.999496" customHeight="1" x14ac:dyDescent="0.15">
      <c r="A1328" s="158">
        <v>1326.0</v>
      </c>
      <c r="B1328" s="158" t="s">
        <v>8</v>
      </c>
      <c r="C1328" s="158" t="s">
        <f>"白雪"</f>
        <v>60</v>
      </c>
      <c r="D1328" s="158" t="s">
        <f>"15010114506"</f>
        <v>2487</v>
      </c>
      <c r="E1328" s="158">
        <v>61.46</v>
      </c>
      <c r="F1328" s="158"/>
      <c r="G1328" s="158">
        <v>61.46</v>
      </c>
    </row>
    <row r="1329" spans="1:7" ht="32.999496" customHeight="1" x14ac:dyDescent="0.15">
      <c r="A1329" s="158">
        <v>1327.0</v>
      </c>
      <c r="B1329" s="158" t="s">
        <v>8</v>
      </c>
      <c r="C1329" s="158" t="s">
        <f>"潘治安"</f>
        <v>2488</v>
      </c>
      <c r="D1329" s="158" t="s">
        <f>"15010114507"</f>
        <v>2489</v>
      </c>
      <c r="E1329" s="158">
        <v>57.75</v>
      </c>
      <c r="F1329" s="158"/>
      <c r="G1329" s="158">
        <v>57.75</v>
      </c>
    </row>
    <row r="1330" spans="1:7" ht="32.999496" customHeight="1" x14ac:dyDescent="0.15">
      <c r="A1330" s="158">
        <v>1328.0</v>
      </c>
      <c r="B1330" s="158" t="s">
        <v>8</v>
      </c>
      <c r="C1330" s="158" t="s">
        <f>"侯博"</f>
        <v>2490</v>
      </c>
      <c r="D1330" s="158" t="s">
        <f>"15010114508"</f>
        <v>2491</v>
      </c>
      <c r="E1330" s="158">
        <v>67.42</v>
      </c>
      <c r="F1330" s="158"/>
      <c r="G1330" s="158">
        <v>67.42</v>
      </c>
    </row>
    <row r="1331" spans="1:7" ht="32.999496" customHeight="1" x14ac:dyDescent="0.15">
      <c r="A1331" s="158">
        <v>1329.0</v>
      </c>
      <c r="B1331" s="158" t="s">
        <v>8</v>
      </c>
      <c r="C1331" s="158" t="s">
        <f>"李浩"</f>
        <v>1021</v>
      </c>
      <c r="D1331" s="158" t="s">
        <f>"15010114509"</f>
        <v>2492</v>
      </c>
      <c r="E1331" s="158">
        <v>52.25</v>
      </c>
      <c r="F1331" s="158"/>
      <c r="G1331" s="158">
        <v>52.25</v>
      </c>
    </row>
    <row r="1332" spans="1:7" ht="32.999496" customHeight="1" x14ac:dyDescent="0.15">
      <c r="A1332" s="158">
        <v>1330.0</v>
      </c>
      <c r="B1332" s="158" t="s">
        <v>8</v>
      </c>
      <c r="C1332" s="158" t="s">
        <f>"杨洋"</f>
        <v>2493</v>
      </c>
      <c r="D1332" s="158" t="s">
        <f>"15010114510"</f>
        <v>2494</v>
      </c>
      <c r="E1332" s="158" t="s">
        <v>15</v>
      </c>
      <c r="F1332" s="158"/>
      <c r="G1332" s="158" t="s">
        <v>15</v>
      </c>
    </row>
    <row r="1333" spans="1:7" ht="32.999496" customHeight="1" x14ac:dyDescent="0.15">
      <c r="A1333" s="158">
        <v>1331.0</v>
      </c>
      <c r="B1333" s="158" t="s">
        <v>8</v>
      </c>
      <c r="C1333" s="158" t="s">
        <f>"李博"</f>
        <v>2495</v>
      </c>
      <c r="D1333" s="158" t="s">
        <f>"15010114511"</f>
        <v>2496</v>
      </c>
      <c r="E1333" s="158">
        <v>52.19</v>
      </c>
      <c r="F1333" s="158"/>
      <c r="G1333" s="158">
        <v>52.19</v>
      </c>
    </row>
    <row r="1334" spans="1:7" ht="32.999496" customHeight="1" x14ac:dyDescent="0.15">
      <c r="A1334" s="158">
        <v>1332.0</v>
      </c>
      <c r="B1334" s="158" t="s">
        <v>8</v>
      </c>
      <c r="C1334" s="158" t="s">
        <f>"罗慧敏"</f>
        <v>2497</v>
      </c>
      <c r="D1334" s="158" t="s">
        <f>"15010114512"</f>
        <v>2498</v>
      </c>
      <c r="E1334" s="158">
        <v>68.21000000000001</v>
      </c>
      <c r="F1334" s="158"/>
      <c r="G1334" s="158">
        <v>68.21000000000001</v>
      </c>
    </row>
    <row r="1335" spans="1:7" ht="32.999496" customHeight="1" x14ac:dyDescent="0.15">
      <c r="A1335" s="158">
        <v>1333.0</v>
      </c>
      <c r="B1335" s="158" t="s">
        <v>8</v>
      </c>
      <c r="C1335" s="158" t="s">
        <f>"王婷"</f>
        <v>2032</v>
      </c>
      <c r="D1335" s="158" t="s">
        <f>"15010114513"</f>
        <v>2499</v>
      </c>
      <c r="E1335" s="158" t="s">
        <v>15</v>
      </c>
      <c r="F1335" s="158"/>
      <c r="G1335" s="158" t="s">
        <v>15</v>
      </c>
    </row>
    <row r="1336" spans="1:7" ht="32.999496" customHeight="1" x14ac:dyDescent="0.15">
      <c r="A1336" s="158">
        <v>1334.0</v>
      </c>
      <c r="B1336" s="158" t="s">
        <v>8</v>
      </c>
      <c r="C1336" s="158" t="s">
        <f>"吴海燕"</f>
        <v>2500</v>
      </c>
      <c r="D1336" s="158" t="s">
        <f>"15010114514"</f>
        <v>2501</v>
      </c>
      <c r="E1336" s="158" t="s">
        <v>15</v>
      </c>
      <c r="F1336" s="158"/>
      <c r="G1336" s="158" t="s">
        <v>15</v>
      </c>
    </row>
    <row r="1337" spans="1:7" ht="32.999496" customHeight="1" x14ac:dyDescent="0.15">
      <c r="A1337" s="158">
        <v>1335.0</v>
      </c>
      <c r="B1337" s="158" t="s">
        <v>8</v>
      </c>
      <c r="C1337" s="158" t="s">
        <f>"李默涵"</f>
        <v>2502</v>
      </c>
      <c r="D1337" s="158" t="s">
        <f>"15010114515"</f>
        <v>2503</v>
      </c>
      <c r="E1337" s="158" t="s">
        <v>15</v>
      </c>
      <c r="F1337" s="158"/>
      <c r="G1337" s="158" t="s">
        <v>15</v>
      </c>
    </row>
    <row r="1338" spans="1:7" ht="32.999496" customHeight="1" x14ac:dyDescent="0.15">
      <c r="A1338" s="158">
        <v>1336.0</v>
      </c>
      <c r="B1338" s="158" t="s">
        <v>8</v>
      </c>
      <c r="C1338" s="158" t="s">
        <f>"贾娇"</f>
        <v>2504</v>
      </c>
      <c r="D1338" s="158" t="s">
        <f>"15010114516"</f>
        <v>2505</v>
      </c>
      <c r="E1338" s="158">
        <v>56.83</v>
      </c>
      <c r="F1338" s="158"/>
      <c r="G1338" s="158">
        <v>56.83</v>
      </c>
    </row>
    <row r="1339" spans="1:7" ht="32.999496" customHeight="1" x14ac:dyDescent="0.15">
      <c r="A1339" s="158">
        <v>1337.0</v>
      </c>
      <c r="B1339" s="158" t="s">
        <v>8</v>
      </c>
      <c r="C1339" s="158" t="s">
        <f>"裴芳"</f>
        <v>2506</v>
      </c>
      <c r="D1339" s="158" t="s">
        <f>"15010114517"</f>
        <v>2507</v>
      </c>
      <c r="E1339" s="158">
        <v>62.86</v>
      </c>
      <c r="F1339" s="158"/>
      <c r="G1339" s="158">
        <v>62.86</v>
      </c>
    </row>
    <row r="1340" spans="1:7" ht="32.999496" customHeight="1" x14ac:dyDescent="0.15">
      <c r="A1340" s="158">
        <v>1338.0</v>
      </c>
      <c r="B1340" s="158" t="s">
        <v>8</v>
      </c>
      <c r="C1340" s="158" t="s">
        <f>"吴政函"</f>
        <v>2508</v>
      </c>
      <c r="D1340" s="158" t="s">
        <f>"15010114518"</f>
        <v>2509</v>
      </c>
      <c r="E1340" s="158">
        <v>73.96000000000001</v>
      </c>
      <c r="F1340" s="158"/>
      <c r="G1340" s="158">
        <v>73.96000000000001</v>
      </c>
    </row>
    <row r="1341" spans="1:7" ht="32.999496" customHeight="1" x14ac:dyDescent="0.15">
      <c r="A1341" s="158">
        <v>1339.0</v>
      </c>
      <c r="B1341" s="158" t="s">
        <v>8</v>
      </c>
      <c r="C1341" s="158" t="s">
        <f>"何鹏"</f>
        <v>2510</v>
      </c>
      <c r="D1341" s="158" t="s">
        <f>"15010114519"</f>
        <v>2511</v>
      </c>
      <c r="E1341" s="158" t="s">
        <v>15</v>
      </c>
      <c r="F1341" s="158"/>
      <c r="G1341" s="158" t="s">
        <v>15</v>
      </c>
    </row>
    <row r="1342" spans="1:7" ht="32.999496" customHeight="1" x14ac:dyDescent="0.15">
      <c r="A1342" s="158">
        <v>1340.0</v>
      </c>
      <c r="B1342" s="158" t="s">
        <v>8</v>
      </c>
      <c r="C1342" s="158" t="s">
        <f>"杨舒媛"</f>
        <v>2512</v>
      </c>
      <c r="D1342" s="158" t="s">
        <f>"15010114520"</f>
        <v>2513</v>
      </c>
      <c r="E1342" s="158">
        <v>70.28999999999999</v>
      </c>
      <c r="F1342" s="158"/>
      <c r="G1342" s="158">
        <v>70.28999999999999</v>
      </c>
    </row>
    <row r="1343" spans="1:7" ht="32.999496" customHeight="1" x14ac:dyDescent="0.15">
      <c r="A1343" s="158">
        <v>1341.0</v>
      </c>
      <c r="B1343" s="158" t="s">
        <v>8</v>
      </c>
      <c r="C1343" s="158" t="s">
        <f>"孙小芳"</f>
        <v>2514</v>
      </c>
      <c r="D1343" s="158" t="s">
        <f>"15010114521"</f>
        <v>2515</v>
      </c>
      <c r="E1343" s="158">
        <v>63.02</v>
      </c>
      <c r="F1343" s="158"/>
      <c r="G1343" s="158">
        <v>63.02</v>
      </c>
    </row>
    <row r="1344" spans="1:7" ht="32.999496" customHeight="1" x14ac:dyDescent="0.15">
      <c r="A1344" s="158">
        <v>1342.0</v>
      </c>
      <c r="B1344" s="158" t="s">
        <v>8</v>
      </c>
      <c r="C1344" s="158" t="s">
        <f>"朱紫亨"</f>
        <v>2516</v>
      </c>
      <c r="D1344" s="158" t="s">
        <f>"15010114522"</f>
        <v>2517</v>
      </c>
      <c r="E1344" s="158">
        <v>53.72</v>
      </c>
      <c r="F1344" s="158"/>
      <c r="G1344" s="158">
        <v>53.72</v>
      </c>
    </row>
    <row r="1345" spans="1:7" ht="32.999496" customHeight="1" x14ac:dyDescent="0.15">
      <c r="A1345" s="158">
        <v>1343.0</v>
      </c>
      <c r="B1345" s="158" t="s">
        <v>8</v>
      </c>
      <c r="C1345" s="158" t="s">
        <f>"高慧"</f>
        <v>84</v>
      </c>
      <c r="D1345" s="158" t="s">
        <f>"15010114523"</f>
        <v>2518</v>
      </c>
      <c r="E1345" s="158">
        <v>57.06</v>
      </c>
      <c r="F1345" s="158"/>
      <c r="G1345" s="158">
        <v>57.06</v>
      </c>
    </row>
    <row r="1346" spans="1:7" ht="32.999496" customHeight="1" x14ac:dyDescent="0.15">
      <c r="A1346" s="158">
        <v>1344.0</v>
      </c>
      <c r="B1346" s="158" t="s">
        <v>8</v>
      </c>
      <c r="C1346" s="158" t="s">
        <f>"张艳"</f>
        <v>199</v>
      </c>
      <c r="D1346" s="158" t="s">
        <f>"15010114524"</f>
        <v>2519</v>
      </c>
      <c r="E1346" s="158" t="s">
        <v>15</v>
      </c>
      <c r="F1346" s="158"/>
      <c r="G1346" s="158" t="s">
        <v>15</v>
      </c>
    </row>
    <row r="1347" spans="1:7" ht="32.999496" customHeight="1" x14ac:dyDescent="0.15">
      <c r="A1347" s="158">
        <v>1345.0</v>
      </c>
      <c r="B1347" s="158" t="s">
        <v>8</v>
      </c>
      <c r="C1347" s="158" t="s">
        <f>"马伟"</f>
        <v>2520</v>
      </c>
      <c r="D1347" s="158" t="s">
        <f>"15010114525"</f>
        <v>2521</v>
      </c>
      <c r="E1347" s="158" t="s">
        <v>15</v>
      </c>
      <c r="F1347" s="158"/>
      <c r="G1347" s="158" t="s">
        <v>15</v>
      </c>
    </row>
    <row r="1348" spans="1:7" ht="32.999496" customHeight="1" x14ac:dyDescent="0.15">
      <c r="A1348" s="158">
        <v>1346.0</v>
      </c>
      <c r="B1348" s="158" t="s">
        <v>8</v>
      </c>
      <c r="C1348" s="158" t="s">
        <f>"孙小慧"</f>
        <v>2522</v>
      </c>
      <c r="D1348" s="158" t="s">
        <f>"15010114526"</f>
        <v>2523</v>
      </c>
      <c r="E1348" s="158">
        <v>50.760000000000005</v>
      </c>
      <c r="F1348" s="158"/>
      <c r="G1348" s="158">
        <v>50.760000000000005</v>
      </c>
    </row>
    <row r="1349" spans="1:7" ht="32.999496" customHeight="1" x14ac:dyDescent="0.15">
      <c r="A1349" s="158">
        <v>1347.0</v>
      </c>
      <c r="B1349" s="158" t="s">
        <v>8</v>
      </c>
      <c r="C1349" s="158" t="s">
        <f>"高茜"</f>
        <v>2524</v>
      </c>
      <c r="D1349" s="158" t="s">
        <f>"15010114527"</f>
        <v>2525</v>
      </c>
      <c r="E1349" s="158">
        <v>68.62</v>
      </c>
      <c r="F1349" s="158"/>
      <c r="G1349" s="158">
        <v>68.62</v>
      </c>
    </row>
    <row r="1350" spans="1:7" ht="32.999496" customHeight="1" x14ac:dyDescent="0.15">
      <c r="A1350" s="158">
        <v>1348.0</v>
      </c>
      <c r="B1350" s="158" t="s">
        <v>8</v>
      </c>
      <c r="C1350" s="158" t="s">
        <f>"白军"</f>
        <v>2526</v>
      </c>
      <c r="D1350" s="158" t="s">
        <f>"15010114528"</f>
        <v>2527</v>
      </c>
      <c r="E1350" s="158" t="s">
        <v>15</v>
      </c>
      <c r="F1350" s="158"/>
      <c r="G1350" s="158" t="s">
        <v>15</v>
      </c>
    </row>
    <row r="1351" spans="1:7" ht="32.999496" customHeight="1" x14ac:dyDescent="0.15">
      <c r="A1351" s="158">
        <v>1349.0</v>
      </c>
      <c r="B1351" s="158" t="s">
        <v>8</v>
      </c>
      <c r="C1351" s="158" t="s">
        <f>"崔慧"</f>
        <v>705</v>
      </c>
      <c r="D1351" s="158" t="s">
        <f>"15010114529"</f>
        <v>2528</v>
      </c>
      <c r="E1351" s="158">
        <v>53.19</v>
      </c>
      <c r="F1351" s="158"/>
      <c r="G1351" s="158">
        <v>53.19</v>
      </c>
    </row>
    <row r="1352" spans="1:7" ht="32.999496" customHeight="1" x14ac:dyDescent="0.15">
      <c r="A1352" s="158">
        <v>1350.0</v>
      </c>
      <c r="B1352" s="158" t="s">
        <v>8</v>
      </c>
      <c r="C1352" s="158" t="s">
        <f>"朱红丽"</f>
        <v>2529</v>
      </c>
      <c r="D1352" s="158" t="s">
        <f>"15010114530"</f>
        <v>2530</v>
      </c>
      <c r="E1352" s="158">
        <v>47.66</v>
      </c>
      <c r="F1352" s="158"/>
      <c r="G1352" s="158">
        <v>47.66</v>
      </c>
    </row>
    <row r="1353" spans="1:7" ht="32.999496" customHeight="1" x14ac:dyDescent="0.15">
      <c r="A1353" s="158">
        <v>1351.0</v>
      </c>
      <c r="B1353" s="158" t="s">
        <v>8</v>
      </c>
      <c r="C1353" s="158" t="s">
        <f>"蒋小宇"</f>
        <v>2531</v>
      </c>
      <c r="D1353" s="158" t="s">
        <f>"15010120101"</f>
        <v>2532</v>
      </c>
      <c r="E1353" s="158">
        <v>60.71</v>
      </c>
      <c r="F1353" s="158"/>
      <c r="G1353" s="158">
        <v>60.71</v>
      </c>
    </row>
    <row r="1354" spans="1:7" ht="32.999496" customHeight="1" x14ac:dyDescent="0.15">
      <c r="A1354" s="158">
        <v>1352.0</v>
      </c>
      <c r="B1354" s="158" t="s">
        <v>8</v>
      </c>
      <c r="C1354" s="158" t="s">
        <f>"牛振国"</f>
        <v>2533</v>
      </c>
      <c r="D1354" s="158" t="s">
        <f>"15010120102"</f>
        <v>2534</v>
      </c>
      <c r="E1354" s="158">
        <v>49.05</v>
      </c>
      <c r="F1354" s="158"/>
      <c r="G1354" s="158">
        <v>49.05</v>
      </c>
    </row>
    <row r="1355" spans="1:7" ht="32.999496" customHeight="1" x14ac:dyDescent="0.15">
      <c r="A1355" s="158">
        <v>1353.0</v>
      </c>
      <c r="B1355" s="158" t="s">
        <v>8</v>
      </c>
      <c r="C1355" s="158" t="s">
        <f>"王瑞旭"</f>
        <v>2535</v>
      </c>
      <c r="D1355" s="158" t="s">
        <f>"15010120103"</f>
        <v>2536</v>
      </c>
      <c r="E1355" s="158">
        <v>46.83</v>
      </c>
      <c r="F1355" s="158"/>
      <c r="G1355" s="158">
        <v>46.83</v>
      </c>
    </row>
    <row r="1356" spans="1:7" ht="32.999496" customHeight="1" x14ac:dyDescent="0.15">
      <c r="A1356" s="158">
        <v>1354.0</v>
      </c>
      <c r="B1356" s="158" t="s">
        <v>8</v>
      </c>
      <c r="C1356" s="158" t="s">
        <f>"李锴卓"</f>
        <v>2537</v>
      </c>
      <c r="D1356" s="158" t="s">
        <f>"15010120104"</f>
        <v>2538</v>
      </c>
      <c r="E1356" s="158">
        <v>59.99</v>
      </c>
      <c r="F1356" s="158"/>
      <c r="G1356" s="158">
        <v>59.99</v>
      </c>
    </row>
    <row r="1357" spans="1:7" ht="32.999496" customHeight="1" x14ac:dyDescent="0.15">
      <c r="A1357" s="158">
        <v>1355.0</v>
      </c>
      <c r="B1357" s="158" t="s">
        <v>8</v>
      </c>
      <c r="C1357" s="158" t="s">
        <f>"李红梅"</f>
        <v>2539</v>
      </c>
      <c r="D1357" s="158" t="s">
        <f>"15010120105"</f>
        <v>2540</v>
      </c>
      <c r="E1357" s="158">
        <v>51.44</v>
      </c>
      <c r="F1357" s="158"/>
      <c r="G1357" s="158">
        <v>51.44</v>
      </c>
    </row>
    <row r="1358" spans="1:7" ht="32.999496" customHeight="1" x14ac:dyDescent="0.15">
      <c r="A1358" s="158">
        <v>1356.0</v>
      </c>
      <c r="B1358" s="158" t="s">
        <v>8</v>
      </c>
      <c r="C1358" s="158" t="s">
        <f>"刘鹏飞"</f>
        <v>2541</v>
      </c>
      <c r="D1358" s="158" t="s">
        <f>"15010120106"</f>
        <v>2542</v>
      </c>
      <c r="E1358" s="158">
        <v>63.98</v>
      </c>
      <c r="F1358" s="158"/>
      <c r="G1358" s="158">
        <v>63.98</v>
      </c>
    </row>
    <row r="1359" spans="1:7" ht="32.999496" customHeight="1" x14ac:dyDescent="0.15">
      <c r="A1359" s="158">
        <v>1357.0</v>
      </c>
      <c r="B1359" s="158" t="s">
        <v>8</v>
      </c>
      <c r="C1359" s="158" t="s">
        <f>"白鑫文"</f>
        <v>2543</v>
      </c>
      <c r="D1359" s="158" t="s">
        <f>"15010120107"</f>
        <v>2544</v>
      </c>
      <c r="E1359" s="158" t="s">
        <v>15</v>
      </c>
      <c r="F1359" s="158"/>
      <c r="G1359" s="158" t="s">
        <v>15</v>
      </c>
    </row>
    <row r="1360" spans="1:7" ht="32.999496" customHeight="1" x14ac:dyDescent="0.15">
      <c r="A1360" s="158">
        <v>1358.0</v>
      </c>
      <c r="B1360" s="158" t="s">
        <v>8</v>
      </c>
      <c r="C1360" s="158" t="s">
        <f>"高夕雅"</f>
        <v>2545</v>
      </c>
      <c r="D1360" s="158" t="s">
        <f>"15010120108"</f>
        <v>2546</v>
      </c>
      <c r="E1360" s="158">
        <v>52.29</v>
      </c>
      <c r="F1360" s="158"/>
      <c r="G1360" s="158">
        <v>52.29</v>
      </c>
    </row>
    <row r="1361" spans="1:7" ht="32.999496" customHeight="1" x14ac:dyDescent="0.15">
      <c r="A1361" s="158">
        <v>1359.0</v>
      </c>
      <c r="B1361" s="158" t="s">
        <v>8</v>
      </c>
      <c r="C1361" s="158" t="s">
        <f>"李阳"</f>
        <v>1259</v>
      </c>
      <c r="D1361" s="158" t="s">
        <f>"15010120109"</f>
        <v>2547</v>
      </c>
      <c r="E1361" s="158" t="s">
        <v>15</v>
      </c>
      <c r="F1361" s="158"/>
      <c r="G1361" s="158" t="s">
        <v>15</v>
      </c>
    </row>
    <row r="1362" spans="1:7" ht="32.999496" customHeight="1" x14ac:dyDescent="0.15">
      <c r="A1362" s="158">
        <v>1360.0</v>
      </c>
      <c r="B1362" s="158" t="s">
        <v>8</v>
      </c>
      <c r="C1362" s="158" t="s">
        <f>"赵子清"</f>
        <v>2548</v>
      </c>
      <c r="D1362" s="158" t="s">
        <f>"15010120110"</f>
        <v>2549</v>
      </c>
      <c r="E1362" s="158" t="s">
        <v>15</v>
      </c>
      <c r="F1362" s="158"/>
      <c r="G1362" s="158" t="s">
        <v>15</v>
      </c>
    </row>
    <row r="1363" spans="1:7" ht="32.999496" customHeight="1" x14ac:dyDescent="0.15">
      <c r="A1363" s="158">
        <v>1361.0</v>
      </c>
      <c r="B1363" s="158" t="s">
        <v>8</v>
      </c>
      <c r="C1363" s="158" t="s">
        <f>"折宇嵩"</f>
        <v>2550</v>
      </c>
      <c r="D1363" s="158" t="s">
        <f>"15010120111"</f>
        <v>2551</v>
      </c>
      <c r="E1363" s="158">
        <v>56.57</v>
      </c>
      <c r="F1363" s="158"/>
      <c r="G1363" s="158">
        <v>56.57</v>
      </c>
    </row>
    <row r="1364" spans="1:7" ht="32.999496" customHeight="1" x14ac:dyDescent="0.15">
      <c r="A1364" s="158">
        <v>1362.0</v>
      </c>
      <c r="B1364" s="158" t="s">
        <v>8</v>
      </c>
      <c r="C1364" s="158" t="s">
        <f>"苏林浩"</f>
        <v>2552</v>
      </c>
      <c r="D1364" s="158" t="s">
        <f>"15010120112"</f>
        <v>2553</v>
      </c>
      <c r="E1364" s="158">
        <v>50.31</v>
      </c>
      <c r="F1364" s="158"/>
      <c r="G1364" s="158">
        <v>50.31</v>
      </c>
    </row>
    <row r="1365" spans="1:7" ht="32.999496" customHeight="1" x14ac:dyDescent="0.15">
      <c r="A1365" s="158">
        <v>1363.0</v>
      </c>
      <c r="B1365" s="158" t="s">
        <v>8</v>
      </c>
      <c r="C1365" s="158" t="s">
        <f>"张浩"</f>
        <v>2554</v>
      </c>
      <c r="D1365" s="158" t="s">
        <f>"15010120113"</f>
        <v>2555</v>
      </c>
      <c r="E1365" s="158">
        <v>52.41</v>
      </c>
      <c r="F1365" s="158">
        <v>2.5</v>
      </c>
      <c r="G1365" s="158">
        <v>54.91</v>
      </c>
    </row>
    <row r="1366" spans="1:7" ht="32.999496" customHeight="1" x14ac:dyDescent="0.15">
      <c r="A1366" s="158">
        <v>1364.0</v>
      </c>
      <c r="B1366" s="158" t="s">
        <v>8</v>
      </c>
      <c r="C1366" s="158" t="s">
        <f>"张伟"</f>
        <v>882</v>
      </c>
      <c r="D1366" s="158" t="s">
        <f>"15010120114"</f>
        <v>2556</v>
      </c>
      <c r="E1366" s="158">
        <v>59.69</v>
      </c>
      <c r="F1366" s="158"/>
      <c r="G1366" s="158">
        <v>59.69</v>
      </c>
    </row>
    <row r="1367" spans="1:7" ht="32.999496" customHeight="1" x14ac:dyDescent="0.15">
      <c r="A1367" s="158">
        <v>1365.0</v>
      </c>
      <c r="B1367" s="158" t="s">
        <v>8</v>
      </c>
      <c r="C1367" s="158" t="s">
        <f>"李赫"</f>
        <v>2557</v>
      </c>
      <c r="D1367" s="158" t="s">
        <f>"15010120115"</f>
        <v>2558</v>
      </c>
      <c r="E1367" s="158">
        <v>58.44</v>
      </c>
      <c r="F1367" s="158"/>
      <c r="G1367" s="158">
        <v>58.44</v>
      </c>
    </row>
    <row r="1368" spans="1:7" ht="32.999496" customHeight="1" x14ac:dyDescent="0.15">
      <c r="A1368" s="158">
        <v>1366.0</v>
      </c>
      <c r="B1368" s="158" t="s">
        <v>8</v>
      </c>
      <c r="C1368" s="158" t="s">
        <f>"王宁"</f>
        <v>2274</v>
      </c>
      <c r="D1368" s="158" t="s">
        <f>"15010120116"</f>
        <v>2559</v>
      </c>
      <c r="E1368" s="158">
        <v>58.23</v>
      </c>
      <c r="F1368" s="158"/>
      <c r="G1368" s="158">
        <v>58.23</v>
      </c>
    </row>
    <row r="1369" spans="1:7" ht="32.999496" customHeight="1" x14ac:dyDescent="0.15">
      <c r="A1369" s="158">
        <v>1367.0</v>
      </c>
      <c r="B1369" s="158" t="s">
        <v>8</v>
      </c>
      <c r="C1369" s="158" t="s">
        <f>"张露"</f>
        <v>546</v>
      </c>
      <c r="D1369" s="158" t="s">
        <f>"15010120117"</f>
        <v>2560</v>
      </c>
      <c r="E1369" s="158" t="s">
        <v>15</v>
      </c>
      <c r="F1369" s="158"/>
      <c r="G1369" s="158" t="s">
        <v>15</v>
      </c>
    </row>
    <row r="1370" spans="1:7" ht="32.999496" customHeight="1" x14ac:dyDescent="0.15">
      <c r="A1370" s="158">
        <v>1368.0</v>
      </c>
      <c r="B1370" s="158" t="s">
        <v>8</v>
      </c>
      <c r="C1370" s="158" t="s">
        <f>"宋媛媛"</f>
        <v>2561</v>
      </c>
      <c r="D1370" s="158" t="s">
        <f>"15010120118"</f>
        <v>2562</v>
      </c>
      <c r="E1370" s="158">
        <v>65.69</v>
      </c>
      <c r="F1370" s="158"/>
      <c r="G1370" s="158">
        <v>65.69</v>
      </c>
    </row>
    <row r="1371" spans="1:7" ht="32.999496" customHeight="1" x14ac:dyDescent="0.15">
      <c r="A1371" s="158">
        <v>1369.0</v>
      </c>
      <c r="B1371" s="158" t="s">
        <v>8</v>
      </c>
      <c r="C1371" s="158" t="s">
        <f>"杨虎"</f>
        <v>2563</v>
      </c>
      <c r="D1371" s="158" t="s">
        <f>"15010120119"</f>
        <v>2564</v>
      </c>
      <c r="E1371" s="158">
        <v>53.35</v>
      </c>
      <c r="F1371" s="158">
        <v>2.5</v>
      </c>
      <c r="G1371" s="158">
        <v>55.85</v>
      </c>
    </row>
    <row r="1372" spans="1:7" ht="32.999496" customHeight="1" x14ac:dyDescent="0.15">
      <c r="A1372" s="158">
        <v>1370.0</v>
      </c>
      <c r="B1372" s="158" t="s">
        <v>8</v>
      </c>
      <c r="C1372" s="158" t="s">
        <f>"王叶峰"</f>
        <v>2565</v>
      </c>
      <c r="D1372" s="158" t="s">
        <f>"15010120120"</f>
        <v>2566</v>
      </c>
      <c r="E1372" s="158" t="s">
        <v>15</v>
      </c>
      <c r="F1372" s="158"/>
      <c r="G1372" s="158" t="s">
        <v>15</v>
      </c>
    </row>
    <row r="1373" spans="1:7" ht="32.999496" customHeight="1" x14ac:dyDescent="0.15">
      <c r="A1373" s="158">
        <v>1371.0</v>
      </c>
      <c r="B1373" s="158" t="s">
        <v>8</v>
      </c>
      <c r="C1373" s="158" t="s">
        <f>"孙海艳"</f>
        <v>2567</v>
      </c>
      <c r="D1373" s="158" t="s">
        <f>"15010120121"</f>
        <v>2568</v>
      </c>
      <c r="E1373" s="158" t="s">
        <v>15</v>
      </c>
      <c r="F1373" s="158"/>
      <c r="G1373" s="158" t="s">
        <v>15</v>
      </c>
    </row>
    <row r="1374" spans="1:7" ht="32.999496" customHeight="1" x14ac:dyDescent="0.15">
      <c r="A1374" s="158">
        <v>1372.0</v>
      </c>
      <c r="B1374" s="158" t="s">
        <v>8</v>
      </c>
      <c r="C1374" s="158" t="s">
        <f>"苏日娜"</f>
        <v>1265</v>
      </c>
      <c r="D1374" s="158" t="s">
        <f>"15010120122"</f>
        <v>2569</v>
      </c>
      <c r="E1374" s="158">
        <v>48.79</v>
      </c>
      <c r="F1374" s="158">
        <v>2.5</v>
      </c>
      <c r="G1374" s="158">
        <v>51.29</v>
      </c>
    </row>
    <row r="1375" spans="1:7" ht="32.999496" customHeight="1" x14ac:dyDescent="0.15">
      <c r="A1375" s="158">
        <v>1373.0</v>
      </c>
      <c r="B1375" s="158" t="s">
        <v>8</v>
      </c>
      <c r="C1375" s="158" t="s">
        <f>"陈慧"</f>
        <v>707</v>
      </c>
      <c r="D1375" s="158" t="s">
        <f>"15010120123"</f>
        <v>2570</v>
      </c>
      <c r="E1375" s="158" t="s">
        <v>15</v>
      </c>
      <c r="F1375" s="158"/>
      <c r="G1375" s="158" t="s">
        <v>15</v>
      </c>
    </row>
    <row r="1376" spans="1:7" ht="32.999496" customHeight="1" x14ac:dyDescent="0.15">
      <c r="A1376" s="158">
        <v>1374.0</v>
      </c>
      <c r="B1376" s="158" t="s">
        <v>8</v>
      </c>
      <c r="C1376" s="158" t="s">
        <f>"梁娜"</f>
        <v>2571</v>
      </c>
      <c r="D1376" s="158" t="s">
        <f>"15010120124"</f>
        <v>2572</v>
      </c>
      <c r="E1376" s="158" t="s">
        <v>15</v>
      </c>
      <c r="F1376" s="158"/>
      <c r="G1376" s="158" t="s">
        <v>15</v>
      </c>
    </row>
    <row r="1377" spans="1:7" ht="32.999496" customHeight="1" x14ac:dyDescent="0.15">
      <c r="A1377" s="158">
        <v>1375.0</v>
      </c>
      <c r="B1377" s="158" t="s">
        <v>8</v>
      </c>
      <c r="C1377" s="158" t="s">
        <f>"乔悦"</f>
        <v>2573</v>
      </c>
      <c r="D1377" s="158" t="s">
        <f>"15010120125"</f>
        <v>2574</v>
      </c>
      <c r="E1377" s="158" t="s">
        <v>15</v>
      </c>
      <c r="F1377" s="158"/>
      <c r="G1377" s="158" t="s">
        <v>15</v>
      </c>
    </row>
    <row r="1378" spans="1:7" ht="32.999496" customHeight="1" x14ac:dyDescent="0.15">
      <c r="A1378" s="158">
        <v>1376.0</v>
      </c>
      <c r="B1378" s="158" t="s">
        <v>8</v>
      </c>
      <c r="C1378" s="158" t="s">
        <f>"尚金鑫"</f>
        <v>2575</v>
      </c>
      <c r="D1378" s="158" t="s">
        <f>"15010120126"</f>
        <v>2576</v>
      </c>
      <c r="E1378" s="158">
        <v>56.81</v>
      </c>
      <c r="F1378" s="158"/>
      <c r="G1378" s="158">
        <v>56.81</v>
      </c>
    </row>
    <row r="1379" spans="1:7" ht="32.999496" customHeight="1" x14ac:dyDescent="0.15">
      <c r="A1379" s="158">
        <v>1377.0</v>
      </c>
      <c r="B1379" s="158" t="s">
        <v>8</v>
      </c>
      <c r="C1379" s="158" t="s">
        <f>"张昊玮"</f>
        <v>2577</v>
      </c>
      <c r="D1379" s="158" t="s">
        <f>"15010120127"</f>
        <v>2578</v>
      </c>
      <c r="E1379" s="158" t="s">
        <v>15</v>
      </c>
      <c r="F1379" s="158"/>
      <c r="G1379" s="158" t="s">
        <v>15</v>
      </c>
    </row>
    <row r="1380" spans="1:7" ht="32.999496" customHeight="1" x14ac:dyDescent="0.15">
      <c r="A1380" s="158">
        <v>1378.0</v>
      </c>
      <c r="B1380" s="158" t="s">
        <v>8</v>
      </c>
      <c r="C1380" s="158" t="s">
        <f>"孟书妤"</f>
        <v>2579</v>
      </c>
      <c r="D1380" s="158" t="s">
        <f>"15010120128"</f>
        <v>2580</v>
      </c>
      <c r="E1380" s="158">
        <v>17.85</v>
      </c>
      <c r="F1380" s="158"/>
      <c r="G1380" s="158">
        <v>17.85</v>
      </c>
    </row>
    <row r="1381" spans="1:7" ht="32.999496" customHeight="1" x14ac:dyDescent="0.15">
      <c r="A1381" s="158">
        <v>1379.0</v>
      </c>
      <c r="B1381" s="158" t="s">
        <v>8</v>
      </c>
      <c r="C1381" s="158" t="s">
        <f>"燕婷"</f>
        <v>2581</v>
      </c>
      <c r="D1381" s="158" t="s">
        <f>"15010120129"</f>
        <v>2582</v>
      </c>
      <c r="E1381" s="158">
        <v>60.45</v>
      </c>
      <c r="F1381" s="158"/>
      <c r="G1381" s="158">
        <v>60.45</v>
      </c>
    </row>
    <row r="1382" spans="1:7" ht="32.999496" customHeight="1" x14ac:dyDescent="0.15">
      <c r="A1382" s="158">
        <v>1380.0</v>
      </c>
      <c r="B1382" s="158" t="s">
        <v>8</v>
      </c>
      <c r="C1382" s="158" t="s">
        <f>"张娜"</f>
        <v>32</v>
      </c>
      <c r="D1382" s="158" t="s">
        <f>"15010120130"</f>
        <v>2583</v>
      </c>
      <c r="E1382" s="158" t="s">
        <v>15</v>
      </c>
      <c r="F1382" s="158"/>
      <c r="G1382" s="158" t="s">
        <v>15</v>
      </c>
    </row>
    <row r="1383" spans="1:7" ht="32.999496" customHeight="1" x14ac:dyDescent="0.15">
      <c r="A1383" s="158">
        <v>1381.0</v>
      </c>
      <c r="B1383" s="158" t="s">
        <v>8</v>
      </c>
      <c r="C1383" s="158" t="s">
        <f>"乔艳"</f>
        <v>2584</v>
      </c>
      <c r="D1383" s="158" t="s">
        <f>"15010120201"</f>
        <v>2585</v>
      </c>
      <c r="E1383" s="158">
        <v>53.9</v>
      </c>
      <c r="F1383" s="158"/>
      <c r="G1383" s="158">
        <v>53.9</v>
      </c>
    </row>
    <row r="1384" spans="1:7" ht="32.999496" customHeight="1" x14ac:dyDescent="0.15">
      <c r="A1384" s="158">
        <v>1382.0</v>
      </c>
      <c r="B1384" s="158" t="s">
        <v>8</v>
      </c>
      <c r="C1384" s="158" t="s">
        <f>"李昊东"</f>
        <v>2586</v>
      </c>
      <c r="D1384" s="158" t="s">
        <f>"15010120202"</f>
        <v>2587</v>
      </c>
      <c r="E1384" s="158">
        <v>62.15</v>
      </c>
      <c r="F1384" s="158"/>
      <c r="G1384" s="158">
        <v>62.15</v>
      </c>
    </row>
    <row r="1385" spans="1:7" ht="32.999496" customHeight="1" x14ac:dyDescent="0.15">
      <c r="A1385" s="158">
        <v>1383.0</v>
      </c>
      <c r="B1385" s="158" t="s">
        <v>8</v>
      </c>
      <c r="C1385" s="158" t="s">
        <f>"杨嘉鑫"</f>
        <v>2588</v>
      </c>
      <c r="D1385" s="158" t="s">
        <f>"15010120203"</f>
        <v>2589</v>
      </c>
      <c r="E1385" s="158">
        <v>51.39</v>
      </c>
      <c r="F1385" s="158">
        <v>2.5</v>
      </c>
      <c r="G1385" s="158">
        <v>53.89</v>
      </c>
    </row>
    <row r="1386" spans="1:7" ht="32.999496" customHeight="1" x14ac:dyDescent="0.15">
      <c r="A1386" s="158">
        <v>1384.0</v>
      </c>
      <c r="B1386" s="158" t="s">
        <v>8</v>
      </c>
      <c r="C1386" s="158" t="s">
        <f>"刘慧"</f>
        <v>430</v>
      </c>
      <c r="D1386" s="158" t="s">
        <f>"15010120204"</f>
        <v>2590</v>
      </c>
      <c r="E1386" s="158">
        <v>61.88</v>
      </c>
      <c r="F1386" s="158"/>
      <c r="G1386" s="158">
        <v>61.88</v>
      </c>
    </row>
    <row r="1387" spans="1:7" ht="32.999496" customHeight="1" x14ac:dyDescent="0.15">
      <c r="A1387" s="158">
        <v>1385.0</v>
      </c>
      <c r="B1387" s="158" t="s">
        <v>8</v>
      </c>
      <c r="C1387" s="158" t="s">
        <f>"崔鑫"</f>
        <v>2591</v>
      </c>
      <c r="D1387" s="158" t="s">
        <f>"15010120205"</f>
        <v>2592</v>
      </c>
      <c r="E1387" s="158">
        <v>75.86</v>
      </c>
      <c r="F1387" s="158"/>
      <c r="G1387" s="158">
        <v>75.86</v>
      </c>
    </row>
    <row r="1388" spans="1:7" ht="32.999496" customHeight="1" x14ac:dyDescent="0.15">
      <c r="A1388" s="158">
        <v>1386.0</v>
      </c>
      <c r="B1388" s="158" t="s">
        <v>8</v>
      </c>
      <c r="C1388" s="158" t="s">
        <f>"李书瑶"</f>
        <v>2593</v>
      </c>
      <c r="D1388" s="158" t="s">
        <f>"15010120206"</f>
        <v>2594</v>
      </c>
      <c r="E1388" s="158">
        <v>62.88</v>
      </c>
      <c r="F1388" s="158"/>
      <c r="G1388" s="158">
        <v>62.88</v>
      </c>
    </row>
    <row r="1389" spans="1:7" ht="32.999496" customHeight="1" x14ac:dyDescent="0.15">
      <c r="A1389" s="158">
        <v>1387.0</v>
      </c>
      <c r="B1389" s="158" t="s">
        <v>8</v>
      </c>
      <c r="C1389" s="158" t="s">
        <f>"高伊博"</f>
        <v>2595</v>
      </c>
      <c r="D1389" s="158" t="s">
        <f>"15010120207"</f>
        <v>2596</v>
      </c>
      <c r="E1389" s="158">
        <v>55.39</v>
      </c>
      <c r="F1389" s="158"/>
      <c r="G1389" s="158">
        <v>55.39</v>
      </c>
    </row>
    <row r="1390" spans="1:7" ht="32.999496" customHeight="1" x14ac:dyDescent="0.15">
      <c r="A1390" s="158">
        <v>1388.0</v>
      </c>
      <c r="B1390" s="158" t="s">
        <v>8</v>
      </c>
      <c r="C1390" s="158" t="s">
        <f>"刘继龙"</f>
        <v>2597</v>
      </c>
      <c r="D1390" s="158" t="s">
        <f>"15010120208"</f>
        <v>2598</v>
      </c>
      <c r="E1390" s="158">
        <v>44.65</v>
      </c>
      <c r="F1390" s="158"/>
      <c r="G1390" s="158">
        <v>44.65</v>
      </c>
    </row>
    <row r="1391" spans="1:7" ht="32.999496" customHeight="1" x14ac:dyDescent="0.15">
      <c r="A1391" s="158">
        <v>1389.0</v>
      </c>
      <c r="B1391" s="158" t="s">
        <v>8</v>
      </c>
      <c r="C1391" s="158" t="s">
        <f>"王宏"</f>
        <v>2599</v>
      </c>
      <c r="D1391" s="158" t="s">
        <f>"15010120209"</f>
        <v>2600</v>
      </c>
      <c r="E1391" s="158">
        <v>56.7</v>
      </c>
      <c r="F1391" s="158"/>
      <c r="G1391" s="158">
        <v>56.7</v>
      </c>
    </row>
    <row r="1392" spans="1:7" ht="32.999496" customHeight="1" x14ac:dyDescent="0.15">
      <c r="A1392" s="158">
        <v>1390.0</v>
      </c>
      <c r="B1392" s="158" t="s">
        <v>8</v>
      </c>
      <c r="C1392" s="158" t="s">
        <f>"刘平"</f>
        <v>2601</v>
      </c>
      <c r="D1392" s="158" t="s">
        <f>"15010120210"</f>
        <v>2602</v>
      </c>
      <c r="E1392" s="158">
        <v>48.54</v>
      </c>
      <c r="F1392" s="158"/>
      <c r="G1392" s="158">
        <v>48.54</v>
      </c>
    </row>
    <row r="1393" spans="1:7" ht="32.999496" customHeight="1" x14ac:dyDescent="0.15">
      <c r="A1393" s="158">
        <v>1391.0</v>
      </c>
      <c r="B1393" s="158" t="s">
        <v>8</v>
      </c>
      <c r="C1393" s="158" t="s">
        <f>"韩慧"</f>
        <v>2603</v>
      </c>
      <c r="D1393" s="158" t="s">
        <f>"15010120211"</f>
        <v>2604</v>
      </c>
      <c r="E1393" s="158" t="s">
        <v>15</v>
      </c>
      <c r="F1393" s="158"/>
      <c r="G1393" s="158" t="s">
        <v>15</v>
      </c>
    </row>
    <row r="1394" spans="1:7" ht="32.999496" customHeight="1" x14ac:dyDescent="0.15">
      <c r="A1394" s="158">
        <v>1392.0</v>
      </c>
      <c r="B1394" s="158" t="s">
        <v>8</v>
      </c>
      <c r="C1394" s="158" t="s">
        <f>"郝瑞"</f>
        <v>2605</v>
      </c>
      <c r="D1394" s="158" t="s">
        <f>"15010120212"</f>
        <v>2606</v>
      </c>
      <c r="E1394" s="158">
        <v>49.91</v>
      </c>
      <c r="F1394" s="158">
        <v>2.5</v>
      </c>
      <c r="G1394" s="158">
        <v>52.41</v>
      </c>
    </row>
    <row r="1395" spans="1:7" ht="32.999496" customHeight="1" x14ac:dyDescent="0.15">
      <c r="A1395" s="158">
        <v>1393.0</v>
      </c>
      <c r="B1395" s="158" t="s">
        <v>8</v>
      </c>
      <c r="C1395" s="158" t="s">
        <f>"赵曙月"</f>
        <v>2607</v>
      </c>
      <c r="D1395" s="158" t="s">
        <f>"15010120213"</f>
        <v>2608</v>
      </c>
      <c r="E1395" s="158">
        <v>45.989999999999995</v>
      </c>
      <c r="F1395" s="158"/>
      <c r="G1395" s="158">
        <v>45.989999999999995</v>
      </c>
    </row>
    <row r="1396" spans="1:7" ht="32.999496" customHeight="1" x14ac:dyDescent="0.15">
      <c r="A1396" s="158">
        <v>1394.0</v>
      </c>
      <c r="B1396" s="158" t="s">
        <v>8</v>
      </c>
      <c r="C1396" s="158" t="s">
        <f>"薛晨菲"</f>
        <v>2609</v>
      </c>
      <c r="D1396" s="158" t="s">
        <f>"15010120214"</f>
        <v>2610</v>
      </c>
      <c r="E1396" s="158" t="s">
        <v>15</v>
      </c>
      <c r="F1396" s="158"/>
      <c r="G1396" s="158" t="s">
        <v>15</v>
      </c>
    </row>
    <row r="1397" spans="1:7" ht="32.999496" customHeight="1" x14ac:dyDescent="0.15">
      <c r="A1397" s="158">
        <v>1395.0</v>
      </c>
      <c r="B1397" s="158" t="s">
        <v>8</v>
      </c>
      <c r="C1397" s="158" t="s">
        <f>"乔慧"</f>
        <v>2611</v>
      </c>
      <c r="D1397" s="158" t="s">
        <f>"15010120215"</f>
        <v>2612</v>
      </c>
      <c r="E1397" s="158" t="s">
        <v>15</v>
      </c>
      <c r="F1397" s="158"/>
      <c r="G1397" s="158" t="s">
        <v>15</v>
      </c>
    </row>
    <row r="1398" spans="1:7" ht="32.999496" customHeight="1" x14ac:dyDescent="0.15">
      <c r="A1398" s="158">
        <v>1396.0</v>
      </c>
      <c r="B1398" s="158" t="s">
        <v>8</v>
      </c>
      <c r="C1398" s="158" t="s">
        <f>"高燕"</f>
        <v>1594</v>
      </c>
      <c r="D1398" s="158" t="s">
        <f>"15010120216"</f>
        <v>2613</v>
      </c>
      <c r="E1398" s="158">
        <v>59.78</v>
      </c>
      <c r="F1398" s="158"/>
      <c r="G1398" s="158">
        <v>59.78</v>
      </c>
    </row>
    <row r="1399" spans="1:7" ht="32.999496" customHeight="1" x14ac:dyDescent="0.15">
      <c r="A1399" s="158">
        <v>1397.0</v>
      </c>
      <c r="B1399" s="158" t="s">
        <v>8</v>
      </c>
      <c r="C1399" s="158" t="s">
        <f>"张艳军"</f>
        <v>2614</v>
      </c>
      <c r="D1399" s="158" t="s">
        <f>"15010120217"</f>
        <v>2615</v>
      </c>
      <c r="E1399" s="158">
        <v>57.230000000000004</v>
      </c>
      <c r="F1399" s="158"/>
      <c r="G1399" s="158">
        <v>57.230000000000004</v>
      </c>
    </row>
    <row r="1400" spans="1:7" ht="32.999496" customHeight="1" x14ac:dyDescent="0.15">
      <c r="A1400" s="158">
        <v>1398.0</v>
      </c>
      <c r="B1400" s="158" t="s">
        <v>8</v>
      </c>
      <c r="C1400" s="158" t="s">
        <f>"常月宁"</f>
        <v>2616</v>
      </c>
      <c r="D1400" s="158" t="s">
        <f>"15010120218"</f>
        <v>2617</v>
      </c>
      <c r="E1400" s="158">
        <v>66.59</v>
      </c>
      <c r="F1400" s="158"/>
      <c r="G1400" s="158">
        <v>66.59</v>
      </c>
    </row>
    <row r="1401" spans="1:7" ht="32.999496" customHeight="1" x14ac:dyDescent="0.15">
      <c r="A1401" s="158">
        <v>1399.0</v>
      </c>
      <c r="B1401" s="158" t="s">
        <v>8</v>
      </c>
      <c r="C1401" s="158" t="s">
        <f>"尚楚易"</f>
        <v>2618</v>
      </c>
      <c r="D1401" s="158" t="s">
        <f>"15010120219"</f>
        <v>2619</v>
      </c>
      <c r="E1401" s="158">
        <v>64.87</v>
      </c>
      <c r="F1401" s="158"/>
      <c r="G1401" s="158">
        <v>64.87</v>
      </c>
    </row>
    <row r="1402" spans="1:7" ht="32.999496" customHeight="1" x14ac:dyDescent="0.15">
      <c r="A1402" s="158">
        <v>1400.0</v>
      </c>
      <c r="B1402" s="158" t="s">
        <v>8</v>
      </c>
      <c r="C1402" s="158" t="s">
        <f>"张丽"</f>
        <v>2288</v>
      </c>
      <c r="D1402" s="158" t="s">
        <f>"15010120220"</f>
        <v>2620</v>
      </c>
      <c r="E1402" s="158">
        <v>59.01</v>
      </c>
      <c r="F1402" s="158"/>
      <c r="G1402" s="158">
        <v>59.01</v>
      </c>
    </row>
    <row r="1403" spans="1:7" ht="32.999496" customHeight="1" x14ac:dyDescent="0.15">
      <c r="A1403" s="158">
        <v>1401.0</v>
      </c>
      <c r="B1403" s="158" t="s">
        <v>8</v>
      </c>
      <c r="C1403" s="158" t="s">
        <f>"白奕璇"</f>
        <v>2621</v>
      </c>
      <c r="D1403" s="158" t="s">
        <f>"15010120221"</f>
        <v>2622</v>
      </c>
      <c r="E1403" s="158" t="s">
        <v>15</v>
      </c>
      <c r="F1403" s="158">
        <v>2.5</v>
      </c>
      <c r="G1403" s="158" t="s">
        <v>15</v>
      </c>
    </row>
    <row r="1404" spans="1:7" ht="32.999496" customHeight="1" x14ac:dyDescent="0.15">
      <c r="A1404" s="158">
        <v>1402.0</v>
      </c>
      <c r="B1404" s="158" t="s">
        <v>8</v>
      </c>
      <c r="C1404" s="158" t="s">
        <f>"宋雅洁"</f>
        <v>2623</v>
      </c>
      <c r="D1404" s="158" t="s">
        <f>"15010120222"</f>
        <v>2624</v>
      </c>
      <c r="E1404" s="158">
        <v>52.11</v>
      </c>
      <c r="F1404" s="158"/>
      <c r="G1404" s="158">
        <v>52.11</v>
      </c>
    </row>
    <row r="1405" spans="1:7" ht="32.999496" customHeight="1" x14ac:dyDescent="0.15">
      <c r="A1405" s="158">
        <v>1403.0</v>
      </c>
      <c r="B1405" s="158" t="s">
        <v>8</v>
      </c>
      <c r="C1405" s="158" t="s">
        <f>"白晓燕"</f>
        <v>2625</v>
      </c>
      <c r="D1405" s="158" t="s">
        <f>"15010120223"</f>
        <v>2626</v>
      </c>
      <c r="E1405" s="158">
        <v>60.46</v>
      </c>
      <c r="F1405" s="158"/>
      <c r="G1405" s="158">
        <v>60.46</v>
      </c>
    </row>
    <row r="1406" spans="1:7" ht="32.999496" customHeight="1" x14ac:dyDescent="0.15">
      <c r="A1406" s="158">
        <v>1404.0</v>
      </c>
      <c r="B1406" s="158" t="s">
        <v>8</v>
      </c>
      <c r="C1406" s="158" t="s">
        <f>"李瑞"</f>
        <v>2317</v>
      </c>
      <c r="D1406" s="158" t="s">
        <f>"15010120224"</f>
        <v>2627</v>
      </c>
      <c r="E1406" s="158">
        <v>51.769999999999996</v>
      </c>
      <c r="F1406" s="158"/>
      <c r="G1406" s="158">
        <v>51.769999999999996</v>
      </c>
    </row>
    <row r="1407" spans="1:7" ht="32.999496" customHeight="1" x14ac:dyDescent="0.15">
      <c r="A1407" s="158">
        <v>1405.0</v>
      </c>
      <c r="B1407" s="158" t="s">
        <v>8</v>
      </c>
      <c r="C1407" s="158" t="s">
        <f>"折璐"</f>
        <v>2628</v>
      </c>
      <c r="D1407" s="158" t="s">
        <f>"15010120225"</f>
        <v>2629</v>
      </c>
      <c r="E1407" s="158">
        <v>54.510000000000005</v>
      </c>
      <c r="F1407" s="158"/>
      <c r="G1407" s="158">
        <v>54.510000000000005</v>
      </c>
    </row>
    <row r="1408" spans="1:7" ht="32.999496" customHeight="1" x14ac:dyDescent="0.15">
      <c r="A1408" s="158">
        <v>1406.0</v>
      </c>
      <c r="B1408" s="158" t="s">
        <v>8</v>
      </c>
      <c r="C1408" s="158" t="s">
        <f>"郭伟"</f>
        <v>2630</v>
      </c>
      <c r="D1408" s="158" t="s">
        <f>"15010120226"</f>
        <v>2631</v>
      </c>
      <c r="E1408" s="158">
        <v>56.46</v>
      </c>
      <c r="F1408" s="158"/>
      <c r="G1408" s="158">
        <v>56.46</v>
      </c>
    </row>
    <row r="1409" spans="1:7" ht="32.999496" customHeight="1" x14ac:dyDescent="0.15">
      <c r="A1409" s="158">
        <v>1407.0</v>
      </c>
      <c r="B1409" s="158" t="s">
        <v>8</v>
      </c>
      <c r="C1409" s="158" t="s">
        <f>"郝娇"</f>
        <v>2632</v>
      </c>
      <c r="D1409" s="158" t="s">
        <f>"15010120227"</f>
        <v>2633</v>
      </c>
      <c r="E1409" s="158">
        <v>56.01</v>
      </c>
      <c r="F1409" s="158"/>
      <c r="G1409" s="158">
        <v>56.01</v>
      </c>
    </row>
    <row r="1410" spans="1:7" ht="32.999496" customHeight="1" x14ac:dyDescent="0.15">
      <c r="A1410" s="158">
        <v>1408.0</v>
      </c>
      <c r="B1410" s="158" t="s">
        <v>8</v>
      </c>
      <c r="C1410" s="158" t="s">
        <f>"张伟"</f>
        <v>882</v>
      </c>
      <c r="D1410" s="158" t="s">
        <f>"15010120228"</f>
        <v>2634</v>
      </c>
      <c r="E1410" s="158">
        <v>47.79</v>
      </c>
      <c r="F1410" s="158"/>
      <c r="G1410" s="158">
        <v>47.79</v>
      </c>
    </row>
    <row r="1411" spans="1:7" ht="32.999496" customHeight="1" x14ac:dyDescent="0.15">
      <c r="A1411" s="158">
        <v>1409.0</v>
      </c>
      <c r="B1411" s="158" t="s">
        <v>8</v>
      </c>
      <c r="C1411" s="158" t="s">
        <f>"刘子祺"</f>
        <v>2635</v>
      </c>
      <c r="D1411" s="158" t="s">
        <f>"15010120229"</f>
        <v>2636</v>
      </c>
      <c r="E1411" s="158" t="s">
        <v>15</v>
      </c>
      <c r="F1411" s="158"/>
      <c r="G1411" s="158" t="s">
        <v>15</v>
      </c>
    </row>
    <row r="1412" spans="1:7" ht="32.999496" customHeight="1" x14ac:dyDescent="0.15">
      <c r="A1412" s="158">
        <v>1410.0</v>
      </c>
      <c r="B1412" s="158" t="s">
        <v>8</v>
      </c>
      <c r="C1412" s="158" t="s">
        <f>"李杰"</f>
        <v>2637</v>
      </c>
      <c r="D1412" s="158" t="s">
        <f>"15010120230"</f>
        <v>2638</v>
      </c>
      <c r="E1412" s="158">
        <v>52.24</v>
      </c>
      <c r="F1412" s="158"/>
      <c r="G1412" s="158">
        <v>52.24</v>
      </c>
    </row>
    <row r="1413" spans="1:7" ht="32.999496" customHeight="1" x14ac:dyDescent="0.15">
      <c r="A1413" s="158">
        <v>1411.0</v>
      </c>
      <c r="B1413" s="158" t="s">
        <v>8</v>
      </c>
      <c r="C1413" s="158" t="s">
        <f>"贺慧"</f>
        <v>2639</v>
      </c>
      <c r="D1413" s="158" t="s">
        <f>"15010120301"</f>
        <v>2640</v>
      </c>
      <c r="E1413" s="158">
        <v>54.66</v>
      </c>
      <c r="F1413" s="158"/>
      <c r="G1413" s="158">
        <v>54.66</v>
      </c>
    </row>
    <row r="1414" spans="1:7" ht="32.999496" customHeight="1" x14ac:dyDescent="0.15">
      <c r="A1414" s="158">
        <v>1412.0</v>
      </c>
      <c r="B1414" s="158" t="s">
        <v>8</v>
      </c>
      <c r="C1414" s="158" t="s">
        <f>"武胜利"</f>
        <v>2641</v>
      </c>
      <c r="D1414" s="158" t="s">
        <f>"15010120302"</f>
        <v>2642</v>
      </c>
      <c r="E1414" s="158" t="s">
        <v>15</v>
      </c>
      <c r="F1414" s="158"/>
      <c r="G1414" s="158" t="s">
        <v>15</v>
      </c>
    </row>
    <row r="1415" spans="1:7" ht="32.999496" customHeight="1" x14ac:dyDescent="0.15">
      <c r="A1415" s="158">
        <v>1413.0</v>
      </c>
      <c r="B1415" s="158" t="s">
        <v>8</v>
      </c>
      <c r="C1415" s="158" t="s">
        <f>"范新宇"</f>
        <v>2643</v>
      </c>
      <c r="D1415" s="158" t="s">
        <f>"15010120303"</f>
        <v>2644</v>
      </c>
      <c r="E1415" s="158">
        <v>63.44</v>
      </c>
      <c r="F1415" s="158"/>
      <c r="G1415" s="158">
        <v>63.44</v>
      </c>
    </row>
    <row r="1416" spans="1:7" ht="32.999496" customHeight="1" x14ac:dyDescent="0.15">
      <c r="A1416" s="158">
        <v>1414.0</v>
      </c>
      <c r="B1416" s="158" t="s">
        <v>8</v>
      </c>
      <c r="C1416" s="158" t="s">
        <f>"张雯璇"</f>
        <v>2645</v>
      </c>
      <c r="D1416" s="158" t="s">
        <f>"15010120304"</f>
        <v>2646</v>
      </c>
      <c r="E1416" s="158" t="s">
        <v>15</v>
      </c>
      <c r="F1416" s="158"/>
      <c r="G1416" s="158" t="s">
        <v>15</v>
      </c>
    </row>
    <row r="1417" spans="1:7" ht="32.999496" customHeight="1" x14ac:dyDescent="0.15">
      <c r="A1417" s="158">
        <v>1415.0</v>
      </c>
      <c r="B1417" s="158" t="s">
        <v>8</v>
      </c>
      <c r="C1417" s="158" t="s">
        <f>"樊涛"</f>
        <v>2647</v>
      </c>
      <c r="D1417" s="158" t="s">
        <f>"15010120305"</f>
        <v>2648</v>
      </c>
      <c r="E1417" s="158">
        <v>52.25</v>
      </c>
      <c r="F1417" s="158"/>
      <c r="G1417" s="158">
        <v>52.25</v>
      </c>
    </row>
    <row r="1418" spans="1:7" ht="32.999496" customHeight="1" x14ac:dyDescent="0.15">
      <c r="A1418" s="158">
        <v>1416.0</v>
      </c>
      <c r="B1418" s="158" t="s">
        <v>8</v>
      </c>
      <c r="C1418" s="158" t="s">
        <f>"吴雅楠"</f>
        <v>2649</v>
      </c>
      <c r="D1418" s="158" t="s">
        <f>"15010120306"</f>
        <v>2650</v>
      </c>
      <c r="E1418" s="158">
        <v>51.35</v>
      </c>
      <c r="F1418" s="158"/>
      <c r="G1418" s="158">
        <v>51.35</v>
      </c>
    </row>
    <row r="1419" spans="1:7" ht="32.999496" customHeight="1" x14ac:dyDescent="0.15">
      <c r="A1419" s="158">
        <v>1417.0</v>
      </c>
      <c r="B1419" s="158" t="s">
        <v>8</v>
      </c>
      <c r="C1419" s="158" t="s">
        <f>"张占杰"</f>
        <v>2651</v>
      </c>
      <c r="D1419" s="158" t="s">
        <f>"15010120307"</f>
        <v>2652</v>
      </c>
      <c r="E1419" s="158">
        <v>62.13</v>
      </c>
      <c r="F1419" s="158"/>
      <c r="G1419" s="158">
        <v>62.13</v>
      </c>
    </row>
    <row r="1420" spans="1:7" ht="32.999496" customHeight="1" x14ac:dyDescent="0.15">
      <c r="A1420" s="158">
        <v>1418.0</v>
      </c>
      <c r="B1420" s="158" t="s">
        <v>8</v>
      </c>
      <c r="C1420" s="158" t="s">
        <f>"秦茹"</f>
        <v>2653</v>
      </c>
      <c r="D1420" s="158" t="s">
        <f>"15010120308"</f>
        <v>2654</v>
      </c>
      <c r="E1420" s="158">
        <v>58.33</v>
      </c>
      <c r="F1420" s="158"/>
      <c r="G1420" s="158">
        <v>58.33</v>
      </c>
    </row>
    <row r="1421" spans="1:7" ht="32.999496" customHeight="1" x14ac:dyDescent="0.15">
      <c r="A1421" s="158">
        <v>1419.0</v>
      </c>
      <c r="B1421" s="158" t="s">
        <v>8</v>
      </c>
      <c r="C1421" s="158" t="s">
        <f>"孟红霞"</f>
        <v>2655</v>
      </c>
      <c r="D1421" s="158" t="s">
        <f>"15010120309"</f>
        <v>2656</v>
      </c>
      <c r="E1421" s="158" t="s">
        <v>15</v>
      </c>
      <c r="F1421" s="158"/>
      <c r="G1421" s="158" t="s">
        <v>15</v>
      </c>
    </row>
    <row r="1422" spans="1:7" ht="32.999496" customHeight="1" x14ac:dyDescent="0.15">
      <c r="A1422" s="158">
        <v>1420.0</v>
      </c>
      <c r="B1422" s="158" t="s">
        <v>8</v>
      </c>
      <c r="C1422" s="158" t="s">
        <f>"王敏"</f>
        <v>2157</v>
      </c>
      <c r="D1422" s="158" t="s">
        <f>"15010120310"</f>
        <v>2657</v>
      </c>
      <c r="E1422" s="158">
        <v>46.67</v>
      </c>
      <c r="F1422" s="158"/>
      <c r="G1422" s="158">
        <v>46.67</v>
      </c>
    </row>
    <row r="1423" spans="1:7" ht="32.999496" customHeight="1" x14ac:dyDescent="0.15">
      <c r="A1423" s="158">
        <v>1421.0</v>
      </c>
      <c r="B1423" s="158" t="s">
        <v>8</v>
      </c>
      <c r="C1423" s="158" t="s">
        <f>"白腾荣"</f>
        <v>2658</v>
      </c>
      <c r="D1423" s="158" t="s">
        <f>"15010120311"</f>
        <v>2659</v>
      </c>
      <c r="E1423" s="158">
        <v>51.94</v>
      </c>
      <c r="F1423" s="158">
        <v>2.5</v>
      </c>
      <c r="G1423" s="158">
        <v>54.44</v>
      </c>
    </row>
    <row r="1424" spans="1:7" ht="32.999496" customHeight="1" x14ac:dyDescent="0.15">
      <c r="A1424" s="158">
        <v>1422.0</v>
      </c>
      <c r="B1424" s="158" t="s">
        <v>8</v>
      </c>
      <c r="C1424" s="158" t="s">
        <f>"邱娜"</f>
        <v>1846</v>
      </c>
      <c r="D1424" s="158" t="s">
        <f>"15010120312"</f>
        <v>2660</v>
      </c>
      <c r="E1424" s="158">
        <v>50.97</v>
      </c>
      <c r="F1424" s="158"/>
      <c r="G1424" s="158">
        <v>50.97</v>
      </c>
    </row>
    <row r="1425" spans="1:7" ht="32.999496" customHeight="1" x14ac:dyDescent="0.15">
      <c r="A1425" s="158">
        <v>1423.0</v>
      </c>
      <c r="B1425" s="158" t="s">
        <v>8</v>
      </c>
      <c r="C1425" s="158" t="s">
        <f>"袁莲"</f>
        <v>2661</v>
      </c>
      <c r="D1425" s="158" t="s">
        <f>"15010120313"</f>
        <v>2662</v>
      </c>
      <c r="E1425" s="158">
        <v>51.47</v>
      </c>
      <c r="F1425" s="158"/>
      <c r="G1425" s="158">
        <v>51.47</v>
      </c>
    </row>
    <row r="1426" spans="1:7" ht="32.999496" customHeight="1" x14ac:dyDescent="0.15">
      <c r="A1426" s="158">
        <v>1424.0</v>
      </c>
      <c r="B1426" s="158" t="s">
        <v>8</v>
      </c>
      <c r="C1426" s="158" t="s">
        <f>"王梦雨"</f>
        <v>2663</v>
      </c>
      <c r="D1426" s="158" t="s">
        <f>"15010120314"</f>
        <v>2664</v>
      </c>
      <c r="E1426" s="158" t="s">
        <v>15</v>
      </c>
      <c r="F1426" s="158"/>
      <c r="G1426" s="158" t="s">
        <v>15</v>
      </c>
    </row>
    <row r="1427" spans="1:7" ht="32.999496" customHeight="1" x14ac:dyDescent="0.15">
      <c r="A1427" s="158">
        <v>1425.0</v>
      </c>
      <c r="B1427" s="158" t="s">
        <v>8</v>
      </c>
      <c r="C1427" s="158" t="s">
        <f>"武志"</f>
        <v>2665</v>
      </c>
      <c r="D1427" s="158" t="s">
        <f>"15010120315"</f>
        <v>2666</v>
      </c>
      <c r="E1427" s="158">
        <v>49.879999999999995</v>
      </c>
      <c r="F1427" s="158"/>
      <c r="G1427" s="158">
        <v>49.879999999999995</v>
      </c>
    </row>
    <row r="1428" spans="1:7" ht="32.999496" customHeight="1" x14ac:dyDescent="0.15">
      <c r="A1428" s="158">
        <v>1426.0</v>
      </c>
      <c r="B1428" s="158" t="s">
        <v>8</v>
      </c>
      <c r="C1428" s="158" t="s">
        <f>"王源"</f>
        <v>2667</v>
      </c>
      <c r="D1428" s="158" t="s">
        <f>"15010120316"</f>
        <v>2668</v>
      </c>
      <c r="E1428" s="158">
        <v>49.56</v>
      </c>
      <c r="F1428" s="158">
        <v>2.5</v>
      </c>
      <c r="G1428" s="158">
        <v>52.06</v>
      </c>
    </row>
    <row r="1429" spans="1:7" ht="32.999496" customHeight="1" x14ac:dyDescent="0.15">
      <c r="A1429" s="158">
        <v>1427.0</v>
      </c>
      <c r="B1429" s="158" t="s">
        <v>8</v>
      </c>
      <c r="C1429" s="158" t="s">
        <f>"张福荣"</f>
        <v>2669</v>
      </c>
      <c r="D1429" s="158" t="s">
        <f>"15010120317"</f>
        <v>2670</v>
      </c>
      <c r="E1429" s="158" t="s">
        <v>15</v>
      </c>
      <c r="F1429" s="158"/>
      <c r="G1429" s="158" t="s">
        <v>15</v>
      </c>
    </row>
    <row r="1430" spans="1:7" ht="32.999496" customHeight="1" x14ac:dyDescent="0.15">
      <c r="A1430" s="158">
        <v>1428.0</v>
      </c>
      <c r="B1430" s="158" t="s">
        <v>8</v>
      </c>
      <c r="C1430" s="158" t="s">
        <f>"高瑞婕"</f>
        <v>2671</v>
      </c>
      <c r="D1430" s="158" t="s">
        <f>"15010120318"</f>
        <v>2672</v>
      </c>
      <c r="E1430" s="158" t="s">
        <v>15</v>
      </c>
      <c r="F1430" s="158"/>
      <c r="G1430" s="158" t="s">
        <v>15</v>
      </c>
    </row>
    <row r="1431" spans="1:7" ht="32.999496" customHeight="1" x14ac:dyDescent="0.15">
      <c r="A1431" s="158">
        <v>1429.0</v>
      </c>
      <c r="B1431" s="158" t="s">
        <v>8</v>
      </c>
      <c r="C1431" s="158" t="s">
        <f>"王以晴"</f>
        <v>2673</v>
      </c>
      <c r="D1431" s="158" t="s">
        <f>"15010120319"</f>
        <v>2674</v>
      </c>
      <c r="E1431" s="158" t="s">
        <v>15</v>
      </c>
      <c r="F1431" s="158"/>
      <c r="G1431" s="158" t="s">
        <v>15</v>
      </c>
    </row>
    <row r="1432" spans="1:7" ht="32.999496" customHeight="1" x14ac:dyDescent="0.15">
      <c r="A1432" s="158">
        <v>1430.0</v>
      </c>
      <c r="B1432" s="158" t="s">
        <v>8</v>
      </c>
      <c r="C1432" s="158" t="s">
        <f>"高芳"</f>
        <v>2675</v>
      </c>
      <c r="D1432" s="158" t="s">
        <f>"15010120320"</f>
        <v>2676</v>
      </c>
      <c r="E1432" s="158">
        <v>52.53</v>
      </c>
      <c r="F1432" s="158"/>
      <c r="G1432" s="158">
        <v>52.53</v>
      </c>
    </row>
    <row r="1433" spans="1:7" ht="32.999496" customHeight="1" x14ac:dyDescent="0.15">
      <c r="A1433" s="158">
        <v>1431.0</v>
      </c>
      <c r="B1433" s="158" t="s">
        <v>8</v>
      </c>
      <c r="C1433" s="158" t="s">
        <f>"李泽江"</f>
        <v>2677</v>
      </c>
      <c r="D1433" s="158" t="s">
        <f>"15010120321"</f>
        <v>2678</v>
      </c>
      <c r="E1433" s="158" t="s">
        <v>15</v>
      </c>
      <c r="F1433" s="158"/>
      <c r="G1433" s="158" t="s">
        <v>15</v>
      </c>
    </row>
    <row r="1434" spans="1:7" ht="32.999496" customHeight="1" x14ac:dyDescent="0.15">
      <c r="A1434" s="158">
        <v>1432.0</v>
      </c>
      <c r="B1434" s="158" t="s">
        <v>8</v>
      </c>
      <c r="C1434" s="158" t="s">
        <f>"郝瑞杰"</f>
        <v>2679</v>
      </c>
      <c r="D1434" s="158" t="s">
        <f>"15010120322"</f>
        <v>2680</v>
      </c>
      <c r="E1434" s="158" t="s">
        <v>15</v>
      </c>
      <c r="F1434" s="158"/>
      <c r="G1434" s="158" t="s">
        <v>15</v>
      </c>
    </row>
    <row r="1435" spans="1:7" ht="32.999496" customHeight="1" x14ac:dyDescent="0.15">
      <c r="A1435" s="158">
        <v>1433.0</v>
      </c>
      <c r="B1435" s="158" t="s">
        <v>8</v>
      </c>
      <c r="C1435" s="158" t="s">
        <f>"田波"</f>
        <v>2681</v>
      </c>
      <c r="D1435" s="158" t="s">
        <f>"15010120323"</f>
        <v>2682</v>
      </c>
      <c r="E1435" s="158">
        <v>61.32</v>
      </c>
      <c r="F1435" s="158"/>
      <c r="G1435" s="158">
        <v>61.32</v>
      </c>
    </row>
    <row r="1436" spans="1:7" ht="32.999496" customHeight="1" x14ac:dyDescent="0.15">
      <c r="A1436" s="158">
        <v>1434.0</v>
      </c>
      <c r="B1436" s="158" t="s">
        <v>8</v>
      </c>
      <c r="C1436" s="158" t="s">
        <f>"王伟"</f>
        <v>660</v>
      </c>
      <c r="D1436" s="158" t="s">
        <f>"15010120324"</f>
        <v>2683</v>
      </c>
      <c r="E1436" s="158" t="s">
        <v>15</v>
      </c>
      <c r="F1436" s="158"/>
      <c r="G1436" s="158" t="s">
        <v>15</v>
      </c>
    </row>
    <row r="1437" spans="1:7" ht="32.999496" customHeight="1" x14ac:dyDescent="0.15">
      <c r="A1437" s="158">
        <v>1435.0</v>
      </c>
      <c r="B1437" s="158" t="s">
        <v>8</v>
      </c>
      <c r="C1437" s="158" t="s">
        <f>"范鹭"</f>
        <v>2684</v>
      </c>
      <c r="D1437" s="158" t="s">
        <f>"15010120325"</f>
        <v>2685</v>
      </c>
      <c r="E1437" s="158">
        <v>56.53</v>
      </c>
      <c r="F1437" s="158"/>
      <c r="G1437" s="158">
        <v>56.53</v>
      </c>
    </row>
    <row r="1438" spans="1:7" ht="32.999496" customHeight="1" x14ac:dyDescent="0.15">
      <c r="A1438" s="158">
        <v>1436.0</v>
      </c>
      <c r="B1438" s="158" t="s">
        <v>8</v>
      </c>
      <c r="C1438" s="158" t="s">
        <f>"王磊"</f>
        <v>16</v>
      </c>
      <c r="D1438" s="158" t="s">
        <f>"15010120326"</f>
        <v>2686</v>
      </c>
      <c r="E1438" s="158">
        <v>61.37</v>
      </c>
      <c r="F1438" s="158"/>
      <c r="G1438" s="158">
        <v>61.37</v>
      </c>
    </row>
    <row r="1439" spans="1:7" ht="32.999496" customHeight="1" x14ac:dyDescent="0.15">
      <c r="A1439" s="158">
        <v>1437.0</v>
      </c>
      <c r="B1439" s="158" t="s">
        <v>8</v>
      </c>
      <c r="C1439" s="158" t="s">
        <f>"张谨如"</f>
        <v>2687</v>
      </c>
      <c r="D1439" s="158" t="s">
        <f>"15010120327"</f>
        <v>2688</v>
      </c>
      <c r="E1439" s="158">
        <v>49.57</v>
      </c>
      <c r="F1439" s="158"/>
      <c r="G1439" s="158">
        <v>49.57</v>
      </c>
    </row>
    <row r="1440" spans="1:7" ht="32.999496" customHeight="1" x14ac:dyDescent="0.15">
      <c r="A1440" s="158">
        <v>1438.0</v>
      </c>
      <c r="B1440" s="158" t="s">
        <v>8</v>
      </c>
      <c r="C1440" s="158" t="s">
        <f>"康智强"</f>
        <v>2689</v>
      </c>
      <c r="D1440" s="158" t="s">
        <f>"15010120328"</f>
        <v>2690</v>
      </c>
      <c r="E1440" s="158" t="s">
        <v>15</v>
      </c>
      <c r="F1440" s="158"/>
      <c r="G1440" s="158" t="s">
        <v>15</v>
      </c>
    </row>
    <row r="1441" spans="1:7" ht="32.999496" customHeight="1" x14ac:dyDescent="0.15">
      <c r="A1441" s="158">
        <v>1439.0</v>
      </c>
      <c r="B1441" s="158" t="s">
        <v>8</v>
      </c>
      <c r="C1441" s="158" t="s">
        <f>"王乐"</f>
        <v>994</v>
      </c>
      <c r="D1441" s="158" t="s">
        <f>"15010120329"</f>
        <v>2691</v>
      </c>
      <c r="E1441" s="158">
        <v>77.55</v>
      </c>
      <c r="F1441" s="158"/>
      <c r="G1441" s="158">
        <v>77.55</v>
      </c>
    </row>
    <row r="1442" spans="1:7" ht="32.999496" customHeight="1" x14ac:dyDescent="0.15">
      <c r="A1442" s="158">
        <v>1440.0</v>
      </c>
      <c r="B1442" s="158" t="s">
        <v>8</v>
      </c>
      <c r="C1442" s="158" t="s">
        <f>"高艳"</f>
        <v>1514</v>
      </c>
      <c r="D1442" s="158" t="s">
        <f>"15010120330"</f>
        <v>2692</v>
      </c>
      <c r="E1442" s="158">
        <v>55.34</v>
      </c>
      <c r="F1442" s="158"/>
      <c r="G1442" s="158">
        <v>55.34</v>
      </c>
    </row>
    <row r="1443" spans="1:7" ht="32.999496" customHeight="1" x14ac:dyDescent="0.15">
      <c r="A1443" s="158">
        <v>1441.0</v>
      </c>
      <c r="B1443" s="158" t="s">
        <v>8</v>
      </c>
      <c r="C1443" s="158" t="s">
        <f>"张海东"</f>
        <v>2693</v>
      </c>
      <c r="D1443" s="158" t="s">
        <f>"15010120401"</f>
        <v>2694</v>
      </c>
      <c r="E1443" s="158">
        <v>52.47</v>
      </c>
      <c r="F1443" s="158">
        <v>2.5</v>
      </c>
      <c r="G1443" s="158">
        <v>54.97</v>
      </c>
    </row>
    <row r="1444" spans="1:7" ht="32.999496" customHeight="1" x14ac:dyDescent="0.15">
      <c r="A1444" s="158">
        <v>1442.0</v>
      </c>
      <c r="B1444" s="158" t="s">
        <v>8</v>
      </c>
      <c r="C1444" s="158" t="s">
        <f>"高睿"</f>
        <v>20</v>
      </c>
      <c r="D1444" s="158" t="s">
        <f>"15010120402"</f>
        <v>2695</v>
      </c>
      <c r="E1444" s="158">
        <v>65.47</v>
      </c>
      <c r="F1444" s="158"/>
      <c r="G1444" s="158">
        <v>65.47</v>
      </c>
    </row>
    <row r="1445" spans="1:7" ht="32.999496" customHeight="1" x14ac:dyDescent="0.15">
      <c r="A1445" s="158">
        <v>1443.0</v>
      </c>
      <c r="B1445" s="158" t="s">
        <v>8</v>
      </c>
      <c r="C1445" s="158" t="s">
        <f>"李亚妮"</f>
        <v>2696</v>
      </c>
      <c r="D1445" s="158" t="s">
        <f>"15010120403"</f>
        <v>2697</v>
      </c>
      <c r="E1445" s="158" t="s">
        <v>15</v>
      </c>
      <c r="F1445" s="158"/>
      <c r="G1445" s="158" t="s">
        <v>15</v>
      </c>
    </row>
    <row r="1446" spans="1:7" ht="32.999496" customHeight="1" x14ac:dyDescent="0.15">
      <c r="A1446" s="158">
        <v>1444.0</v>
      </c>
      <c r="B1446" s="158" t="s">
        <v>8</v>
      </c>
      <c r="C1446" s="158" t="s">
        <f>"李杰"</f>
        <v>2637</v>
      </c>
      <c r="D1446" s="158" t="s">
        <f>"15010120404"</f>
        <v>2698</v>
      </c>
      <c r="E1446" s="158">
        <v>64.91</v>
      </c>
      <c r="F1446" s="158"/>
      <c r="G1446" s="158">
        <v>64.91</v>
      </c>
    </row>
    <row r="1447" spans="1:7" ht="32.999496" customHeight="1" x14ac:dyDescent="0.15">
      <c r="A1447" s="158">
        <v>1445.0</v>
      </c>
      <c r="B1447" s="158" t="s">
        <v>8</v>
      </c>
      <c r="C1447" s="158" t="s">
        <f>"李艳"</f>
        <v>1470</v>
      </c>
      <c r="D1447" s="158" t="s">
        <f>"15010120405"</f>
        <v>2699</v>
      </c>
      <c r="E1447" s="158">
        <v>68.74000000000001</v>
      </c>
      <c r="F1447" s="158"/>
      <c r="G1447" s="158">
        <v>68.74000000000001</v>
      </c>
    </row>
    <row r="1448" spans="1:7" ht="32.999496" customHeight="1" x14ac:dyDescent="0.15">
      <c r="A1448" s="158">
        <v>1446.0</v>
      </c>
      <c r="B1448" s="158" t="s">
        <v>8</v>
      </c>
      <c r="C1448" s="158" t="s">
        <f>"李梦思"</f>
        <v>2700</v>
      </c>
      <c r="D1448" s="158" t="s">
        <f>"15010120406"</f>
        <v>2701</v>
      </c>
      <c r="E1448" s="158" t="s">
        <v>15</v>
      </c>
      <c r="F1448" s="158"/>
      <c r="G1448" s="158" t="s">
        <v>15</v>
      </c>
    </row>
    <row r="1449" spans="1:7" ht="32.999496" customHeight="1" x14ac:dyDescent="0.15">
      <c r="A1449" s="158">
        <v>1447.0</v>
      </c>
      <c r="B1449" s="158" t="s">
        <v>8</v>
      </c>
      <c r="C1449" s="158" t="s">
        <f>"尚鑫"</f>
        <v>2702</v>
      </c>
      <c r="D1449" s="158" t="s">
        <f>"15010120407"</f>
        <v>2703</v>
      </c>
      <c r="E1449" s="158">
        <v>66.97</v>
      </c>
      <c r="F1449" s="158"/>
      <c r="G1449" s="158">
        <v>66.97</v>
      </c>
    </row>
    <row r="1450" spans="1:7" ht="32.999496" customHeight="1" x14ac:dyDescent="0.15">
      <c r="A1450" s="158">
        <v>1448.0</v>
      </c>
      <c r="B1450" s="158" t="s">
        <v>8</v>
      </c>
      <c r="C1450" s="158" t="s">
        <f>"白荣"</f>
        <v>2704</v>
      </c>
      <c r="D1450" s="158" t="s">
        <f>"15010120408"</f>
        <v>2705</v>
      </c>
      <c r="E1450" s="158">
        <v>62.78</v>
      </c>
      <c r="F1450" s="158"/>
      <c r="G1450" s="158">
        <v>62.78</v>
      </c>
    </row>
    <row r="1451" spans="1:7" ht="32.999496" customHeight="1" x14ac:dyDescent="0.15">
      <c r="A1451" s="158">
        <v>1449.0</v>
      </c>
      <c r="B1451" s="158" t="s">
        <v>8</v>
      </c>
      <c r="C1451" s="158" t="s">
        <f>"吴杰"</f>
        <v>2706</v>
      </c>
      <c r="D1451" s="158" t="s">
        <f>"15010120409"</f>
        <v>2707</v>
      </c>
      <c r="E1451" s="158" t="s">
        <v>15</v>
      </c>
      <c r="F1451" s="158">
        <v>2.5</v>
      </c>
      <c r="G1451" s="158" t="s">
        <v>15</v>
      </c>
    </row>
    <row r="1452" spans="1:7" ht="32.999496" customHeight="1" x14ac:dyDescent="0.15">
      <c r="A1452" s="158">
        <v>1450.0</v>
      </c>
      <c r="B1452" s="158" t="s">
        <v>8</v>
      </c>
      <c r="C1452" s="158" t="s">
        <f>"高乐"</f>
        <v>116</v>
      </c>
      <c r="D1452" s="158" t="s">
        <f>"15010120410"</f>
        <v>2708</v>
      </c>
      <c r="E1452" s="158">
        <v>59.79</v>
      </c>
      <c r="F1452" s="158"/>
      <c r="G1452" s="158">
        <v>59.79</v>
      </c>
    </row>
    <row r="1453" spans="1:7" ht="32.999496" customHeight="1" x14ac:dyDescent="0.15">
      <c r="A1453" s="158">
        <v>1451.0</v>
      </c>
      <c r="B1453" s="158" t="s">
        <v>8</v>
      </c>
      <c r="C1453" s="158" t="s">
        <f>"贾逗敏"</f>
        <v>2709</v>
      </c>
      <c r="D1453" s="158" t="s">
        <f>"15010120411"</f>
        <v>2710</v>
      </c>
      <c r="E1453" s="158">
        <v>48.019999999999996</v>
      </c>
      <c r="F1453" s="158"/>
      <c r="G1453" s="158">
        <v>48.019999999999996</v>
      </c>
    </row>
    <row r="1454" spans="1:7" ht="32.999496" customHeight="1" x14ac:dyDescent="0.15">
      <c r="A1454" s="158">
        <v>1452.0</v>
      </c>
      <c r="B1454" s="158" t="s">
        <v>8</v>
      </c>
      <c r="C1454" s="158" t="s">
        <f>"张晓艳"</f>
        <v>2711</v>
      </c>
      <c r="D1454" s="158" t="s">
        <f>"15010120412"</f>
        <v>2712</v>
      </c>
      <c r="E1454" s="158">
        <v>58.28</v>
      </c>
      <c r="F1454" s="158"/>
      <c r="G1454" s="158">
        <v>58.28</v>
      </c>
    </row>
    <row r="1455" spans="1:7" ht="32.999496" customHeight="1" x14ac:dyDescent="0.15">
      <c r="A1455" s="158">
        <v>1453.0</v>
      </c>
      <c r="B1455" s="158" t="s">
        <v>8</v>
      </c>
      <c r="C1455" s="158" t="s">
        <f>"鄂日乐"</f>
        <v>2713</v>
      </c>
      <c r="D1455" s="158" t="s">
        <f>"15010120413"</f>
        <v>2714</v>
      </c>
      <c r="E1455" s="158">
        <v>71.12</v>
      </c>
      <c r="F1455" s="158">
        <v>2.5</v>
      </c>
      <c r="G1455" s="158">
        <v>73.62</v>
      </c>
    </row>
    <row r="1456" spans="1:7" ht="32.999496" customHeight="1" x14ac:dyDescent="0.15">
      <c r="A1456" s="158">
        <v>1454.0</v>
      </c>
      <c r="B1456" s="158" t="s">
        <v>8</v>
      </c>
      <c r="C1456" s="158" t="s">
        <f>"徐鑫"</f>
        <v>2715</v>
      </c>
      <c r="D1456" s="158" t="s">
        <f>"15010120414"</f>
        <v>2716</v>
      </c>
      <c r="E1456" s="158">
        <v>74.5</v>
      </c>
      <c r="F1456" s="158"/>
      <c r="G1456" s="158">
        <v>74.5</v>
      </c>
    </row>
    <row r="1457" spans="1:7" ht="32.999496" customHeight="1" x14ac:dyDescent="0.15">
      <c r="A1457" s="158">
        <v>1455.0</v>
      </c>
      <c r="B1457" s="158" t="s">
        <v>8</v>
      </c>
      <c r="C1457" s="158" t="s">
        <f>"李旭东"</f>
        <v>2364</v>
      </c>
      <c r="D1457" s="158" t="s">
        <f>"15010120415"</f>
        <v>2717</v>
      </c>
      <c r="E1457" s="158">
        <v>62.08</v>
      </c>
      <c r="F1457" s="158"/>
      <c r="G1457" s="158">
        <v>62.08</v>
      </c>
    </row>
    <row r="1458" spans="1:7" ht="32.999496" customHeight="1" x14ac:dyDescent="0.15">
      <c r="A1458" s="158">
        <v>1456.0</v>
      </c>
      <c r="B1458" s="158" t="s">
        <v>8</v>
      </c>
      <c r="C1458" s="158" t="s">
        <f>"刘成伟"</f>
        <v>2718</v>
      </c>
      <c r="D1458" s="158" t="s">
        <f>"15010120416"</f>
        <v>2719</v>
      </c>
      <c r="E1458" s="158">
        <v>54.81</v>
      </c>
      <c r="F1458" s="158"/>
      <c r="G1458" s="158">
        <v>54.81</v>
      </c>
    </row>
    <row r="1459" spans="1:7" ht="32.999496" customHeight="1" x14ac:dyDescent="0.15">
      <c r="A1459" s="158">
        <v>1457.0</v>
      </c>
      <c r="B1459" s="158" t="s">
        <v>8</v>
      </c>
      <c r="C1459" s="158" t="s">
        <f>"李瑞"</f>
        <v>2317</v>
      </c>
      <c r="D1459" s="158" t="s">
        <f>"15010120417"</f>
        <v>2720</v>
      </c>
      <c r="E1459" s="158" t="s">
        <v>15</v>
      </c>
      <c r="F1459" s="158"/>
      <c r="G1459" s="158" t="s">
        <v>15</v>
      </c>
    </row>
    <row r="1460" spans="1:7" ht="32.999496" customHeight="1" x14ac:dyDescent="0.15">
      <c r="A1460" s="158">
        <v>1458.0</v>
      </c>
      <c r="B1460" s="158" t="s">
        <v>8</v>
      </c>
      <c r="C1460" s="158" t="s">
        <f>"焦磊"</f>
        <v>2721</v>
      </c>
      <c r="D1460" s="158" t="s">
        <f>"15010120418"</f>
        <v>2722</v>
      </c>
      <c r="E1460" s="158">
        <v>60.19</v>
      </c>
      <c r="F1460" s="158"/>
      <c r="G1460" s="158">
        <v>60.19</v>
      </c>
    </row>
    <row r="1461" spans="1:7" ht="32.999496" customHeight="1" x14ac:dyDescent="0.15">
      <c r="A1461" s="158">
        <v>1459.0</v>
      </c>
      <c r="B1461" s="158" t="s">
        <v>8</v>
      </c>
      <c r="C1461" s="158" t="s">
        <f>"高瑞敏"</f>
        <v>2723</v>
      </c>
      <c r="D1461" s="158" t="s">
        <f>"15010120419"</f>
        <v>2724</v>
      </c>
      <c r="E1461" s="158">
        <v>38.36</v>
      </c>
      <c r="F1461" s="158"/>
      <c r="G1461" s="158">
        <v>38.36</v>
      </c>
    </row>
    <row r="1462" spans="1:7" ht="32.999496" customHeight="1" x14ac:dyDescent="0.15">
      <c r="A1462" s="158">
        <v>1460.0</v>
      </c>
      <c r="B1462" s="158" t="s">
        <v>8</v>
      </c>
      <c r="C1462" s="158" t="s">
        <f>"李瑞娟"</f>
        <v>2725</v>
      </c>
      <c r="D1462" s="158" t="s">
        <f>"15010120420"</f>
        <v>2726</v>
      </c>
      <c r="E1462" s="158">
        <v>50.9</v>
      </c>
      <c r="F1462" s="158"/>
      <c r="G1462" s="158">
        <v>50.9</v>
      </c>
    </row>
    <row r="1463" spans="1:7" ht="32.999496" customHeight="1" x14ac:dyDescent="0.15">
      <c r="A1463" s="158">
        <v>1461.0</v>
      </c>
      <c r="B1463" s="158" t="s">
        <v>8</v>
      </c>
      <c r="C1463" s="158" t="s">
        <f>"訾宇亮"</f>
        <v>2727</v>
      </c>
      <c r="D1463" s="158" t="s">
        <f>"15010120421"</f>
        <v>2728</v>
      </c>
      <c r="E1463" s="158">
        <v>59.78</v>
      </c>
      <c r="F1463" s="158"/>
      <c r="G1463" s="158">
        <v>59.78</v>
      </c>
    </row>
    <row r="1464" spans="1:7" ht="32.999496" customHeight="1" x14ac:dyDescent="0.15">
      <c r="A1464" s="158">
        <v>1462.0</v>
      </c>
      <c r="B1464" s="158" t="s">
        <v>8</v>
      </c>
      <c r="C1464" s="158" t="s">
        <f>"李於峰"</f>
        <v>2729</v>
      </c>
      <c r="D1464" s="158" t="s">
        <f>"15010120422"</f>
        <v>2730</v>
      </c>
      <c r="E1464" s="158">
        <v>61.88</v>
      </c>
      <c r="F1464" s="158"/>
      <c r="G1464" s="158">
        <v>61.88</v>
      </c>
    </row>
    <row r="1465" spans="1:7" ht="32.999496" customHeight="1" x14ac:dyDescent="0.15">
      <c r="A1465" s="158">
        <v>1463.0</v>
      </c>
      <c r="B1465" s="158" t="s">
        <v>8</v>
      </c>
      <c r="C1465" s="158" t="s">
        <f>"程颜慧"</f>
        <v>2731</v>
      </c>
      <c r="D1465" s="158" t="s">
        <f>"15010120423"</f>
        <v>2732</v>
      </c>
      <c r="E1465" s="158">
        <v>61.78</v>
      </c>
      <c r="F1465" s="158"/>
      <c r="G1465" s="158">
        <v>61.78</v>
      </c>
    </row>
    <row r="1466" spans="1:7" ht="32.999496" customHeight="1" x14ac:dyDescent="0.15">
      <c r="A1466" s="158">
        <v>1464.0</v>
      </c>
      <c r="B1466" s="158" t="s">
        <v>8</v>
      </c>
      <c r="C1466" s="158" t="s">
        <f>"张斌"</f>
        <v>2733</v>
      </c>
      <c r="D1466" s="158" t="s">
        <f>"15010120424"</f>
        <v>2734</v>
      </c>
      <c r="E1466" s="158">
        <v>66.84</v>
      </c>
      <c r="F1466" s="158"/>
      <c r="G1466" s="158">
        <v>66.84</v>
      </c>
    </row>
    <row r="1467" spans="1:7" ht="32.999496" customHeight="1" x14ac:dyDescent="0.15">
      <c r="A1467" s="158">
        <v>1465.0</v>
      </c>
      <c r="B1467" s="158" t="s">
        <v>8</v>
      </c>
      <c r="C1467" s="158" t="s">
        <f>"徐鲜"</f>
        <v>2735</v>
      </c>
      <c r="D1467" s="158" t="s">
        <f>"15010120425"</f>
        <v>2736</v>
      </c>
      <c r="E1467" s="158" t="s">
        <v>15</v>
      </c>
      <c r="F1467" s="158"/>
      <c r="G1467" s="158" t="s">
        <v>15</v>
      </c>
    </row>
    <row r="1468" spans="1:7" ht="32.999496" customHeight="1" x14ac:dyDescent="0.15">
      <c r="A1468" s="158">
        <v>1466.0</v>
      </c>
      <c r="B1468" s="158" t="s">
        <v>8</v>
      </c>
      <c r="C1468" s="158" t="s">
        <f>"杨乐"</f>
        <v>2737</v>
      </c>
      <c r="D1468" s="158" t="s">
        <f>"15010120426"</f>
        <v>2738</v>
      </c>
      <c r="E1468" s="158" t="s">
        <v>15</v>
      </c>
      <c r="F1468" s="158"/>
      <c r="G1468" s="158" t="s">
        <v>15</v>
      </c>
    </row>
    <row r="1469" spans="1:7" ht="32.999496" customHeight="1" x14ac:dyDescent="0.15">
      <c r="A1469" s="158">
        <v>1467.0</v>
      </c>
      <c r="B1469" s="158" t="s">
        <v>8</v>
      </c>
      <c r="C1469" s="158" t="s">
        <f>"崔梦婷"</f>
        <v>2739</v>
      </c>
      <c r="D1469" s="158" t="s">
        <f>"15010120427"</f>
        <v>2740</v>
      </c>
      <c r="E1469" s="158" t="s">
        <v>15</v>
      </c>
      <c r="F1469" s="158"/>
      <c r="G1469" s="158" t="s">
        <v>15</v>
      </c>
    </row>
    <row r="1470" spans="1:7" ht="32.999496" customHeight="1" x14ac:dyDescent="0.15">
      <c r="A1470" s="158">
        <v>1468.0</v>
      </c>
      <c r="B1470" s="158" t="s">
        <v>8</v>
      </c>
      <c r="C1470" s="158" t="s">
        <f>"杨丽霞"</f>
        <v>2741</v>
      </c>
      <c r="D1470" s="158" t="s">
        <f>"15010120428"</f>
        <v>2742</v>
      </c>
      <c r="E1470" s="158">
        <v>49.56</v>
      </c>
      <c r="F1470" s="158"/>
      <c r="G1470" s="158">
        <v>49.56</v>
      </c>
    </row>
    <row r="1471" spans="1:7" ht="32.999496" customHeight="1" x14ac:dyDescent="0.15">
      <c r="A1471" s="158">
        <v>1469.0</v>
      </c>
      <c r="B1471" s="158" t="s">
        <v>8</v>
      </c>
      <c r="C1471" s="158" t="s">
        <f>"王凯晖"</f>
        <v>2743</v>
      </c>
      <c r="D1471" s="158" t="s">
        <f>"15010120429"</f>
        <v>2744</v>
      </c>
      <c r="E1471" s="158">
        <v>54.16</v>
      </c>
      <c r="F1471" s="158"/>
      <c r="G1471" s="158">
        <v>54.16</v>
      </c>
    </row>
    <row r="1472" spans="1:7" ht="32.999496" customHeight="1" x14ac:dyDescent="0.15">
      <c r="A1472" s="158">
        <v>1470.0</v>
      </c>
      <c r="B1472" s="158" t="s">
        <v>8</v>
      </c>
      <c r="C1472" s="158" t="s">
        <f>"王璐瑶"</f>
        <v>2745</v>
      </c>
      <c r="D1472" s="158" t="s">
        <f>"15010120430"</f>
        <v>2746</v>
      </c>
      <c r="E1472" s="158">
        <v>59.95</v>
      </c>
      <c r="F1472" s="158"/>
      <c r="G1472" s="158">
        <v>59.95</v>
      </c>
    </row>
    <row r="1473" spans="1:7" ht="32.999496" customHeight="1" x14ac:dyDescent="0.15">
      <c r="A1473" s="158">
        <v>1471.0</v>
      </c>
      <c r="B1473" s="158" t="s">
        <v>8</v>
      </c>
      <c r="C1473" s="158" t="s">
        <f>"杨月"</f>
        <v>2747</v>
      </c>
      <c r="D1473" s="158" t="s">
        <f>"15010120501"</f>
        <v>2748</v>
      </c>
      <c r="E1473" s="158">
        <v>55.76</v>
      </c>
      <c r="F1473" s="158"/>
      <c r="G1473" s="158">
        <v>55.76</v>
      </c>
    </row>
    <row r="1474" spans="1:7" ht="32.999496" customHeight="1" x14ac:dyDescent="0.15">
      <c r="A1474" s="158">
        <v>1472.0</v>
      </c>
      <c r="B1474" s="158" t="s">
        <v>8</v>
      </c>
      <c r="C1474" s="158" t="s">
        <f>"李榕"</f>
        <v>2749</v>
      </c>
      <c r="D1474" s="158" t="s">
        <f>"15010120502"</f>
        <v>2750</v>
      </c>
      <c r="E1474" s="158">
        <v>56.629999999999995</v>
      </c>
      <c r="F1474" s="158"/>
      <c r="G1474" s="158">
        <v>56.629999999999995</v>
      </c>
    </row>
    <row r="1475" spans="1:7" ht="32.999496" customHeight="1" x14ac:dyDescent="0.15">
      <c r="A1475" s="158">
        <v>1473.0</v>
      </c>
      <c r="B1475" s="158" t="s">
        <v>8</v>
      </c>
      <c r="C1475" s="158" t="s">
        <f>"刘慧"</f>
        <v>430</v>
      </c>
      <c r="D1475" s="158" t="s">
        <f>"15010120503"</f>
        <v>2751</v>
      </c>
      <c r="E1475" s="158">
        <v>57.89</v>
      </c>
      <c r="F1475" s="158"/>
      <c r="G1475" s="158">
        <v>57.89</v>
      </c>
    </row>
    <row r="1476" spans="1:7" ht="32.999496" customHeight="1" x14ac:dyDescent="0.15">
      <c r="A1476" s="158">
        <v>1474.0</v>
      </c>
      <c r="B1476" s="158" t="s">
        <v>8</v>
      </c>
      <c r="C1476" s="158" t="s">
        <f>"张璐"</f>
        <v>38</v>
      </c>
      <c r="D1476" s="158" t="s">
        <f>"15010120504"</f>
        <v>2752</v>
      </c>
      <c r="E1476" s="158" t="s">
        <v>15</v>
      </c>
      <c r="F1476" s="158"/>
      <c r="G1476" s="158" t="s">
        <v>15</v>
      </c>
    </row>
    <row r="1477" spans="1:7" ht="32.999496" customHeight="1" x14ac:dyDescent="0.15">
      <c r="A1477" s="158">
        <v>1475.0</v>
      </c>
      <c r="B1477" s="158" t="s">
        <v>8</v>
      </c>
      <c r="C1477" s="158" t="s">
        <f>"白龙"</f>
        <v>2753</v>
      </c>
      <c r="D1477" s="158" t="s">
        <f>"15010120505"</f>
        <v>2754</v>
      </c>
      <c r="E1477" s="158" t="s">
        <v>15</v>
      </c>
      <c r="F1477" s="158"/>
      <c r="G1477" s="158" t="s">
        <v>15</v>
      </c>
    </row>
    <row r="1478" spans="1:7" ht="32.999496" customHeight="1" x14ac:dyDescent="0.15">
      <c r="A1478" s="158">
        <v>1476.0</v>
      </c>
      <c r="B1478" s="158" t="s">
        <v>8</v>
      </c>
      <c r="C1478" s="158" t="s">
        <f>"高伟"</f>
        <v>1201</v>
      </c>
      <c r="D1478" s="158" t="s">
        <f>"15010120506"</f>
        <v>2755</v>
      </c>
      <c r="E1478" s="158">
        <v>54.57</v>
      </c>
      <c r="F1478" s="158"/>
      <c r="G1478" s="158">
        <v>54.57</v>
      </c>
    </row>
    <row r="1479" spans="1:7" ht="32.999496" customHeight="1" x14ac:dyDescent="0.15">
      <c r="A1479" s="158">
        <v>1477.0</v>
      </c>
      <c r="B1479" s="158" t="s">
        <v>8</v>
      </c>
      <c r="C1479" s="158" t="s">
        <f>"孙禹婷"</f>
        <v>2756</v>
      </c>
      <c r="D1479" s="158" t="s">
        <f>"15010120507"</f>
        <v>2757</v>
      </c>
      <c r="E1479" s="158" t="s">
        <v>15</v>
      </c>
      <c r="F1479" s="158"/>
      <c r="G1479" s="158" t="s">
        <v>15</v>
      </c>
    </row>
    <row r="1480" spans="1:7" ht="32.999496" customHeight="1" x14ac:dyDescent="0.15">
      <c r="A1480" s="158">
        <v>1478.0</v>
      </c>
      <c r="B1480" s="158" t="s">
        <v>8</v>
      </c>
      <c r="C1480" s="158" t="s">
        <f>"白雪苗"</f>
        <v>2758</v>
      </c>
      <c r="D1480" s="158" t="s">
        <f>"15010120508"</f>
        <v>2759</v>
      </c>
      <c r="E1480" s="158">
        <v>43.3</v>
      </c>
      <c r="F1480" s="158"/>
      <c r="G1480" s="158">
        <v>43.3</v>
      </c>
    </row>
    <row r="1481" spans="1:7" ht="32.999496" customHeight="1" x14ac:dyDescent="0.15">
      <c r="A1481" s="158">
        <v>1479.0</v>
      </c>
      <c r="B1481" s="158" t="s">
        <v>8</v>
      </c>
      <c r="C1481" s="158" t="s">
        <f>"雷震"</f>
        <v>2760</v>
      </c>
      <c r="D1481" s="158" t="s">
        <f>"15010120509"</f>
        <v>2761</v>
      </c>
      <c r="E1481" s="158">
        <v>49.7</v>
      </c>
      <c r="F1481" s="158"/>
      <c r="G1481" s="158">
        <v>49.7</v>
      </c>
    </row>
    <row r="1482" spans="1:7" ht="32.999496" customHeight="1" x14ac:dyDescent="0.15">
      <c r="A1482" s="158">
        <v>1480.0</v>
      </c>
      <c r="B1482" s="158" t="s">
        <v>8</v>
      </c>
      <c r="C1482" s="158" t="s">
        <f>"郁智超"</f>
        <v>2762</v>
      </c>
      <c r="D1482" s="158" t="s">
        <f>"15010120510"</f>
        <v>2763</v>
      </c>
      <c r="E1482" s="158" t="s">
        <v>15</v>
      </c>
      <c r="F1482" s="158"/>
      <c r="G1482" s="158" t="s">
        <v>15</v>
      </c>
    </row>
    <row r="1483" spans="1:7" ht="32.999496" customHeight="1" x14ac:dyDescent="0.15">
      <c r="A1483" s="158">
        <v>1481.0</v>
      </c>
      <c r="B1483" s="158" t="s">
        <v>8</v>
      </c>
      <c r="C1483" s="158" t="s">
        <f>"吕昕昊"</f>
        <v>2764</v>
      </c>
      <c r="D1483" s="158" t="s">
        <f>"15010120511"</f>
        <v>2765</v>
      </c>
      <c r="E1483" s="158" t="s">
        <v>15</v>
      </c>
      <c r="F1483" s="158"/>
      <c r="G1483" s="158" t="s">
        <v>15</v>
      </c>
    </row>
    <row r="1484" spans="1:7" ht="32.999496" customHeight="1" x14ac:dyDescent="0.15">
      <c r="A1484" s="158">
        <v>1482.0</v>
      </c>
      <c r="B1484" s="158" t="s">
        <v>8</v>
      </c>
      <c r="C1484" s="158" t="s">
        <f>"李媛"</f>
        <v>1596</v>
      </c>
      <c r="D1484" s="158" t="s">
        <f>"15010120512"</f>
        <v>2766</v>
      </c>
      <c r="E1484" s="158">
        <v>50.379999999999995</v>
      </c>
      <c r="F1484" s="158"/>
      <c r="G1484" s="158">
        <v>50.379999999999995</v>
      </c>
    </row>
    <row r="1485" spans="1:7" ht="32.999496" customHeight="1" x14ac:dyDescent="0.15">
      <c r="A1485" s="158">
        <v>1483.0</v>
      </c>
      <c r="B1485" s="158" t="s">
        <v>8</v>
      </c>
      <c r="C1485" s="158" t="s">
        <f>"朱容"</f>
        <v>2767</v>
      </c>
      <c r="D1485" s="158" t="s">
        <f>"15010120513"</f>
        <v>2768</v>
      </c>
      <c r="E1485" s="158" t="s">
        <v>15</v>
      </c>
      <c r="F1485" s="158"/>
      <c r="G1485" s="158" t="s">
        <v>15</v>
      </c>
    </row>
    <row r="1486" spans="1:7" ht="32.999496" customHeight="1" x14ac:dyDescent="0.15">
      <c r="A1486" s="158">
        <v>1484.0</v>
      </c>
      <c r="B1486" s="158" t="s">
        <v>8</v>
      </c>
      <c r="C1486" s="158" t="s">
        <f>"高叶荣"</f>
        <v>2769</v>
      </c>
      <c r="D1486" s="158" t="s">
        <f>"15010120514"</f>
        <v>2770</v>
      </c>
      <c r="E1486" s="158" t="s">
        <v>15</v>
      </c>
      <c r="F1486" s="158"/>
      <c r="G1486" s="158" t="s">
        <v>15</v>
      </c>
    </row>
    <row r="1487" spans="1:7" ht="32.999496" customHeight="1" x14ac:dyDescent="0.15">
      <c r="A1487" s="158">
        <v>1485.0</v>
      </c>
      <c r="B1487" s="158" t="s">
        <v>8</v>
      </c>
      <c r="C1487" s="158" t="s">
        <f>"郭燕荣"</f>
        <v>2771</v>
      </c>
      <c r="D1487" s="158" t="s">
        <f>"15010120515"</f>
        <v>2772</v>
      </c>
      <c r="E1487" s="158">
        <v>65.56</v>
      </c>
      <c r="F1487" s="158"/>
      <c r="G1487" s="158">
        <v>65.56</v>
      </c>
    </row>
    <row r="1488" spans="1:7" ht="32.999496" customHeight="1" x14ac:dyDescent="0.15">
      <c r="A1488" s="158">
        <v>1486.0</v>
      </c>
      <c r="B1488" s="158" t="s">
        <v>8</v>
      </c>
      <c r="C1488" s="158" t="s">
        <f>"张娜"</f>
        <v>32</v>
      </c>
      <c r="D1488" s="158" t="s">
        <f>"15010120516"</f>
        <v>2773</v>
      </c>
      <c r="E1488" s="158">
        <v>59.56</v>
      </c>
      <c r="F1488" s="158"/>
      <c r="G1488" s="158">
        <v>59.56</v>
      </c>
    </row>
    <row r="1489" spans="1:7" ht="32.999496" customHeight="1" x14ac:dyDescent="0.15">
      <c r="A1489" s="158">
        <v>1487.0</v>
      </c>
      <c r="B1489" s="158" t="s">
        <v>8</v>
      </c>
      <c r="C1489" s="158" t="s">
        <f>"高荣"</f>
        <v>2774</v>
      </c>
      <c r="D1489" s="158" t="s">
        <f>"15010120517"</f>
        <v>2775</v>
      </c>
      <c r="E1489" s="158">
        <v>69.69</v>
      </c>
      <c r="F1489" s="158"/>
      <c r="G1489" s="158">
        <v>69.69</v>
      </c>
    </row>
    <row r="1490" spans="1:7" ht="32.999496" customHeight="1" x14ac:dyDescent="0.15">
      <c r="A1490" s="158">
        <v>1488.0</v>
      </c>
      <c r="B1490" s="158" t="s">
        <v>8</v>
      </c>
      <c r="C1490" s="158" t="s">
        <f>"李浩"</f>
        <v>1021</v>
      </c>
      <c r="D1490" s="158" t="s">
        <f>"15010120518"</f>
        <v>2776</v>
      </c>
      <c r="E1490" s="158">
        <v>34.989999999999995</v>
      </c>
      <c r="F1490" s="158"/>
      <c r="G1490" s="158">
        <v>34.989999999999995</v>
      </c>
    </row>
    <row r="1491" spans="1:7" ht="32.999496" customHeight="1" x14ac:dyDescent="0.15">
      <c r="A1491" s="158">
        <v>1489.0</v>
      </c>
      <c r="B1491" s="158" t="s">
        <v>8</v>
      </c>
      <c r="C1491" s="158" t="s">
        <f>"李荣"</f>
        <v>2466</v>
      </c>
      <c r="D1491" s="158" t="s">
        <f>"15010120519"</f>
        <v>2777</v>
      </c>
      <c r="E1491" s="158">
        <v>50.010000000000005</v>
      </c>
      <c r="F1491" s="158"/>
      <c r="G1491" s="158">
        <v>50.010000000000005</v>
      </c>
    </row>
    <row r="1492" spans="1:7" ht="32.999496" customHeight="1" x14ac:dyDescent="0.15">
      <c r="A1492" s="158">
        <v>1490.0</v>
      </c>
      <c r="B1492" s="158" t="s">
        <v>8</v>
      </c>
      <c r="C1492" s="158" t="s">
        <f>"折艳霞"</f>
        <v>2778</v>
      </c>
      <c r="D1492" s="158" t="s">
        <f>"15010120520"</f>
        <v>2779</v>
      </c>
      <c r="E1492" s="158" t="s">
        <v>15</v>
      </c>
      <c r="F1492" s="158"/>
      <c r="G1492" s="158" t="s">
        <v>15</v>
      </c>
    </row>
    <row r="1493" spans="1:7" ht="32.999496" customHeight="1" x14ac:dyDescent="0.15">
      <c r="A1493" s="158">
        <v>1491.0</v>
      </c>
      <c r="B1493" s="158" t="s">
        <v>8</v>
      </c>
      <c r="C1493" s="158" t="s">
        <f>"王瑞平"</f>
        <v>2780</v>
      </c>
      <c r="D1493" s="158" t="s">
        <f>"15010120521"</f>
        <v>2781</v>
      </c>
      <c r="E1493" s="158">
        <v>51.620000000000005</v>
      </c>
      <c r="F1493" s="158"/>
      <c r="G1493" s="158">
        <v>51.620000000000005</v>
      </c>
    </row>
    <row r="1494" spans="1:7" ht="32.999496" customHeight="1" x14ac:dyDescent="0.15">
      <c r="A1494" s="158">
        <v>1492.0</v>
      </c>
      <c r="B1494" s="158" t="s">
        <v>8</v>
      </c>
      <c r="C1494" s="158" t="s">
        <f>"边玲"</f>
        <v>2782</v>
      </c>
      <c r="D1494" s="158" t="s">
        <f>"15010120522"</f>
        <v>2783</v>
      </c>
      <c r="E1494" s="158">
        <v>58.99</v>
      </c>
      <c r="F1494" s="158"/>
      <c r="G1494" s="158">
        <v>58.99</v>
      </c>
    </row>
    <row r="1495" spans="1:7" ht="32.999496" customHeight="1" x14ac:dyDescent="0.15">
      <c r="A1495" s="158">
        <v>1493.0</v>
      </c>
      <c r="B1495" s="158" t="s">
        <v>8</v>
      </c>
      <c r="C1495" s="158" t="s">
        <f>"越敏"</f>
        <v>2784</v>
      </c>
      <c r="D1495" s="158" t="s">
        <f>"15010120523"</f>
        <v>2785</v>
      </c>
      <c r="E1495" s="158" t="s">
        <v>15</v>
      </c>
      <c r="F1495" s="158"/>
      <c r="G1495" s="158" t="s">
        <v>15</v>
      </c>
    </row>
    <row r="1496" spans="1:7" ht="32.999496" customHeight="1" x14ac:dyDescent="0.15">
      <c r="A1496" s="158">
        <v>1494.0</v>
      </c>
      <c r="B1496" s="158" t="s">
        <v>8</v>
      </c>
      <c r="C1496" s="158" t="s">
        <f>"白震"</f>
        <v>2786</v>
      </c>
      <c r="D1496" s="158" t="s">
        <f>"15010120524"</f>
        <v>2787</v>
      </c>
      <c r="E1496" s="158">
        <v>60.55</v>
      </c>
      <c r="F1496" s="158"/>
      <c r="G1496" s="158">
        <v>60.55</v>
      </c>
    </row>
    <row r="1497" spans="1:7" ht="32.999496" customHeight="1" x14ac:dyDescent="0.15">
      <c r="A1497" s="158">
        <v>1495.0</v>
      </c>
      <c r="B1497" s="158" t="s">
        <v>8</v>
      </c>
      <c r="C1497" s="158" t="s">
        <f>"乔涛"</f>
        <v>2788</v>
      </c>
      <c r="D1497" s="158" t="s">
        <f>"15010120525"</f>
        <v>2789</v>
      </c>
      <c r="E1497" s="158">
        <v>52.11</v>
      </c>
      <c r="F1497" s="158"/>
      <c r="G1497" s="158">
        <v>52.11</v>
      </c>
    </row>
    <row r="1498" spans="1:7" ht="32.999496" customHeight="1" x14ac:dyDescent="0.15">
      <c r="A1498" s="158">
        <v>1496.0</v>
      </c>
      <c r="B1498" s="158" t="s">
        <v>8</v>
      </c>
      <c r="C1498" s="158" t="s">
        <f>"王浩鼎"</f>
        <v>2790</v>
      </c>
      <c r="D1498" s="158" t="s">
        <f>"15010120526"</f>
        <v>2791</v>
      </c>
      <c r="E1498" s="158">
        <v>56.75</v>
      </c>
      <c r="F1498" s="158"/>
      <c r="G1498" s="158">
        <v>56.75</v>
      </c>
    </row>
    <row r="1499" spans="1:7" ht="32.999496" customHeight="1" x14ac:dyDescent="0.15">
      <c r="A1499" s="158">
        <v>1497.0</v>
      </c>
      <c r="B1499" s="158" t="s">
        <v>8</v>
      </c>
      <c r="C1499" s="158" t="s">
        <f>"王新月"</f>
        <v>2792</v>
      </c>
      <c r="D1499" s="158" t="s">
        <f>"15010120527"</f>
        <v>2793</v>
      </c>
      <c r="E1499" s="158">
        <v>58.22</v>
      </c>
      <c r="F1499" s="158"/>
      <c r="G1499" s="158">
        <v>58.22</v>
      </c>
    </row>
    <row r="1500" spans="1:7" ht="32.999496" customHeight="1" x14ac:dyDescent="0.15">
      <c r="A1500" s="158">
        <v>1498.0</v>
      </c>
      <c r="B1500" s="158" t="s">
        <v>8</v>
      </c>
      <c r="C1500" s="158" t="s">
        <f>"李娜"</f>
        <v>609</v>
      </c>
      <c r="D1500" s="158" t="s">
        <f>"15010120528"</f>
        <v>2794</v>
      </c>
      <c r="E1500" s="158">
        <v>50.28</v>
      </c>
      <c r="F1500" s="158"/>
      <c r="G1500" s="158">
        <v>50.28</v>
      </c>
    </row>
    <row r="1501" spans="1:7" ht="32.999496" customHeight="1" x14ac:dyDescent="0.15">
      <c r="A1501" s="158">
        <v>1499.0</v>
      </c>
      <c r="B1501" s="158" t="s">
        <v>8</v>
      </c>
      <c r="C1501" s="158" t="s">
        <f>"杨善文"</f>
        <v>2795</v>
      </c>
      <c r="D1501" s="158" t="s">
        <f>"15010120529"</f>
        <v>2796</v>
      </c>
      <c r="E1501" s="158">
        <v>56.68</v>
      </c>
      <c r="F1501" s="158">
        <v>2.5</v>
      </c>
      <c r="G1501" s="158">
        <v>59.18</v>
      </c>
    </row>
    <row r="1502" spans="1:7" ht="32.999496" customHeight="1" x14ac:dyDescent="0.15">
      <c r="A1502" s="158">
        <v>1500.0</v>
      </c>
      <c r="B1502" s="158" t="s">
        <v>8</v>
      </c>
      <c r="C1502" s="158" t="s">
        <f>"王璐"</f>
        <v>358</v>
      </c>
      <c r="D1502" s="158" t="s">
        <f>"15010120530"</f>
        <v>2797</v>
      </c>
      <c r="E1502" s="158">
        <v>59.89</v>
      </c>
      <c r="F1502" s="158"/>
      <c r="G1502" s="158">
        <v>59.89</v>
      </c>
    </row>
    <row r="1503" spans="1:7" ht="32.999496" customHeight="1" x14ac:dyDescent="0.15">
      <c r="A1503" s="158">
        <v>1501.0</v>
      </c>
      <c r="B1503" s="158" t="s">
        <v>8</v>
      </c>
      <c r="C1503" s="158" t="s">
        <f>"郭敏"</f>
        <v>658</v>
      </c>
      <c r="D1503" s="158" t="s">
        <f>"15010120601"</f>
        <v>2798</v>
      </c>
      <c r="E1503" s="158">
        <v>50.82</v>
      </c>
      <c r="F1503" s="158"/>
      <c r="G1503" s="158">
        <v>50.82</v>
      </c>
    </row>
    <row r="1504" spans="1:7" ht="32.999496" customHeight="1" x14ac:dyDescent="0.15">
      <c r="A1504" s="158">
        <v>1502.0</v>
      </c>
      <c r="B1504" s="158" t="s">
        <v>8</v>
      </c>
      <c r="C1504" s="158" t="s">
        <f>"王静"</f>
        <v>1796</v>
      </c>
      <c r="D1504" s="158" t="s">
        <f>"15010120602"</f>
        <v>2799</v>
      </c>
      <c r="E1504" s="158">
        <v>60.96</v>
      </c>
      <c r="F1504" s="158"/>
      <c r="G1504" s="158">
        <v>60.96</v>
      </c>
    </row>
    <row r="1505" spans="1:7" ht="32.999496" customHeight="1" x14ac:dyDescent="0.15">
      <c r="A1505" s="158">
        <v>1503.0</v>
      </c>
      <c r="B1505" s="158" t="s">
        <v>8</v>
      </c>
      <c r="C1505" s="158" t="s">
        <f>"张在霞"</f>
        <v>2800</v>
      </c>
      <c r="D1505" s="158" t="s">
        <f>"15010120603"</f>
        <v>2801</v>
      </c>
      <c r="E1505" s="158" t="s">
        <v>15</v>
      </c>
      <c r="F1505" s="158"/>
      <c r="G1505" s="158" t="s">
        <v>15</v>
      </c>
    </row>
    <row r="1506" spans="1:7" ht="32.999496" customHeight="1" x14ac:dyDescent="0.15">
      <c r="A1506" s="158">
        <v>1504.0</v>
      </c>
      <c r="B1506" s="158" t="s">
        <v>8</v>
      </c>
      <c r="C1506" s="158" t="s">
        <f>"张密"</f>
        <v>2802</v>
      </c>
      <c r="D1506" s="158" t="s">
        <f>"15010120604"</f>
        <v>2803</v>
      </c>
      <c r="E1506" s="158">
        <v>54.78</v>
      </c>
      <c r="F1506" s="158"/>
      <c r="G1506" s="158">
        <v>54.78</v>
      </c>
    </row>
    <row r="1507" spans="1:7" ht="32.999496" customHeight="1" x14ac:dyDescent="0.15">
      <c r="A1507" s="158">
        <v>1505.0</v>
      </c>
      <c r="B1507" s="158" t="s">
        <v>8</v>
      </c>
      <c r="C1507" s="158" t="s">
        <f>"陈轩昊"</f>
        <v>2804</v>
      </c>
      <c r="D1507" s="158" t="s">
        <f>"15010120605"</f>
        <v>2805</v>
      </c>
      <c r="E1507" s="158">
        <v>53.03</v>
      </c>
      <c r="F1507" s="158"/>
      <c r="G1507" s="158">
        <v>53.03</v>
      </c>
    </row>
    <row r="1508" spans="1:7" ht="32.999496" customHeight="1" x14ac:dyDescent="0.15">
      <c r="A1508" s="158">
        <v>1506.0</v>
      </c>
      <c r="B1508" s="158" t="s">
        <v>8</v>
      </c>
      <c r="C1508" s="158" t="s">
        <f>"高旭"</f>
        <v>2806</v>
      </c>
      <c r="D1508" s="158" t="s">
        <f>"15010120606"</f>
        <v>2807</v>
      </c>
      <c r="E1508" s="158" t="s">
        <v>15</v>
      </c>
      <c r="F1508" s="158"/>
      <c r="G1508" s="158" t="s">
        <v>15</v>
      </c>
    </row>
    <row r="1509" spans="1:7" ht="32.999496" customHeight="1" x14ac:dyDescent="0.15">
      <c r="A1509" s="158">
        <v>1507.0</v>
      </c>
      <c r="B1509" s="158" t="s">
        <v>8</v>
      </c>
      <c r="C1509" s="158" t="s">
        <f>"苏瑶"</f>
        <v>2808</v>
      </c>
      <c r="D1509" s="158" t="s">
        <f>"15010120607"</f>
        <v>2809</v>
      </c>
      <c r="E1509" s="158">
        <v>62.59</v>
      </c>
      <c r="F1509" s="158"/>
      <c r="G1509" s="158">
        <v>62.59</v>
      </c>
    </row>
    <row r="1510" spans="1:7" ht="32.999496" customHeight="1" x14ac:dyDescent="0.15">
      <c r="A1510" s="158">
        <v>1508.0</v>
      </c>
      <c r="B1510" s="158" t="s">
        <v>8</v>
      </c>
      <c r="C1510" s="158" t="s">
        <f>"刘羽"</f>
        <v>2810</v>
      </c>
      <c r="D1510" s="158" t="s">
        <f>"15010120608"</f>
        <v>2811</v>
      </c>
      <c r="E1510" s="158">
        <v>54.45</v>
      </c>
      <c r="F1510" s="158"/>
      <c r="G1510" s="158">
        <v>54.45</v>
      </c>
    </row>
    <row r="1511" spans="1:7" ht="32.999496" customHeight="1" x14ac:dyDescent="0.15">
      <c r="A1511" s="158">
        <v>1509.0</v>
      </c>
      <c r="B1511" s="158" t="s">
        <v>8</v>
      </c>
      <c r="C1511" s="158" t="s">
        <f>"赵倩"</f>
        <v>2812</v>
      </c>
      <c r="D1511" s="158" t="s">
        <f>"15010120609"</f>
        <v>2813</v>
      </c>
      <c r="E1511" s="158">
        <v>46</v>
      </c>
      <c r="F1511" s="158"/>
      <c r="G1511" s="158">
        <v>46</v>
      </c>
    </row>
    <row r="1512" spans="1:7" ht="32.999496" customHeight="1" x14ac:dyDescent="0.15">
      <c r="A1512" s="158">
        <v>1510.0</v>
      </c>
      <c r="B1512" s="158" t="s">
        <v>8</v>
      </c>
      <c r="C1512" s="158" t="s">
        <f>"闫静迪"</f>
        <v>2814</v>
      </c>
      <c r="D1512" s="158" t="s">
        <f>"15010120610"</f>
        <v>2815</v>
      </c>
      <c r="E1512" s="158">
        <v>52.269999999999996</v>
      </c>
      <c r="F1512" s="158"/>
      <c r="G1512" s="158">
        <v>52.269999999999996</v>
      </c>
    </row>
    <row r="1513" spans="1:7" ht="32.999496" customHeight="1" x14ac:dyDescent="0.15">
      <c r="A1513" s="158">
        <v>1511.0</v>
      </c>
      <c r="B1513" s="158" t="s">
        <v>8</v>
      </c>
      <c r="C1513" s="158" t="s">
        <f>"杨彩霞"</f>
        <v>2816</v>
      </c>
      <c r="D1513" s="158" t="s">
        <f>"15010120611"</f>
        <v>2817</v>
      </c>
      <c r="E1513" s="158">
        <v>47.85</v>
      </c>
      <c r="F1513" s="158"/>
      <c r="G1513" s="158">
        <v>47.85</v>
      </c>
    </row>
    <row r="1514" spans="1:7" ht="32.999496" customHeight="1" x14ac:dyDescent="0.15">
      <c r="A1514" s="158">
        <v>1512.0</v>
      </c>
      <c r="B1514" s="158" t="s">
        <v>8</v>
      </c>
      <c r="C1514" s="158" t="s">
        <f>"刘元"</f>
        <v>2818</v>
      </c>
      <c r="D1514" s="158" t="s">
        <f>"15010120612"</f>
        <v>2819</v>
      </c>
      <c r="E1514" s="158" t="s">
        <v>15</v>
      </c>
      <c r="F1514" s="158"/>
      <c r="G1514" s="158" t="s">
        <v>15</v>
      </c>
    </row>
    <row r="1515" spans="1:7" ht="32.999496" customHeight="1" x14ac:dyDescent="0.15">
      <c r="A1515" s="158">
        <v>1513.0</v>
      </c>
      <c r="B1515" s="158" t="s">
        <v>8</v>
      </c>
      <c r="C1515" s="158" t="s">
        <f>"张慧"</f>
        <v>634</v>
      </c>
      <c r="D1515" s="158" t="s">
        <f>"15010120613"</f>
        <v>2820</v>
      </c>
      <c r="E1515" s="158">
        <v>42.879999999999995</v>
      </c>
      <c r="F1515" s="158"/>
      <c r="G1515" s="158">
        <v>42.879999999999995</v>
      </c>
    </row>
    <row r="1516" spans="1:7" ht="32.999496" customHeight="1" x14ac:dyDescent="0.15">
      <c r="A1516" s="158">
        <v>1514.0</v>
      </c>
      <c r="B1516" s="158" t="s">
        <v>8</v>
      </c>
      <c r="C1516" s="158" t="s">
        <f>"刘鑫"</f>
        <v>576</v>
      </c>
      <c r="D1516" s="158" t="s">
        <f>"15010120614"</f>
        <v>2821</v>
      </c>
      <c r="E1516" s="158">
        <v>48.93</v>
      </c>
      <c r="F1516" s="158"/>
      <c r="G1516" s="158">
        <v>48.93</v>
      </c>
    </row>
    <row r="1517" spans="1:7" ht="32.999496" customHeight="1" x14ac:dyDescent="0.15">
      <c r="A1517" s="158">
        <v>1515.0</v>
      </c>
      <c r="B1517" s="158" t="s">
        <v>8</v>
      </c>
      <c r="C1517" s="158" t="s">
        <f>"李兴丰"</f>
        <v>2822</v>
      </c>
      <c r="D1517" s="158" t="s">
        <f>"15010120615"</f>
        <v>2823</v>
      </c>
      <c r="E1517" s="158" t="s">
        <v>15</v>
      </c>
      <c r="F1517" s="158"/>
      <c r="G1517" s="158" t="s">
        <v>15</v>
      </c>
    </row>
    <row r="1518" spans="1:7" ht="32.999496" customHeight="1" x14ac:dyDescent="0.15">
      <c r="A1518" s="158">
        <v>1516.0</v>
      </c>
      <c r="B1518" s="158" t="s">
        <v>8</v>
      </c>
      <c r="C1518" s="158" t="s">
        <f>"张慧"</f>
        <v>634</v>
      </c>
      <c r="D1518" s="158" t="s">
        <f>"15010120616"</f>
        <v>2824</v>
      </c>
      <c r="E1518" s="158">
        <v>70.17</v>
      </c>
      <c r="F1518" s="158"/>
      <c r="G1518" s="158">
        <v>70.17</v>
      </c>
    </row>
    <row r="1519" spans="1:7" ht="32.999496" customHeight="1" x14ac:dyDescent="0.15">
      <c r="A1519" s="158">
        <v>1517.0</v>
      </c>
      <c r="B1519" s="158" t="s">
        <v>8</v>
      </c>
      <c r="C1519" s="158" t="s">
        <f>"郭龙"</f>
        <v>2825</v>
      </c>
      <c r="D1519" s="158" t="s">
        <f>"15010120617"</f>
        <v>2826</v>
      </c>
      <c r="E1519" s="158">
        <v>59.49</v>
      </c>
      <c r="F1519" s="158"/>
      <c r="G1519" s="158">
        <v>59.49</v>
      </c>
    </row>
    <row r="1520" spans="1:7" ht="32.999496" customHeight="1" x14ac:dyDescent="0.15">
      <c r="A1520" s="158">
        <v>1518.0</v>
      </c>
      <c r="B1520" s="158" t="s">
        <v>8</v>
      </c>
      <c r="C1520" s="158" t="s">
        <f>"王慧"</f>
        <v>180</v>
      </c>
      <c r="D1520" s="158" t="s">
        <f>"15010120618"</f>
        <v>2827</v>
      </c>
      <c r="E1520" s="158" t="s">
        <v>15</v>
      </c>
      <c r="F1520" s="158"/>
      <c r="G1520" s="158" t="s">
        <v>15</v>
      </c>
    </row>
    <row r="1521" spans="1:7" ht="32.999496" customHeight="1" x14ac:dyDescent="0.15">
      <c r="A1521" s="158">
        <v>1519.0</v>
      </c>
      <c r="B1521" s="158" t="s">
        <v>8</v>
      </c>
      <c r="C1521" s="158" t="s">
        <f>"贾倩"</f>
        <v>2828</v>
      </c>
      <c r="D1521" s="158" t="s">
        <f>"15010120619"</f>
        <v>2829</v>
      </c>
      <c r="E1521" s="158">
        <v>54.120000000000005</v>
      </c>
      <c r="F1521" s="158"/>
      <c r="G1521" s="158">
        <v>54.120000000000005</v>
      </c>
    </row>
    <row r="1522" spans="1:7" ht="32.999496" customHeight="1" x14ac:dyDescent="0.15">
      <c r="A1522" s="158">
        <v>1520.0</v>
      </c>
      <c r="B1522" s="158" t="s">
        <v>8</v>
      </c>
      <c r="C1522" s="158" t="s">
        <f>"郭建廷"</f>
        <v>2830</v>
      </c>
      <c r="D1522" s="158" t="s">
        <f>"15010120620"</f>
        <v>2831</v>
      </c>
      <c r="E1522" s="158">
        <v>60.86</v>
      </c>
      <c r="F1522" s="158"/>
      <c r="G1522" s="158">
        <v>60.86</v>
      </c>
    </row>
    <row r="1523" spans="1:7" ht="32.999496" customHeight="1" x14ac:dyDescent="0.15">
      <c r="A1523" s="158">
        <v>1521.0</v>
      </c>
      <c r="B1523" s="158" t="s">
        <v>8</v>
      </c>
      <c r="C1523" s="158" t="s">
        <f>"越仙录"</f>
        <v>2832</v>
      </c>
      <c r="D1523" s="158" t="s">
        <f>"15010120621"</f>
        <v>2833</v>
      </c>
      <c r="E1523" s="158" t="s">
        <v>15</v>
      </c>
      <c r="F1523" s="158"/>
      <c r="G1523" s="158" t="s">
        <v>15</v>
      </c>
    </row>
    <row r="1524" spans="1:7" ht="32.999496" customHeight="1" x14ac:dyDescent="0.15">
      <c r="A1524" s="158">
        <v>1522.0</v>
      </c>
      <c r="B1524" s="158" t="s">
        <v>8</v>
      </c>
      <c r="C1524" s="158" t="s">
        <f>"陶星"</f>
        <v>2834</v>
      </c>
      <c r="D1524" s="158" t="s">
        <f>"15010120622"</f>
        <v>2835</v>
      </c>
      <c r="E1524" s="158">
        <v>49.64</v>
      </c>
      <c r="F1524" s="158"/>
      <c r="G1524" s="158">
        <v>49.64</v>
      </c>
    </row>
    <row r="1525" spans="1:7" ht="32.999496" customHeight="1" x14ac:dyDescent="0.15">
      <c r="A1525" s="158">
        <v>1523.0</v>
      </c>
      <c r="B1525" s="158" t="s">
        <v>8</v>
      </c>
      <c r="C1525" s="158" t="s">
        <f>"王凯飚"</f>
        <v>2836</v>
      </c>
      <c r="D1525" s="158" t="s">
        <f>"15010120623"</f>
        <v>2837</v>
      </c>
      <c r="E1525" s="158" t="s">
        <v>15</v>
      </c>
      <c r="F1525" s="158"/>
      <c r="G1525" s="158" t="s">
        <v>15</v>
      </c>
    </row>
    <row r="1526" spans="1:7" ht="32.999496" customHeight="1" x14ac:dyDescent="0.15">
      <c r="A1526" s="158">
        <v>1524.0</v>
      </c>
      <c r="B1526" s="158" t="s">
        <v>8</v>
      </c>
      <c r="C1526" s="158" t="s">
        <f>"边龙"</f>
        <v>2838</v>
      </c>
      <c r="D1526" s="158" t="s">
        <f>"15010120624"</f>
        <v>2839</v>
      </c>
      <c r="E1526" s="158" t="s">
        <v>15</v>
      </c>
      <c r="F1526" s="158"/>
      <c r="G1526" s="158" t="s">
        <v>15</v>
      </c>
    </row>
    <row r="1527" spans="1:7" ht="32.999496" customHeight="1" x14ac:dyDescent="0.15">
      <c r="A1527" s="158">
        <v>1525.0</v>
      </c>
      <c r="B1527" s="158" t="s">
        <v>8</v>
      </c>
      <c r="C1527" s="158" t="s">
        <f>"刘彩月"</f>
        <v>2840</v>
      </c>
      <c r="D1527" s="158" t="s">
        <f>"15010120625"</f>
        <v>2841</v>
      </c>
      <c r="E1527" s="158" t="s">
        <v>15</v>
      </c>
      <c r="F1527" s="158"/>
      <c r="G1527" s="158" t="s">
        <v>15</v>
      </c>
    </row>
    <row r="1528" spans="1:7" ht="32.999496" customHeight="1" x14ac:dyDescent="0.15">
      <c r="A1528" s="158">
        <v>1526.0</v>
      </c>
      <c r="B1528" s="158" t="s">
        <v>8</v>
      </c>
      <c r="C1528" s="158" t="s">
        <f>"李娜"</f>
        <v>609</v>
      </c>
      <c r="D1528" s="158" t="s">
        <f>"15010120626"</f>
        <v>2842</v>
      </c>
      <c r="E1528" s="158">
        <v>45.019999999999996</v>
      </c>
      <c r="F1528" s="158"/>
      <c r="G1528" s="158">
        <v>45.019999999999996</v>
      </c>
    </row>
    <row r="1529" spans="1:7" ht="32.999496" customHeight="1" x14ac:dyDescent="0.15">
      <c r="A1529" s="158">
        <v>1527.0</v>
      </c>
      <c r="B1529" s="158" t="s">
        <v>8</v>
      </c>
      <c r="C1529" s="158" t="s">
        <f>"张利雄"</f>
        <v>2843</v>
      </c>
      <c r="D1529" s="158" t="s">
        <f>"15010120627"</f>
        <v>2844</v>
      </c>
      <c r="E1529" s="158">
        <v>47.120000000000005</v>
      </c>
      <c r="F1529" s="158"/>
      <c r="G1529" s="158">
        <v>47.120000000000005</v>
      </c>
    </row>
    <row r="1530" spans="1:7" ht="32.999496" customHeight="1" x14ac:dyDescent="0.15">
      <c r="A1530" s="158">
        <v>1528.0</v>
      </c>
      <c r="B1530" s="158" t="s">
        <v>8</v>
      </c>
      <c r="C1530" s="158" t="s">
        <f>"王伊娜"</f>
        <v>2845</v>
      </c>
      <c r="D1530" s="158" t="s">
        <f>"15010120628"</f>
        <v>2846</v>
      </c>
      <c r="E1530" s="158">
        <v>61.92</v>
      </c>
      <c r="F1530" s="158"/>
      <c r="G1530" s="158">
        <v>61.92</v>
      </c>
    </row>
    <row r="1531" spans="1:7" ht="32.999496" customHeight="1" x14ac:dyDescent="0.15">
      <c r="A1531" s="158">
        <v>1529.0</v>
      </c>
      <c r="B1531" s="158" t="s">
        <v>8</v>
      </c>
      <c r="C1531" s="158" t="s">
        <f>"王东"</f>
        <v>2847</v>
      </c>
      <c r="D1531" s="158" t="s">
        <f>"15010120629"</f>
        <v>2848</v>
      </c>
      <c r="E1531" s="158">
        <v>67.35</v>
      </c>
      <c r="F1531" s="158"/>
      <c r="G1531" s="158">
        <v>67.35</v>
      </c>
    </row>
    <row r="1532" spans="1:7" ht="32.999496" customHeight="1" x14ac:dyDescent="0.15">
      <c r="A1532" s="158">
        <v>1530.0</v>
      </c>
      <c r="B1532" s="158" t="s">
        <v>8</v>
      </c>
      <c r="C1532" s="158" t="s">
        <f>"宋玉叶"</f>
        <v>2849</v>
      </c>
      <c r="D1532" s="158" t="s">
        <f>"15010120630"</f>
        <v>2850</v>
      </c>
      <c r="E1532" s="158" t="s">
        <v>15</v>
      </c>
      <c r="F1532" s="158"/>
      <c r="G1532" s="158" t="s">
        <v>15</v>
      </c>
    </row>
    <row r="1533" spans="1:7" ht="32.999496" customHeight="1" x14ac:dyDescent="0.15">
      <c r="A1533" s="158">
        <v>1531.0</v>
      </c>
      <c r="B1533" s="158" t="s">
        <v>8</v>
      </c>
      <c r="C1533" s="158" t="s">
        <f>"倪瑄"</f>
        <v>2851</v>
      </c>
      <c r="D1533" s="158" t="s">
        <f>"15010120701"</f>
        <v>2852</v>
      </c>
      <c r="E1533" s="158">
        <v>56.92</v>
      </c>
      <c r="F1533" s="158"/>
      <c r="G1533" s="158">
        <v>56.92</v>
      </c>
    </row>
    <row r="1534" spans="1:7" ht="32.999496" customHeight="1" x14ac:dyDescent="0.15">
      <c r="A1534" s="158">
        <v>1532.0</v>
      </c>
      <c r="B1534" s="158" t="s">
        <v>8</v>
      </c>
      <c r="C1534" s="158" t="s">
        <f>"王丹"</f>
        <v>892</v>
      </c>
      <c r="D1534" s="158" t="s">
        <f>"15010120702"</f>
        <v>2853</v>
      </c>
      <c r="E1534" s="158">
        <v>67.27000000000001</v>
      </c>
      <c r="F1534" s="158"/>
      <c r="G1534" s="158">
        <v>67.27000000000001</v>
      </c>
    </row>
    <row r="1535" spans="1:7" ht="32.999496" customHeight="1" x14ac:dyDescent="0.15">
      <c r="A1535" s="158">
        <v>1533.0</v>
      </c>
      <c r="B1535" s="158" t="s">
        <v>8</v>
      </c>
      <c r="C1535" s="158" t="s">
        <f>"赵敏"</f>
        <v>2854</v>
      </c>
      <c r="D1535" s="158" t="s">
        <f>"15010120703"</f>
        <v>2855</v>
      </c>
      <c r="E1535" s="158">
        <v>57.260000000000005</v>
      </c>
      <c r="F1535" s="158"/>
      <c r="G1535" s="158">
        <v>57.260000000000005</v>
      </c>
    </row>
    <row r="1536" spans="1:7" ht="32.999496" customHeight="1" x14ac:dyDescent="0.15">
      <c r="A1536" s="158">
        <v>1534.0</v>
      </c>
      <c r="B1536" s="158" t="s">
        <v>8</v>
      </c>
      <c r="C1536" s="158" t="s">
        <f>"高智敏"</f>
        <v>2856</v>
      </c>
      <c r="D1536" s="158" t="s">
        <f>"15010120704"</f>
        <v>2857</v>
      </c>
      <c r="E1536" s="158">
        <v>59.99</v>
      </c>
      <c r="F1536" s="158"/>
      <c r="G1536" s="158">
        <v>59.99</v>
      </c>
    </row>
    <row r="1537" spans="1:7" ht="32.999496" customHeight="1" x14ac:dyDescent="0.15">
      <c r="A1537" s="158">
        <v>1535.0</v>
      </c>
      <c r="B1537" s="158" t="s">
        <v>8</v>
      </c>
      <c r="C1537" s="158" t="s">
        <f>"高智伟"</f>
        <v>2858</v>
      </c>
      <c r="D1537" s="158" t="s">
        <f>"15010120705"</f>
        <v>2859</v>
      </c>
      <c r="E1537" s="158">
        <v>62.08</v>
      </c>
      <c r="F1537" s="158"/>
      <c r="G1537" s="158">
        <v>62.08</v>
      </c>
    </row>
    <row r="1538" spans="1:7" ht="32.999496" customHeight="1" x14ac:dyDescent="0.15">
      <c r="A1538" s="158">
        <v>1536.0</v>
      </c>
      <c r="B1538" s="158" t="s">
        <v>8</v>
      </c>
      <c r="C1538" s="158" t="s">
        <f>"李睿知"</f>
        <v>2860</v>
      </c>
      <c r="D1538" s="158" t="s">
        <f>"15010120706"</f>
        <v>2861</v>
      </c>
      <c r="E1538" s="158">
        <v>64.25</v>
      </c>
      <c r="F1538" s="158"/>
      <c r="G1538" s="158">
        <v>64.25</v>
      </c>
    </row>
    <row r="1539" spans="1:7" ht="32.999496" customHeight="1" x14ac:dyDescent="0.15">
      <c r="A1539" s="158">
        <v>1537.0</v>
      </c>
      <c r="B1539" s="158" t="s">
        <v>8</v>
      </c>
      <c r="C1539" s="158" t="s">
        <f>"杨敏"</f>
        <v>846</v>
      </c>
      <c r="D1539" s="158" t="s">
        <f>"15010120707"</f>
        <v>2862</v>
      </c>
      <c r="E1539" s="158" t="s">
        <v>15</v>
      </c>
      <c r="F1539" s="158"/>
      <c r="G1539" s="158" t="s">
        <v>15</v>
      </c>
    </row>
    <row r="1540" spans="1:7" ht="32.999496" customHeight="1" x14ac:dyDescent="0.15">
      <c r="A1540" s="158">
        <v>1538.0</v>
      </c>
      <c r="B1540" s="158" t="s">
        <v>8</v>
      </c>
      <c r="C1540" s="158" t="s">
        <f>"潘文秀"</f>
        <v>2863</v>
      </c>
      <c r="D1540" s="158" t="s">
        <f>"15010120708"</f>
        <v>2864</v>
      </c>
      <c r="E1540" s="158" t="s">
        <v>15</v>
      </c>
      <c r="F1540" s="158"/>
      <c r="G1540" s="158" t="s">
        <v>15</v>
      </c>
    </row>
    <row r="1541" spans="1:7" ht="32.999496" customHeight="1" x14ac:dyDescent="0.15">
      <c r="A1541" s="158">
        <v>1539.0</v>
      </c>
      <c r="B1541" s="158" t="s">
        <v>8</v>
      </c>
      <c r="C1541" s="158" t="s">
        <f>"苏凯勃"</f>
        <v>2865</v>
      </c>
      <c r="D1541" s="158" t="s">
        <f>"15010120709"</f>
        <v>2866</v>
      </c>
      <c r="E1541" s="158" t="s">
        <v>15</v>
      </c>
      <c r="F1541" s="158"/>
      <c r="G1541" s="158" t="s">
        <v>15</v>
      </c>
    </row>
    <row r="1542" spans="1:7" ht="32.999496" customHeight="1" x14ac:dyDescent="0.15">
      <c r="A1542" s="158">
        <v>1540.0</v>
      </c>
      <c r="B1542" s="158" t="s">
        <v>8</v>
      </c>
      <c r="C1542" s="158" t="s">
        <f>"杨钰蓉"</f>
        <v>2867</v>
      </c>
      <c r="D1542" s="158" t="s">
        <f>"15010120710"</f>
        <v>2868</v>
      </c>
      <c r="E1542" s="158">
        <v>51.480000000000004</v>
      </c>
      <c r="F1542" s="158"/>
      <c r="G1542" s="158">
        <v>51.480000000000004</v>
      </c>
    </row>
    <row r="1543" spans="1:7" ht="32.999496" customHeight="1" x14ac:dyDescent="0.15">
      <c r="A1543" s="158">
        <v>1541.0</v>
      </c>
      <c r="B1543" s="158" t="s">
        <v>8</v>
      </c>
      <c r="C1543" s="158" t="s">
        <f>"马龙"</f>
        <v>2869</v>
      </c>
      <c r="D1543" s="158" t="s">
        <f>"15010120711"</f>
        <v>2870</v>
      </c>
      <c r="E1543" s="158">
        <v>53.8</v>
      </c>
      <c r="F1543" s="158"/>
      <c r="G1543" s="158">
        <v>53.8</v>
      </c>
    </row>
    <row r="1544" spans="1:7" ht="32.999496" customHeight="1" x14ac:dyDescent="0.15">
      <c r="A1544" s="158">
        <v>1542.0</v>
      </c>
      <c r="B1544" s="158" t="s">
        <v>8</v>
      </c>
      <c r="C1544" s="158" t="s">
        <f>"刘艳梅"</f>
        <v>2871</v>
      </c>
      <c r="D1544" s="158" t="s">
        <f>"15010120712"</f>
        <v>2872</v>
      </c>
      <c r="E1544" s="158">
        <v>52.7</v>
      </c>
      <c r="F1544" s="158"/>
      <c r="G1544" s="158">
        <v>52.7</v>
      </c>
    </row>
    <row r="1545" spans="1:7" ht="32.999496" customHeight="1" x14ac:dyDescent="0.15">
      <c r="A1545" s="158">
        <v>1543.0</v>
      </c>
      <c r="B1545" s="158" t="s">
        <v>8</v>
      </c>
      <c r="C1545" s="158" t="s">
        <f>"石如玉"</f>
        <v>2873</v>
      </c>
      <c r="D1545" s="158" t="s">
        <f>"15010120713"</f>
        <v>2874</v>
      </c>
      <c r="E1545" s="158">
        <v>61.98</v>
      </c>
      <c r="F1545" s="158"/>
      <c r="G1545" s="158">
        <v>61.98</v>
      </c>
    </row>
    <row r="1546" spans="1:7" ht="32.999496" customHeight="1" x14ac:dyDescent="0.15">
      <c r="A1546" s="158">
        <v>1544.0</v>
      </c>
      <c r="B1546" s="158" t="s">
        <v>8</v>
      </c>
      <c r="C1546" s="158" t="s">
        <f>"祁晔廷"</f>
        <v>2875</v>
      </c>
      <c r="D1546" s="158" t="s">
        <f>"15010120714"</f>
        <v>2876</v>
      </c>
      <c r="E1546" s="158">
        <v>58.91</v>
      </c>
      <c r="F1546" s="158"/>
      <c r="G1546" s="158">
        <v>58.91</v>
      </c>
    </row>
    <row r="1547" spans="1:7" ht="32.999496" customHeight="1" x14ac:dyDescent="0.15">
      <c r="A1547" s="158">
        <v>1545.0</v>
      </c>
      <c r="B1547" s="158" t="s">
        <v>8</v>
      </c>
      <c r="C1547" s="158" t="s">
        <f>"张娜"</f>
        <v>32</v>
      </c>
      <c r="D1547" s="158" t="s">
        <f>"15010120715"</f>
        <v>2877</v>
      </c>
      <c r="E1547" s="158" t="s">
        <v>15</v>
      </c>
      <c r="F1547" s="158"/>
      <c r="G1547" s="158" t="s">
        <v>15</v>
      </c>
    </row>
    <row r="1548" spans="1:7" ht="32.999496" customHeight="1" x14ac:dyDescent="0.15">
      <c r="A1548" s="158">
        <v>1546.0</v>
      </c>
      <c r="B1548" s="158" t="s">
        <v>8</v>
      </c>
      <c r="C1548" s="158" t="s">
        <f>"陈丽媛"</f>
        <v>2878</v>
      </c>
      <c r="D1548" s="158" t="s">
        <f>"15010120716"</f>
        <v>2879</v>
      </c>
      <c r="E1548" s="158">
        <v>67.8</v>
      </c>
      <c r="F1548" s="158"/>
      <c r="G1548" s="158">
        <v>67.8</v>
      </c>
    </row>
    <row r="1549" spans="1:7" ht="32.999496" customHeight="1" x14ac:dyDescent="0.15">
      <c r="A1549" s="158">
        <v>1547.0</v>
      </c>
      <c r="B1549" s="158" t="s">
        <v>8</v>
      </c>
      <c r="C1549" s="158" t="s">
        <f>"黄莹"</f>
        <v>2880</v>
      </c>
      <c r="D1549" s="158" t="s">
        <f>"15010120717"</f>
        <v>2881</v>
      </c>
      <c r="E1549" s="158" t="s">
        <v>15</v>
      </c>
      <c r="F1549" s="158"/>
      <c r="G1549" s="158" t="s">
        <v>15</v>
      </c>
    </row>
    <row r="1550" spans="1:7" ht="32.999496" customHeight="1" x14ac:dyDescent="0.15">
      <c r="A1550" s="158">
        <v>1548.0</v>
      </c>
      <c r="B1550" s="158" t="s">
        <v>8</v>
      </c>
      <c r="C1550" s="158" t="s">
        <f>"贺志强"</f>
        <v>2882</v>
      </c>
      <c r="D1550" s="158" t="s">
        <f>"15010120718"</f>
        <v>2883</v>
      </c>
      <c r="E1550" s="158">
        <v>50.95</v>
      </c>
      <c r="F1550" s="158"/>
      <c r="G1550" s="158">
        <v>50.95</v>
      </c>
    </row>
    <row r="1551" spans="1:7" ht="32.999496" customHeight="1" x14ac:dyDescent="0.15">
      <c r="A1551" s="158">
        <v>1549.0</v>
      </c>
      <c r="B1551" s="158" t="s">
        <v>8</v>
      </c>
      <c r="C1551" s="158" t="s">
        <f>"刘磊"</f>
        <v>2884</v>
      </c>
      <c r="D1551" s="158" t="s">
        <f>"15010120719"</f>
        <v>2885</v>
      </c>
      <c r="E1551" s="158" t="s">
        <v>15</v>
      </c>
      <c r="F1551" s="158"/>
      <c r="G1551" s="158" t="s">
        <v>15</v>
      </c>
    </row>
    <row r="1552" spans="1:7" ht="32.999496" customHeight="1" x14ac:dyDescent="0.15">
      <c r="A1552" s="158">
        <v>1550.0</v>
      </c>
      <c r="B1552" s="158" t="s">
        <v>8</v>
      </c>
      <c r="C1552" s="158" t="s">
        <f>"奥鹏"</f>
        <v>2886</v>
      </c>
      <c r="D1552" s="158" t="s">
        <f>"15010120720"</f>
        <v>2887</v>
      </c>
      <c r="E1552" s="158" t="s">
        <v>15</v>
      </c>
      <c r="F1552" s="158"/>
      <c r="G1552" s="158" t="s">
        <v>15</v>
      </c>
    </row>
    <row r="1553" spans="1:7" ht="32.999496" customHeight="1" x14ac:dyDescent="0.15">
      <c r="A1553" s="158">
        <v>1551.0</v>
      </c>
      <c r="B1553" s="158" t="s">
        <v>8</v>
      </c>
      <c r="C1553" s="158" t="s">
        <f>"王鑫"</f>
        <v>850</v>
      </c>
      <c r="D1553" s="158" t="s">
        <f>"15010120721"</f>
        <v>2888</v>
      </c>
      <c r="E1553" s="158" t="s">
        <v>15</v>
      </c>
      <c r="F1553" s="158"/>
      <c r="G1553" s="158" t="s">
        <v>15</v>
      </c>
    </row>
    <row r="1554" spans="1:7" ht="32.999496" customHeight="1" x14ac:dyDescent="0.15">
      <c r="A1554" s="158">
        <v>1552.0</v>
      </c>
      <c r="B1554" s="158" t="s">
        <v>8</v>
      </c>
      <c r="C1554" s="158" t="s">
        <f>"苏小军"</f>
        <v>2889</v>
      </c>
      <c r="D1554" s="158" t="s">
        <f>"15010120722"</f>
        <v>2890</v>
      </c>
      <c r="E1554" s="158">
        <v>58.32</v>
      </c>
      <c r="F1554" s="158"/>
      <c r="G1554" s="158">
        <v>58.32</v>
      </c>
    </row>
    <row r="1555" spans="1:7" ht="32.999496" customHeight="1" x14ac:dyDescent="0.15">
      <c r="A1555" s="158">
        <v>1553.0</v>
      </c>
      <c r="B1555" s="158" t="s">
        <v>8</v>
      </c>
      <c r="C1555" s="158" t="s">
        <f>"李慧"</f>
        <v>848</v>
      </c>
      <c r="D1555" s="158" t="s">
        <f>"15010120723"</f>
        <v>2891</v>
      </c>
      <c r="E1555" s="158" t="s">
        <v>15</v>
      </c>
      <c r="F1555" s="158"/>
      <c r="G1555" s="158" t="s">
        <v>15</v>
      </c>
    </row>
    <row r="1556" spans="1:7" ht="32.999496" customHeight="1" x14ac:dyDescent="0.15">
      <c r="A1556" s="158">
        <v>1554.0</v>
      </c>
      <c r="B1556" s="158" t="s">
        <v>8</v>
      </c>
      <c r="C1556" s="158" t="s">
        <f>"呼啸"</f>
        <v>2892</v>
      </c>
      <c r="D1556" s="158" t="s">
        <f>"15010120724"</f>
        <v>2893</v>
      </c>
      <c r="E1556" s="158" t="s">
        <v>15</v>
      </c>
      <c r="F1556" s="158"/>
      <c r="G1556" s="158" t="s">
        <v>15</v>
      </c>
    </row>
    <row r="1557" spans="1:7" ht="32.999496" customHeight="1" x14ac:dyDescent="0.15">
      <c r="A1557" s="158">
        <v>1555.0</v>
      </c>
      <c r="B1557" s="158" t="s">
        <v>8</v>
      </c>
      <c r="C1557" s="158" t="s">
        <f>"刘乐梅"</f>
        <v>2894</v>
      </c>
      <c r="D1557" s="158" t="s">
        <f>"15010120725"</f>
        <v>2895</v>
      </c>
      <c r="E1557" s="158">
        <v>64.75</v>
      </c>
      <c r="F1557" s="158"/>
      <c r="G1557" s="158">
        <v>64.75</v>
      </c>
    </row>
    <row r="1558" spans="1:7" ht="32.999496" customHeight="1" x14ac:dyDescent="0.15">
      <c r="A1558" s="158">
        <v>1556.0</v>
      </c>
      <c r="B1558" s="158" t="s">
        <v>8</v>
      </c>
      <c r="C1558" s="158" t="s">
        <f>"张慧玲"</f>
        <v>2896</v>
      </c>
      <c r="D1558" s="158" t="s">
        <f>"15010120726"</f>
        <v>2897</v>
      </c>
      <c r="E1558" s="158">
        <v>54.879999999999995</v>
      </c>
      <c r="F1558" s="158"/>
      <c r="G1558" s="158">
        <v>54.879999999999995</v>
      </c>
    </row>
    <row r="1559" spans="1:7" ht="32.999496" customHeight="1" x14ac:dyDescent="0.15">
      <c r="A1559" s="158">
        <v>1557.0</v>
      </c>
      <c r="B1559" s="158" t="s">
        <v>8</v>
      </c>
      <c r="C1559" s="158" t="s">
        <f>"李慧芳"</f>
        <v>601</v>
      </c>
      <c r="D1559" s="158" t="s">
        <f>"15010120727"</f>
        <v>2898</v>
      </c>
      <c r="E1559" s="158">
        <v>63.63</v>
      </c>
      <c r="F1559" s="158"/>
      <c r="G1559" s="158">
        <v>63.63</v>
      </c>
    </row>
    <row r="1560" spans="1:7" ht="32.999496" customHeight="1" x14ac:dyDescent="0.15">
      <c r="A1560" s="158">
        <v>1558.0</v>
      </c>
      <c r="B1560" s="158" t="s">
        <v>8</v>
      </c>
      <c r="C1560" s="158" t="s">
        <f>"朱林"</f>
        <v>2899</v>
      </c>
      <c r="D1560" s="158" t="s">
        <f>"15010120728"</f>
        <v>2900</v>
      </c>
      <c r="E1560" s="158" t="s">
        <v>15</v>
      </c>
      <c r="F1560" s="158"/>
      <c r="G1560" s="158" t="s">
        <v>15</v>
      </c>
    </row>
    <row r="1561" spans="1:7" ht="32.999496" customHeight="1" x14ac:dyDescent="0.15">
      <c r="A1561" s="158">
        <v>1559.0</v>
      </c>
      <c r="B1561" s="158" t="s">
        <v>8</v>
      </c>
      <c r="C1561" s="158" t="s">
        <f>"高艳红"</f>
        <v>2901</v>
      </c>
      <c r="D1561" s="158" t="s">
        <f>"15010120729"</f>
        <v>2902</v>
      </c>
      <c r="E1561" s="158" t="s">
        <v>15</v>
      </c>
      <c r="F1561" s="158"/>
      <c r="G1561" s="158" t="s">
        <v>15</v>
      </c>
    </row>
    <row r="1562" spans="1:7" ht="32.999496" customHeight="1" x14ac:dyDescent="0.15">
      <c r="A1562" s="158">
        <v>1560.0</v>
      </c>
      <c r="B1562" s="158" t="s">
        <v>8</v>
      </c>
      <c r="C1562" s="158" t="s">
        <f>"段惠"</f>
        <v>2903</v>
      </c>
      <c r="D1562" s="158" t="s">
        <f>"15010120730"</f>
        <v>2904</v>
      </c>
      <c r="E1562" s="158">
        <v>51.620000000000005</v>
      </c>
      <c r="F1562" s="158"/>
      <c r="G1562" s="158">
        <v>51.620000000000005</v>
      </c>
    </row>
    <row r="1563" spans="1:7" ht="32.999496" customHeight="1" x14ac:dyDescent="0.15">
      <c r="A1563" s="158">
        <v>1561.0</v>
      </c>
      <c r="B1563" s="158" t="s">
        <v>8</v>
      </c>
      <c r="C1563" s="158" t="s">
        <f>"乔惠"</f>
        <v>2905</v>
      </c>
      <c r="D1563" s="158" t="s">
        <f>"15010120801"</f>
        <v>2906</v>
      </c>
      <c r="E1563" s="158">
        <v>58.64</v>
      </c>
      <c r="F1563" s="158"/>
      <c r="G1563" s="158">
        <v>58.64</v>
      </c>
    </row>
    <row r="1564" spans="1:7" ht="32.999496" customHeight="1" x14ac:dyDescent="0.15">
      <c r="A1564" s="158">
        <v>1562.0</v>
      </c>
      <c r="B1564" s="158" t="s">
        <v>8</v>
      </c>
      <c r="C1564" s="158" t="s">
        <f>"王慧"</f>
        <v>180</v>
      </c>
      <c r="D1564" s="158" t="s">
        <f>"15010120802"</f>
        <v>2907</v>
      </c>
      <c r="E1564" s="158" t="s">
        <v>15</v>
      </c>
      <c r="F1564" s="158"/>
      <c r="G1564" s="158" t="s">
        <v>15</v>
      </c>
    </row>
    <row r="1565" spans="1:7" ht="32.999496" customHeight="1" x14ac:dyDescent="0.15">
      <c r="A1565" s="158">
        <v>1563.0</v>
      </c>
      <c r="B1565" s="158" t="s">
        <v>8</v>
      </c>
      <c r="C1565" s="158" t="s">
        <f>"孟雨欣"</f>
        <v>2908</v>
      </c>
      <c r="D1565" s="158" t="s">
        <f>"15010120803"</f>
        <v>2909</v>
      </c>
      <c r="E1565" s="158">
        <v>72.12</v>
      </c>
      <c r="F1565" s="158"/>
      <c r="G1565" s="158">
        <v>72.12</v>
      </c>
    </row>
    <row r="1566" spans="1:7" ht="32.999496" customHeight="1" x14ac:dyDescent="0.15">
      <c r="A1566" s="158">
        <v>1564.0</v>
      </c>
      <c r="B1566" s="158" t="s">
        <v>8</v>
      </c>
      <c r="C1566" s="158" t="s">
        <f>"刘晓川"</f>
        <v>2910</v>
      </c>
      <c r="D1566" s="158" t="s">
        <f>"15010120804"</f>
        <v>2911</v>
      </c>
      <c r="E1566" s="158">
        <v>54.38</v>
      </c>
      <c r="F1566" s="158"/>
      <c r="G1566" s="158">
        <v>54.38</v>
      </c>
    </row>
    <row r="1567" spans="1:7" ht="32.999496" customHeight="1" x14ac:dyDescent="0.15">
      <c r="A1567" s="158">
        <v>1565.0</v>
      </c>
      <c r="B1567" s="158" t="s">
        <v>8</v>
      </c>
      <c r="C1567" s="158" t="s">
        <f>"张艳"</f>
        <v>199</v>
      </c>
      <c r="D1567" s="158" t="s">
        <f>"15010120805"</f>
        <v>2912</v>
      </c>
      <c r="E1567" s="158" t="s">
        <v>15</v>
      </c>
      <c r="F1567" s="158"/>
      <c r="G1567" s="158" t="s">
        <v>15</v>
      </c>
    </row>
    <row r="1568" spans="1:7" ht="32.999496" customHeight="1" x14ac:dyDescent="0.15">
      <c r="A1568" s="158">
        <v>1566.0</v>
      </c>
      <c r="B1568" s="158" t="s">
        <v>8</v>
      </c>
      <c r="C1568" s="158" t="s">
        <f>"乔一丹"</f>
        <v>2913</v>
      </c>
      <c r="D1568" s="158" t="s">
        <f>"15010120806"</f>
        <v>2914</v>
      </c>
      <c r="E1568" s="158">
        <v>51.22</v>
      </c>
      <c r="F1568" s="158"/>
      <c r="G1568" s="158">
        <v>51.22</v>
      </c>
    </row>
    <row r="1569" spans="1:7" ht="32.999496" customHeight="1" x14ac:dyDescent="0.15">
      <c r="A1569" s="158">
        <v>1567.0</v>
      </c>
      <c r="B1569" s="158" t="s">
        <v>8</v>
      </c>
      <c r="C1569" s="158" t="s">
        <f>"杜益璇"</f>
        <v>2915</v>
      </c>
      <c r="D1569" s="158" t="s">
        <f>"15010120807"</f>
        <v>2916</v>
      </c>
      <c r="E1569" s="158">
        <v>42.230000000000004</v>
      </c>
      <c r="F1569" s="158"/>
      <c r="G1569" s="158">
        <v>42.230000000000004</v>
      </c>
    </row>
    <row r="1570" spans="1:7" ht="32.999496" customHeight="1" x14ac:dyDescent="0.15">
      <c r="A1570" s="158">
        <v>1568.0</v>
      </c>
      <c r="B1570" s="158" t="s">
        <v>8</v>
      </c>
      <c r="C1570" s="158" t="s">
        <f>"胡瑞"</f>
        <v>2917</v>
      </c>
      <c r="D1570" s="158" t="s">
        <f>"15010120808"</f>
        <v>2918</v>
      </c>
      <c r="E1570" s="158">
        <v>51.56</v>
      </c>
      <c r="F1570" s="158"/>
      <c r="G1570" s="158">
        <v>51.56</v>
      </c>
    </row>
    <row r="1571" spans="1:7" ht="32.999496" customHeight="1" x14ac:dyDescent="0.15">
      <c r="A1571" s="158">
        <v>1569.0</v>
      </c>
      <c r="B1571" s="158" t="s">
        <v>8</v>
      </c>
      <c r="C1571" s="158" t="s">
        <f>"王紫苑"</f>
        <v>2919</v>
      </c>
      <c r="D1571" s="158" t="s">
        <f>"15010120809"</f>
        <v>2920</v>
      </c>
      <c r="E1571" s="158">
        <v>59.46</v>
      </c>
      <c r="F1571" s="158"/>
      <c r="G1571" s="158">
        <v>59.46</v>
      </c>
    </row>
    <row r="1572" spans="1:7" ht="32.999496" customHeight="1" x14ac:dyDescent="0.15">
      <c r="A1572" s="158">
        <v>1570.0</v>
      </c>
      <c r="B1572" s="158" t="s">
        <v>8</v>
      </c>
      <c r="C1572" s="158" t="s">
        <f>"刘思秒"</f>
        <v>2921</v>
      </c>
      <c r="D1572" s="158" t="s">
        <f>"15010120810"</f>
        <v>2922</v>
      </c>
      <c r="E1572" s="158">
        <v>52.17</v>
      </c>
      <c r="F1572" s="158"/>
      <c r="G1572" s="158">
        <v>52.17</v>
      </c>
    </row>
    <row r="1573" spans="1:7" ht="32.999496" customHeight="1" x14ac:dyDescent="0.15">
      <c r="A1573" s="158">
        <v>1571.0</v>
      </c>
      <c r="B1573" s="158" t="s">
        <v>8</v>
      </c>
      <c r="C1573" s="158" t="s">
        <f>"武晓艳"</f>
        <v>2923</v>
      </c>
      <c r="D1573" s="158" t="s">
        <f>"15010120811"</f>
        <v>2924</v>
      </c>
      <c r="E1573" s="158">
        <v>47.35</v>
      </c>
      <c r="F1573" s="158"/>
      <c r="G1573" s="158">
        <v>47.35</v>
      </c>
    </row>
    <row r="1574" spans="1:7" ht="32.999496" customHeight="1" x14ac:dyDescent="0.15">
      <c r="A1574" s="158">
        <v>1572.0</v>
      </c>
      <c r="B1574" s="158" t="s">
        <v>8</v>
      </c>
      <c r="C1574" s="158" t="s">
        <f>"李燕"</f>
        <v>538</v>
      </c>
      <c r="D1574" s="158" t="s">
        <f>"15010120812"</f>
        <v>2925</v>
      </c>
      <c r="E1574" s="158">
        <v>49.510000000000005</v>
      </c>
      <c r="F1574" s="158"/>
      <c r="G1574" s="158">
        <v>49.510000000000005</v>
      </c>
    </row>
    <row r="1575" spans="1:7" ht="32.999496" customHeight="1" x14ac:dyDescent="0.15">
      <c r="A1575" s="158">
        <v>1573.0</v>
      </c>
      <c r="B1575" s="158" t="s">
        <v>8</v>
      </c>
      <c r="C1575" s="158" t="s">
        <f>"李小刚"</f>
        <v>2926</v>
      </c>
      <c r="D1575" s="158" t="s">
        <f>"15010120813"</f>
        <v>2927</v>
      </c>
      <c r="E1575" s="158">
        <v>49.3</v>
      </c>
      <c r="F1575" s="158"/>
      <c r="G1575" s="158">
        <v>49.3</v>
      </c>
    </row>
    <row r="1576" spans="1:7" ht="32.999496" customHeight="1" x14ac:dyDescent="0.15">
      <c r="A1576" s="158">
        <v>1574.0</v>
      </c>
      <c r="B1576" s="158" t="s">
        <v>8</v>
      </c>
      <c r="C1576" s="158" t="s">
        <f>"邱奇鹏"</f>
        <v>2928</v>
      </c>
      <c r="D1576" s="158" t="s">
        <f>"15010120814"</f>
        <v>2929</v>
      </c>
      <c r="E1576" s="158" t="s">
        <v>15</v>
      </c>
      <c r="F1576" s="158"/>
      <c r="G1576" s="158" t="s">
        <v>15</v>
      </c>
    </row>
    <row r="1577" spans="1:7" ht="32.999496" customHeight="1" x14ac:dyDescent="0.15">
      <c r="A1577" s="158">
        <v>1575.0</v>
      </c>
      <c r="B1577" s="158" t="s">
        <v>8</v>
      </c>
      <c r="C1577" s="158" t="s">
        <f>"李涛"</f>
        <v>2930</v>
      </c>
      <c r="D1577" s="158" t="s">
        <f>"15010120815"</f>
        <v>2931</v>
      </c>
      <c r="E1577" s="158">
        <v>60.66</v>
      </c>
      <c r="F1577" s="158"/>
      <c r="G1577" s="158">
        <v>60.66</v>
      </c>
    </row>
    <row r="1578" spans="1:7" ht="32.999496" customHeight="1" x14ac:dyDescent="0.15">
      <c r="A1578" s="158">
        <v>1576.0</v>
      </c>
      <c r="B1578" s="158" t="s">
        <v>8</v>
      </c>
      <c r="C1578" s="158" t="s">
        <f>"杨柳"</f>
        <v>290</v>
      </c>
      <c r="D1578" s="158" t="s">
        <f>"15010120816"</f>
        <v>2932</v>
      </c>
      <c r="E1578" s="158">
        <v>63.75</v>
      </c>
      <c r="F1578" s="158"/>
      <c r="G1578" s="158">
        <v>63.75</v>
      </c>
    </row>
    <row r="1579" spans="1:7" ht="32.999496" customHeight="1" x14ac:dyDescent="0.15">
      <c r="A1579" s="158">
        <v>1577.0</v>
      </c>
      <c r="B1579" s="158" t="s">
        <v>8</v>
      </c>
      <c r="C1579" s="158" t="s">
        <f>"贾伟"</f>
        <v>2933</v>
      </c>
      <c r="D1579" s="158" t="s">
        <f>"15010120817"</f>
        <v>2934</v>
      </c>
      <c r="E1579" s="158">
        <v>56.71</v>
      </c>
      <c r="F1579" s="158"/>
      <c r="G1579" s="158">
        <v>56.71</v>
      </c>
    </row>
    <row r="1580" spans="1:7" ht="32.999496" customHeight="1" x14ac:dyDescent="0.15">
      <c r="A1580" s="158">
        <v>1578.0</v>
      </c>
      <c r="B1580" s="158" t="s">
        <v>8</v>
      </c>
      <c r="C1580" s="158" t="s">
        <f>"石丹"</f>
        <v>2935</v>
      </c>
      <c r="D1580" s="158" t="s">
        <f>"15010120818"</f>
        <v>2936</v>
      </c>
      <c r="E1580" s="158" t="s">
        <v>15</v>
      </c>
      <c r="F1580" s="158"/>
      <c r="G1580" s="158" t="s">
        <v>15</v>
      </c>
    </row>
    <row r="1581" spans="1:7" ht="32.999496" customHeight="1" x14ac:dyDescent="0.15">
      <c r="A1581" s="158">
        <v>1579.0</v>
      </c>
      <c r="B1581" s="158" t="s">
        <v>8</v>
      </c>
      <c r="C1581" s="158" t="s">
        <f>"张这"</f>
        <v>2937</v>
      </c>
      <c r="D1581" s="158" t="s">
        <f>"15010120819"</f>
        <v>2938</v>
      </c>
      <c r="E1581" s="158">
        <v>44.480000000000004</v>
      </c>
      <c r="F1581" s="158">
        <v>2.5</v>
      </c>
      <c r="G1581" s="158">
        <v>46.980000000000004</v>
      </c>
    </row>
    <row r="1582" spans="1:7" ht="32.999496" customHeight="1" x14ac:dyDescent="0.15">
      <c r="A1582" s="158">
        <v>1580.0</v>
      </c>
      <c r="B1582" s="158" t="s">
        <v>8</v>
      </c>
      <c r="C1582" s="158" t="s">
        <f>"越亮"</f>
        <v>393</v>
      </c>
      <c r="D1582" s="158" t="s">
        <f>"15010120820"</f>
        <v>2939</v>
      </c>
      <c r="E1582" s="158" t="s">
        <v>15</v>
      </c>
      <c r="F1582" s="158"/>
      <c r="G1582" s="158" t="s">
        <v>15</v>
      </c>
    </row>
    <row r="1583" spans="1:7" ht="32.999496" customHeight="1" x14ac:dyDescent="0.15">
      <c r="A1583" s="158">
        <v>1581.0</v>
      </c>
      <c r="B1583" s="158" t="s">
        <v>8</v>
      </c>
      <c r="C1583" s="158" t="s">
        <f>"雷桃"</f>
        <v>2940</v>
      </c>
      <c r="D1583" s="158" t="s">
        <f>"15010120821"</f>
        <v>2941</v>
      </c>
      <c r="E1583" s="158" t="s">
        <v>15</v>
      </c>
      <c r="F1583" s="158"/>
      <c r="G1583" s="158" t="s">
        <v>15</v>
      </c>
    </row>
    <row r="1584" spans="1:7" ht="32.999496" customHeight="1" x14ac:dyDescent="0.15">
      <c r="A1584" s="158">
        <v>1582.0</v>
      </c>
      <c r="B1584" s="158" t="s">
        <v>8</v>
      </c>
      <c r="C1584" s="158" t="s">
        <f>"张雪"</f>
        <v>2942</v>
      </c>
      <c r="D1584" s="158" t="s">
        <f>"15010120822"</f>
        <v>2943</v>
      </c>
      <c r="E1584" s="158">
        <v>49.16</v>
      </c>
      <c r="F1584" s="158"/>
      <c r="G1584" s="158">
        <v>49.16</v>
      </c>
    </row>
    <row r="1585" spans="1:7" ht="32.999496" customHeight="1" x14ac:dyDescent="0.15">
      <c r="A1585" s="158">
        <v>1583.0</v>
      </c>
      <c r="B1585" s="158" t="s">
        <v>8</v>
      </c>
      <c r="C1585" s="158" t="s">
        <f>"张鑫"</f>
        <v>250</v>
      </c>
      <c r="D1585" s="158" t="s">
        <f>"15010120823"</f>
        <v>2944</v>
      </c>
      <c r="E1585" s="158">
        <v>46.66</v>
      </c>
      <c r="F1585" s="158"/>
      <c r="G1585" s="158">
        <v>46.66</v>
      </c>
    </row>
    <row r="1586" spans="1:7" ht="32.999496" customHeight="1" x14ac:dyDescent="0.15">
      <c r="A1586" s="158">
        <v>1584.0</v>
      </c>
      <c r="B1586" s="158" t="s">
        <v>8</v>
      </c>
      <c r="C1586" s="158" t="s">
        <f>"张桃"</f>
        <v>2945</v>
      </c>
      <c r="D1586" s="158" t="s">
        <f>"15010120824"</f>
        <v>2946</v>
      </c>
      <c r="E1586" s="158">
        <v>64.83</v>
      </c>
      <c r="F1586" s="158"/>
      <c r="G1586" s="158">
        <v>64.83</v>
      </c>
    </row>
    <row r="1587" spans="1:7" ht="32.999496" customHeight="1" x14ac:dyDescent="0.15">
      <c r="A1587" s="158">
        <v>1585.0</v>
      </c>
      <c r="B1587" s="158" t="s">
        <v>8</v>
      </c>
      <c r="C1587" s="158" t="s">
        <f>"郭娇"</f>
        <v>2947</v>
      </c>
      <c r="D1587" s="158" t="s">
        <f>"15010120825"</f>
        <v>2948</v>
      </c>
      <c r="E1587" s="158" t="s">
        <v>15</v>
      </c>
      <c r="F1587" s="158"/>
      <c r="G1587" s="158" t="s">
        <v>15</v>
      </c>
    </row>
    <row r="1588" spans="1:7" ht="32.999496" customHeight="1" x14ac:dyDescent="0.15">
      <c r="A1588" s="158">
        <v>1586.0</v>
      </c>
      <c r="B1588" s="158" t="s">
        <v>8</v>
      </c>
      <c r="C1588" s="158" t="s">
        <f>"杨舒文"</f>
        <v>2949</v>
      </c>
      <c r="D1588" s="158" t="s">
        <f>"15010120826"</f>
        <v>2950</v>
      </c>
      <c r="E1588" s="158">
        <v>42.8</v>
      </c>
      <c r="F1588" s="158">
        <v>2.5</v>
      </c>
      <c r="G1588" s="158">
        <v>45.3</v>
      </c>
    </row>
    <row r="1589" spans="1:7" ht="32.999496" customHeight="1" x14ac:dyDescent="0.15">
      <c r="A1589" s="158">
        <v>1587.0</v>
      </c>
      <c r="B1589" s="158" t="s">
        <v>8</v>
      </c>
      <c r="C1589" s="158" t="s">
        <f>"李姣"</f>
        <v>2951</v>
      </c>
      <c r="D1589" s="158" t="s">
        <f>"15010120827"</f>
        <v>2952</v>
      </c>
      <c r="E1589" s="158">
        <v>63.1</v>
      </c>
      <c r="F1589" s="158"/>
      <c r="G1589" s="158">
        <v>63.1</v>
      </c>
    </row>
    <row r="1590" spans="1:7" ht="32.999496" customHeight="1" x14ac:dyDescent="0.15">
      <c r="A1590" s="158">
        <v>1588.0</v>
      </c>
      <c r="B1590" s="158" t="s">
        <v>8</v>
      </c>
      <c r="C1590" s="158" t="s">
        <f>"贺丽"</f>
        <v>2953</v>
      </c>
      <c r="D1590" s="158" t="s">
        <f>"15010120828"</f>
        <v>2954</v>
      </c>
      <c r="E1590" s="158">
        <v>53.33</v>
      </c>
      <c r="F1590" s="158"/>
      <c r="G1590" s="158">
        <v>53.33</v>
      </c>
    </row>
    <row r="1591" spans="1:7" ht="32.999496" customHeight="1" x14ac:dyDescent="0.15">
      <c r="A1591" s="158">
        <v>1589.0</v>
      </c>
      <c r="B1591" s="158" t="s">
        <v>8</v>
      </c>
      <c r="C1591" s="158" t="s">
        <f>"牛林林"</f>
        <v>2955</v>
      </c>
      <c r="D1591" s="158" t="s">
        <f>"15010120829"</f>
        <v>2956</v>
      </c>
      <c r="E1591" s="158" t="s">
        <v>15</v>
      </c>
      <c r="F1591" s="158"/>
      <c r="G1591" s="158" t="s">
        <v>15</v>
      </c>
    </row>
    <row r="1592" spans="1:7" ht="32.999496" customHeight="1" x14ac:dyDescent="0.15">
      <c r="A1592" s="158">
        <v>1590.0</v>
      </c>
      <c r="B1592" s="158" t="s">
        <v>8</v>
      </c>
      <c r="C1592" s="158" t="s">
        <f>"杨慧"</f>
        <v>491</v>
      </c>
      <c r="D1592" s="158" t="s">
        <f>"15010120830"</f>
        <v>2957</v>
      </c>
      <c r="E1592" s="158">
        <v>53.64</v>
      </c>
      <c r="F1592" s="158"/>
      <c r="G1592" s="158">
        <v>53.64</v>
      </c>
    </row>
    <row r="1593" spans="1:7" ht="32.999496" customHeight="1" x14ac:dyDescent="0.15">
      <c r="A1593" s="158">
        <v>1591.0</v>
      </c>
      <c r="B1593" s="158" t="s">
        <v>8</v>
      </c>
      <c r="C1593" s="158" t="s">
        <f>"李佳妮"</f>
        <v>2958</v>
      </c>
      <c r="D1593" s="158" t="s">
        <f>"15010120901"</f>
        <v>2959</v>
      </c>
      <c r="E1593" s="158">
        <v>54.93</v>
      </c>
      <c r="F1593" s="158"/>
      <c r="G1593" s="158">
        <v>54.93</v>
      </c>
    </row>
    <row r="1594" spans="1:7" ht="32.999496" customHeight="1" x14ac:dyDescent="0.15">
      <c r="A1594" s="158">
        <v>1592.0</v>
      </c>
      <c r="B1594" s="158" t="s">
        <v>8</v>
      </c>
      <c r="C1594" s="158" t="s">
        <f>"马富强"</f>
        <v>2960</v>
      </c>
      <c r="D1594" s="158" t="s">
        <f>"15010120902"</f>
        <v>2961</v>
      </c>
      <c r="E1594" s="158">
        <v>56.04</v>
      </c>
      <c r="F1594" s="158"/>
      <c r="G1594" s="158">
        <v>56.04</v>
      </c>
    </row>
    <row r="1595" spans="1:7" ht="32.999496" customHeight="1" x14ac:dyDescent="0.15">
      <c r="A1595" s="158">
        <v>1593.0</v>
      </c>
      <c r="B1595" s="158" t="s">
        <v>8</v>
      </c>
      <c r="C1595" s="158" t="s">
        <f>"张栗溟"</f>
        <v>2962</v>
      </c>
      <c r="D1595" s="158" t="s">
        <f>"15010120903"</f>
        <v>2963</v>
      </c>
      <c r="E1595" s="158">
        <v>38.65</v>
      </c>
      <c r="F1595" s="158"/>
      <c r="G1595" s="158">
        <v>38.65</v>
      </c>
    </row>
    <row r="1596" spans="1:7" ht="32.999496" customHeight="1" x14ac:dyDescent="0.15">
      <c r="A1596" s="158">
        <v>1594.0</v>
      </c>
      <c r="B1596" s="158" t="s">
        <v>8</v>
      </c>
      <c r="C1596" s="158" t="s">
        <f>"高娜"</f>
        <v>46</v>
      </c>
      <c r="D1596" s="158" t="s">
        <f>"15010120904"</f>
        <v>2964</v>
      </c>
      <c r="E1596" s="158">
        <v>43.29</v>
      </c>
      <c r="F1596" s="158"/>
      <c r="G1596" s="158">
        <v>43.29</v>
      </c>
    </row>
    <row r="1597" spans="1:7" ht="32.999496" customHeight="1" x14ac:dyDescent="0.15">
      <c r="A1597" s="158">
        <v>1595.0</v>
      </c>
      <c r="B1597" s="158" t="s">
        <v>8</v>
      </c>
      <c r="C1597" s="158" t="s">
        <f>"邱鑫渊"</f>
        <v>2965</v>
      </c>
      <c r="D1597" s="158" t="s">
        <f>"15010120905"</f>
        <v>2966</v>
      </c>
      <c r="E1597" s="158">
        <v>52.19</v>
      </c>
      <c r="F1597" s="158"/>
      <c r="G1597" s="158">
        <v>52.19</v>
      </c>
    </row>
    <row r="1598" spans="1:7" ht="32.999496" customHeight="1" x14ac:dyDescent="0.15">
      <c r="A1598" s="158">
        <v>1596.0</v>
      </c>
      <c r="B1598" s="158" t="s">
        <v>8</v>
      </c>
      <c r="C1598" s="158" t="s">
        <f>"张俊峰"</f>
        <v>2967</v>
      </c>
      <c r="D1598" s="158" t="s">
        <f>"15010120906"</f>
        <v>2968</v>
      </c>
      <c r="E1598" s="158">
        <v>61.65</v>
      </c>
      <c r="F1598" s="158"/>
      <c r="G1598" s="158">
        <v>61.65</v>
      </c>
    </row>
    <row r="1599" spans="1:7" ht="32.999496" customHeight="1" x14ac:dyDescent="0.15">
      <c r="A1599" s="158">
        <v>1597.0</v>
      </c>
      <c r="B1599" s="158" t="s">
        <v>8</v>
      </c>
      <c r="C1599" s="158" t="s">
        <f>"白慧"</f>
        <v>927</v>
      </c>
      <c r="D1599" s="158" t="s">
        <f>"15010120907"</f>
        <v>2969</v>
      </c>
      <c r="E1599" s="158" t="s">
        <v>15</v>
      </c>
      <c r="F1599" s="158"/>
      <c r="G1599" s="158" t="s">
        <v>15</v>
      </c>
    </row>
    <row r="1600" spans="1:7" ht="32.999496" customHeight="1" x14ac:dyDescent="0.15">
      <c r="A1600" s="158">
        <v>1598.0</v>
      </c>
      <c r="B1600" s="158" t="s">
        <v>8</v>
      </c>
      <c r="C1600" s="158" t="s">
        <f>"贺茹"</f>
        <v>2970</v>
      </c>
      <c r="D1600" s="158" t="s">
        <f>"15010120908"</f>
        <v>2971</v>
      </c>
      <c r="E1600" s="158">
        <v>49.25</v>
      </c>
      <c r="F1600" s="158"/>
      <c r="G1600" s="158">
        <v>49.25</v>
      </c>
    </row>
    <row r="1601" spans="1:7" ht="32.999496" customHeight="1" x14ac:dyDescent="0.15">
      <c r="A1601" s="158">
        <v>1599.0</v>
      </c>
      <c r="B1601" s="158" t="s">
        <v>8</v>
      </c>
      <c r="C1601" s="158" t="s">
        <f>"方华"</f>
        <v>2972</v>
      </c>
      <c r="D1601" s="158" t="s">
        <f>"15010120909"</f>
        <v>2973</v>
      </c>
      <c r="E1601" s="158">
        <v>47.8</v>
      </c>
      <c r="F1601" s="158"/>
      <c r="G1601" s="158">
        <v>47.8</v>
      </c>
    </row>
    <row r="1602" spans="1:7" ht="32.999496" customHeight="1" x14ac:dyDescent="0.15">
      <c r="A1602" s="158">
        <v>1600.0</v>
      </c>
      <c r="B1602" s="158" t="s">
        <v>8</v>
      </c>
      <c r="C1602" s="158" t="s">
        <f>"苏雪艳"</f>
        <v>2974</v>
      </c>
      <c r="D1602" s="158" t="s">
        <f>"15010120910"</f>
        <v>2975</v>
      </c>
      <c r="E1602" s="158">
        <v>65.75</v>
      </c>
      <c r="F1602" s="158"/>
      <c r="G1602" s="158">
        <v>65.75</v>
      </c>
    </row>
    <row r="1603" spans="1:7" ht="32.999496" customHeight="1" x14ac:dyDescent="0.15">
      <c r="A1603" s="158">
        <v>1601.0</v>
      </c>
      <c r="B1603" s="158" t="s">
        <v>8</v>
      </c>
      <c r="C1603" s="158" t="s">
        <f>"刘静"</f>
        <v>2976</v>
      </c>
      <c r="D1603" s="158" t="s">
        <f>"15010120911"</f>
        <v>2977</v>
      </c>
      <c r="E1603" s="158">
        <v>48.5</v>
      </c>
      <c r="F1603" s="158"/>
      <c r="G1603" s="158">
        <v>48.5</v>
      </c>
    </row>
    <row r="1604" spans="1:7" ht="32.999496" customHeight="1" x14ac:dyDescent="0.15">
      <c r="A1604" s="158">
        <v>1602.0</v>
      </c>
      <c r="B1604" s="158" t="s">
        <v>8</v>
      </c>
      <c r="C1604" s="158" t="s">
        <f>"刘学锋"</f>
        <v>2978</v>
      </c>
      <c r="D1604" s="158" t="s">
        <f>"15010120912"</f>
        <v>2979</v>
      </c>
      <c r="E1604" s="158">
        <v>44.09</v>
      </c>
      <c r="F1604" s="158"/>
      <c r="G1604" s="158">
        <v>44.09</v>
      </c>
    </row>
    <row r="1605" spans="1:7" ht="32.999496" customHeight="1" x14ac:dyDescent="0.15">
      <c r="A1605" s="158">
        <v>1603.0</v>
      </c>
      <c r="B1605" s="158" t="s">
        <v>8</v>
      </c>
      <c r="C1605" s="158" t="s">
        <f>"贾治"</f>
        <v>2980</v>
      </c>
      <c r="D1605" s="158" t="s">
        <f>"15010120913"</f>
        <v>2981</v>
      </c>
      <c r="E1605" s="158">
        <v>49.45</v>
      </c>
      <c r="F1605" s="158"/>
      <c r="G1605" s="158">
        <v>49.45</v>
      </c>
    </row>
    <row r="1606" spans="1:7" ht="32.999496" customHeight="1" x14ac:dyDescent="0.15">
      <c r="A1606" s="158">
        <v>1604.0</v>
      </c>
      <c r="B1606" s="158" t="s">
        <v>8</v>
      </c>
      <c r="C1606" s="158" t="s">
        <f>"郝益冉"</f>
        <v>2982</v>
      </c>
      <c r="D1606" s="158" t="s">
        <f>"15010120914"</f>
        <v>2983</v>
      </c>
      <c r="E1606" s="158">
        <v>40.55</v>
      </c>
      <c r="F1606" s="158"/>
      <c r="G1606" s="158">
        <v>40.55</v>
      </c>
    </row>
    <row r="1607" spans="1:7" ht="32.999496" customHeight="1" x14ac:dyDescent="0.15">
      <c r="A1607" s="158">
        <v>1605.0</v>
      </c>
      <c r="B1607" s="158" t="s">
        <v>8</v>
      </c>
      <c r="C1607" s="158" t="s">
        <f>"李明"</f>
        <v>2984</v>
      </c>
      <c r="D1607" s="158" t="s">
        <f>"15010120915"</f>
        <v>2985</v>
      </c>
      <c r="E1607" s="158" t="s">
        <v>15</v>
      </c>
      <c r="F1607" s="158">
        <v>2.5</v>
      </c>
      <c r="G1607" s="158" t="s">
        <v>15</v>
      </c>
    </row>
    <row r="1608" spans="1:7" ht="32.999496" customHeight="1" x14ac:dyDescent="0.15">
      <c r="A1608" s="158">
        <v>1606.0</v>
      </c>
      <c r="B1608" s="158" t="s">
        <v>8</v>
      </c>
      <c r="C1608" s="158" t="s">
        <f>"赵蓉"</f>
        <v>2986</v>
      </c>
      <c r="D1608" s="158" t="s">
        <f>"15010120916"</f>
        <v>2987</v>
      </c>
      <c r="E1608" s="158">
        <v>74.17</v>
      </c>
      <c r="F1608" s="158"/>
      <c r="G1608" s="158">
        <v>74.17</v>
      </c>
    </row>
    <row r="1609" spans="1:7" ht="32.999496" customHeight="1" x14ac:dyDescent="0.15">
      <c r="A1609" s="158">
        <v>1607.0</v>
      </c>
      <c r="B1609" s="158" t="s">
        <v>8</v>
      </c>
      <c r="C1609" s="158" t="s">
        <f>"温利梅"</f>
        <v>2988</v>
      </c>
      <c r="D1609" s="158" t="s">
        <f>"15010120917"</f>
        <v>2989</v>
      </c>
      <c r="E1609" s="158" t="s">
        <v>15</v>
      </c>
      <c r="F1609" s="158"/>
      <c r="G1609" s="158" t="s">
        <v>15</v>
      </c>
    </row>
    <row r="1610" spans="1:7" ht="32.999496" customHeight="1" x14ac:dyDescent="0.15">
      <c r="A1610" s="158">
        <v>1608.0</v>
      </c>
      <c r="B1610" s="158" t="s">
        <v>8</v>
      </c>
      <c r="C1610" s="158" t="s">
        <f>"白梅"</f>
        <v>2990</v>
      </c>
      <c r="D1610" s="158" t="s">
        <f>"15010120918"</f>
        <v>2991</v>
      </c>
      <c r="E1610" s="158">
        <v>62.04</v>
      </c>
      <c r="F1610" s="158"/>
      <c r="G1610" s="158">
        <v>62.04</v>
      </c>
    </row>
    <row r="1611" spans="1:7" ht="32.999496" customHeight="1" x14ac:dyDescent="0.15">
      <c r="A1611" s="158">
        <v>1609.0</v>
      </c>
      <c r="B1611" s="158" t="s">
        <v>8</v>
      </c>
      <c r="C1611" s="158" t="s">
        <f>"董娜"</f>
        <v>2992</v>
      </c>
      <c r="D1611" s="158" t="s">
        <f>"15010120919"</f>
        <v>2993</v>
      </c>
      <c r="E1611" s="158">
        <v>48.4</v>
      </c>
      <c r="F1611" s="158"/>
      <c r="G1611" s="158">
        <v>48.4</v>
      </c>
    </row>
    <row r="1612" spans="1:7" ht="32.999496" customHeight="1" x14ac:dyDescent="0.15">
      <c r="A1612" s="158">
        <v>1610.0</v>
      </c>
      <c r="B1612" s="158" t="s">
        <v>8</v>
      </c>
      <c r="C1612" s="158" t="s">
        <f>"张鑫东"</f>
        <v>2994</v>
      </c>
      <c r="D1612" s="158" t="s">
        <f>"15010120920"</f>
        <v>2995</v>
      </c>
      <c r="E1612" s="158">
        <v>59.72</v>
      </c>
      <c r="F1612" s="158"/>
      <c r="G1612" s="158">
        <v>59.72</v>
      </c>
    </row>
    <row r="1613" spans="1:7" ht="32.999496" customHeight="1" x14ac:dyDescent="0.15">
      <c r="A1613" s="158">
        <v>1611.0</v>
      </c>
      <c r="B1613" s="158" t="s">
        <v>8</v>
      </c>
      <c r="C1613" s="158" t="s">
        <f>"张倩"</f>
        <v>2996</v>
      </c>
      <c r="D1613" s="158" t="s">
        <f>"15010120921"</f>
        <v>2997</v>
      </c>
      <c r="E1613" s="158">
        <v>51.68</v>
      </c>
      <c r="F1613" s="158"/>
      <c r="G1613" s="158">
        <v>51.68</v>
      </c>
    </row>
    <row r="1614" spans="1:7" ht="32.999496" customHeight="1" x14ac:dyDescent="0.15">
      <c r="A1614" s="158">
        <v>1612.0</v>
      </c>
      <c r="B1614" s="158" t="s">
        <v>8</v>
      </c>
      <c r="C1614" s="158" t="s">
        <f>"杨敏"</f>
        <v>846</v>
      </c>
      <c r="D1614" s="158" t="s">
        <f>"15010120922"</f>
        <v>2998</v>
      </c>
      <c r="E1614" s="158" t="s">
        <v>15</v>
      </c>
      <c r="F1614" s="158"/>
      <c r="G1614" s="158" t="s">
        <v>15</v>
      </c>
    </row>
    <row r="1615" spans="1:7" ht="32.999496" customHeight="1" x14ac:dyDescent="0.15">
      <c r="A1615" s="158">
        <v>1613.0</v>
      </c>
      <c r="B1615" s="158" t="s">
        <v>8</v>
      </c>
      <c r="C1615" s="158" t="s">
        <f>"郭志峰"</f>
        <v>2999</v>
      </c>
      <c r="D1615" s="158" t="s">
        <f>"15010120923"</f>
        <v>3000</v>
      </c>
      <c r="E1615" s="158">
        <v>33.4</v>
      </c>
      <c r="F1615" s="158"/>
      <c r="G1615" s="158">
        <v>33.4</v>
      </c>
    </row>
    <row r="1616" spans="1:7" ht="32.999496" customHeight="1" x14ac:dyDescent="0.15">
      <c r="A1616" s="158">
        <v>1614.0</v>
      </c>
      <c r="B1616" s="158" t="s">
        <v>8</v>
      </c>
      <c r="C1616" s="158" t="s">
        <f>"朱海军"</f>
        <v>3001</v>
      </c>
      <c r="D1616" s="158" t="s">
        <f>"15010120924"</f>
        <v>3002</v>
      </c>
      <c r="E1616" s="158" t="s">
        <v>15</v>
      </c>
      <c r="F1616" s="158"/>
      <c r="G1616" s="158" t="s">
        <v>15</v>
      </c>
    </row>
    <row r="1617" spans="1:7" ht="32.999496" customHeight="1" x14ac:dyDescent="0.15">
      <c r="A1617" s="158">
        <v>1615.0</v>
      </c>
      <c r="B1617" s="158" t="s">
        <v>8</v>
      </c>
      <c r="C1617" s="158" t="s">
        <f>"楠定"</f>
        <v>1313</v>
      </c>
      <c r="D1617" s="158" t="s">
        <f>"15010120925"</f>
        <v>3003</v>
      </c>
      <c r="E1617" s="158">
        <v>51.47</v>
      </c>
      <c r="F1617" s="158">
        <v>2.5</v>
      </c>
      <c r="G1617" s="158">
        <v>53.97</v>
      </c>
    </row>
    <row r="1618" spans="1:7" ht="32.999496" customHeight="1" x14ac:dyDescent="0.15">
      <c r="A1618" s="158">
        <v>1616.0</v>
      </c>
      <c r="B1618" s="158" t="s">
        <v>8</v>
      </c>
      <c r="C1618" s="158" t="s">
        <f>"訾雯淇"</f>
        <v>3004</v>
      </c>
      <c r="D1618" s="158" t="s">
        <f>"15010120926"</f>
        <v>3005</v>
      </c>
      <c r="E1618" s="158" t="s">
        <v>15</v>
      </c>
      <c r="F1618" s="158"/>
      <c r="G1618" s="158" t="s">
        <v>15</v>
      </c>
    </row>
    <row r="1619" spans="1:7" ht="32.999496" customHeight="1" x14ac:dyDescent="0.15">
      <c r="A1619" s="158">
        <v>1617.0</v>
      </c>
      <c r="B1619" s="158" t="s">
        <v>8</v>
      </c>
      <c r="C1619" s="158" t="s">
        <f>"张亚红"</f>
        <v>3006</v>
      </c>
      <c r="D1619" s="158" t="s">
        <f>"15010120927"</f>
        <v>3007</v>
      </c>
      <c r="E1619" s="158" t="s">
        <v>15</v>
      </c>
      <c r="F1619" s="158"/>
      <c r="G1619" s="158" t="s">
        <v>15</v>
      </c>
    </row>
    <row r="1620" spans="1:7" ht="32.999496" customHeight="1" x14ac:dyDescent="0.15">
      <c r="A1620" s="158">
        <v>1618.0</v>
      </c>
      <c r="B1620" s="158" t="s">
        <v>8</v>
      </c>
      <c r="C1620" s="158" t="s">
        <f>"赵雨"</f>
        <v>3008</v>
      </c>
      <c r="D1620" s="158" t="s">
        <f>"15010120928"</f>
        <v>3009</v>
      </c>
      <c r="E1620" s="158">
        <v>53.77</v>
      </c>
      <c r="F1620" s="158"/>
      <c r="G1620" s="158">
        <v>53.77</v>
      </c>
    </row>
    <row r="1621" spans="1:7" ht="32.999496" customHeight="1" x14ac:dyDescent="0.15">
      <c r="A1621" s="158">
        <v>1619.0</v>
      </c>
      <c r="B1621" s="158" t="s">
        <v>8</v>
      </c>
      <c r="C1621" s="158" t="s">
        <f>"马宇洁"</f>
        <v>3010</v>
      </c>
      <c r="D1621" s="158" t="s">
        <f>"15010120929"</f>
        <v>3011</v>
      </c>
      <c r="E1621" s="158" t="s">
        <v>15</v>
      </c>
      <c r="F1621" s="158"/>
      <c r="G1621" s="158" t="s">
        <v>15</v>
      </c>
    </row>
    <row r="1622" spans="1:7" ht="32.999496" customHeight="1" x14ac:dyDescent="0.15">
      <c r="A1622" s="158">
        <v>1620.0</v>
      </c>
      <c r="B1622" s="158" t="s">
        <v>8</v>
      </c>
      <c r="C1622" s="158" t="s">
        <f>"高慧"</f>
        <v>84</v>
      </c>
      <c r="D1622" s="158" t="s">
        <f>"15010120930"</f>
        <v>3012</v>
      </c>
      <c r="E1622" s="158">
        <v>66.32</v>
      </c>
      <c r="F1622" s="158"/>
      <c r="G1622" s="158">
        <v>66.32</v>
      </c>
    </row>
    <row r="1623" spans="1:7" ht="32.999496" customHeight="1" x14ac:dyDescent="0.15">
      <c r="A1623" s="158">
        <v>1621.0</v>
      </c>
      <c r="B1623" s="158" t="s">
        <v>8</v>
      </c>
      <c r="C1623" s="158" t="s">
        <f>"杨巧梅"</f>
        <v>3013</v>
      </c>
      <c r="D1623" s="158" t="s">
        <f>"15010121001"</f>
        <v>3014</v>
      </c>
      <c r="E1623" s="158">
        <v>53.8</v>
      </c>
      <c r="F1623" s="158"/>
      <c r="G1623" s="158">
        <v>53.8</v>
      </c>
    </row>
    <row r="1624" spans="1:7" ht="32.999496" customHeight="1" x14ac:dyDescent="0.15">
      <c r="A1624" s="158">
        <v>1622.0</v>
      </c>
      <c r="B1624" s="158" t="s">
        <v>8</v>
      </c>
      <c r="C1624" s="158" t="s">
        <f>"单平"</f>
        <v>3015</v>
      </c>
      <c r="D1624" s="158" t="s">
        <f>"15010121002"</f>
        <v>3016</v>
      </c>
      <c r="E1624" s="158">
        <v>54.32</v>
      </c>
      <c r="F1624" s="158"/>
      <c r="G1624" s="158">
        <v>54.32</v>
      </c>
    </row>
    <row r="1625" spans="1:7" ht="32.999496" customHeight="1" x14ac:dyDescent="0.15">
      <c r="A1625" s="158">
        <v>1623.0</v>
      </c>
      <c r="B1625" s="158" t="s">
        <v>8</v>
      </c>
      <c r="C1625" s="158" t="s">
        <f>"李静"</f>
        <v>298</v>
      </c>
      <c r="D1625" s="158" t="s">
        <f>"15010121003"</f>
        <v>3017</v>
      </c>
      <c r="E1625" s="158">
        <v>56.82</v>
      </c>
      <c r="F1625" s="158"/>
      <c r="G1625" s="158">
        <v>56.82</v>
      </c>
    </row>
    <row r="1626" spans="1:7" ht="32.999496" customHeight="1" x14ac:dyDescent="0.15">
      <c r="A1626" s="158">
        <v>1624.0</v>
      </c>
      <c r="B1626" s="158" t="s">
        <v>8</v>
      </c>
      <c r="C1626" s="158" t="s">
        <f>"李旭阳"</f>
        <v>3018</v>
      </c>
      <c r="D1626" s="158" t="s">
        <f>"15010121004"</f>
        <v>3019</v>
      </c>
      <c r="E1626" s="158" t="s">
        <v>15</v>
      </c>
      <c r="F1626" s="158"/>
      <c r="G1626" s="158" t="s">
        <v>15</v>
      </c>
    </row>
    <row r="1627" spans="1:7" ht="32.999496" customHeight="1" x14ac:dyDescent="0.15">
      <c r="A1627" s="158">
        <v>1625.0</v>
      </c>
      <c r="B1627" s="158" t="s">
        <v>8</v>
      </c>
      <c r="C1627" s="158" t="s">
        <f>"陈豆豆"</f>
        <v>3020</v>
      </c>
      <c r="D1627" s="158" t="s">
        <f>"15010121005"</f>
        <v>3021</v>
      </c>
      <c r="E1627" s="158">
        <v>48.4</v>
      </c>
      <c r="F1627" s="158"/>
      <c r="G1627" s="158">
        <v>48.4</v>
      </c>
    </row>
    <row r="1628" spans="1:7" ht="32.999496" customHeight="1" x14ac:dyDescent="0.15">
      <c r="A1628" s="158">
        <v>1626.0</v>
      </c>
      <c r="B1628" s="158" t="s">
        <v>8</v>
      </c>
      <c r="C1628" s="158" t="s">
        <f>"张星"</f>
        <v>3022</v>
      </c>
      <c r="D1628" s="158" t="s">
        <f>"15010121006"</f>
        <v>3023</v>
      </c>
      <c r="E1628" s="158">
        <v>60.13</v>
      </c>
      <c r="F1628" s="158"/>
      <c r="G1628" s="158">
        <v>60.13</v>
      </c>
    </row>
    <row r="1629" spans="1:7" ht="32.999496" customHeight="1" x14ac:dyDescent="0.15">
      <c r="A1629" s="158">
        <v>1627.0</v>
      </c>
      <c r="B1629" s="158" t="s">
        <v>8</v>
      </c>
      <c r="C1629" s="158" t="s">
        <f>"高乐"</f>
        <v>116</v>
      </c>
      <c r="D1629" s="158" t="s">
        <f>"15010121007"</f>
        <v>3024</v>
      </c>
      <c r="E1629" s="158" t="s">
        <v>15</v>
      </c>
      <c r="F1629" s="158"/>
      <c r="G1629" s="158" t="s">
        <v>15</v>
      </c>
    </row>
    <row r="1630" spans="1:7" ht="32.999496" customHeight="1" x14ac:dyDescent="0.15">
      <c r="A1630" s="158">
        <v>1628.0</v>
      </c>
      <c r="B1630" s="158" t="s">
        <v>8</v>
      </c>
      <c r="C1630" s="158" t="s">
        <f>"杨慧芳"</f>
        <v>3025</v>
      </c>
      <c r="D1630" s="158" t="s">
        <f>"15010121008"</f>
        <v>3026</v>
      </c>
      <c r="E1630" s="158">
        <v>51.620000000000005</v>
      </c>
      <c r="F1630" s="158"/>
      <c r="G1630" s="158">
        <v>51.620000000000005</v>
      </c>
    </row>
    <row r="1631" spans="1:7" ht="32.999496" customHeight="1" x14ac:dyDescent="0.15">
      <c r="A1631" s="158">
        <v>1629.0</v>
      </c>
      <c r="B1631" s="158" t="s">
        <v>8</v>
      </c>
      <c r="C1631" s="158" t="s">
        <f>"刘雅雯"</f>
        <v>3027</v>
      </c>
      <c r="D1631" s="158" t="s">
        <f>"15010121009"</f>
        <v>3028</v>
      </c>
      <c r="E1631" s="158" t="s">
        <v>15</v>
      </c>
      <c r="F1631" s="158"/>
      <c r="G1631" s="158" t="s">
        <v>15</v>
      </c>
    </row>
    <row r="1632" spans="1:7" ht="32.999496" customHeight="1" x14ac:dyDescent="0.15">
      <c r="A1632" s="158">
        <v>1630.0</v>
      </c>
      <c r="B1632" s="158" t="s">
        <v>8</v>
      </c>
      <c r="C1632" s="158" t="s">
        <f>"乔丹"</f>
        <v>1975</v>
      </c>
      <c r="D1632" s="158" t="s">
        <f>"15010121010"</f>
        <v>3029</v>
      </c>
      <c r="E1632" s="158">
        <v>51.47</v>
      </c>
      <c r="F1632" s="158"/>
      <c r="G1632" s="158">
        <v>51.47</v>
      </c>
    </row>
    <row r="1633" spans="1:7" ht="32.999496" customHeight="1" x14ac:dyDescent="0.15">
      <c r="A1633" s="158">
        <v>1631.0</v>
      </c>
      <c r="B1633" s="158" t="s">
        <v>8</v>
      </c>
      <c r="C1633" s="158" t="s">
        <f>"党慧"</f>
        <v>3030</v>
      </c>
      <c r="D1633" s="158" t="s">
        <f>"15010121011"</f>
        <v>3031</v>
      </c>
      <c r="E1633" s="158">
        <v>42.54</v>
      </c>
      <c r="F1633" s="158"/>
      <c r="G1633" s="158">
        <v>42.54</v>
      </c>
    </row>
    <row r="1634" spans="1:7" ht="32.999496" customHeight="1" x14ac:dyDescent="0.15">
      <c r="A1634" s="158">
        <v>1632.0</v>
      </c>
      <c r="B1634" s="158" t="s">
        <v>8</v>
      </c>
      <c r="C1634" s="158" t="s">
        <f>"牛振宇"</f>
        <v>3032</v>
      </c>
      <c r="D1634" s="158" t="s">
        <f>"15010121012"</f>
        <v>3033</v>
      </c>
      <c r="E1634" s="158">
        <v>56.28</v>
      </c>
      <c r="F1634" s="158"/>
      <c r="G1634" s="158">
        <v>56.28</v>
      </c>
    </row>
    <row r="1635" spans="1:7" ht="32.999496" customHeight="1" x14ac:dyDescent="0.15">
      <c r="A1635" s="158">
        <v>1633.0</v>
      </c>
      <c r="B1635" s="158" t="s">
        <v>8</v>
      </c>
      <c r="C1635" s="158" t="s">
        <f>"王国梁"</f>
        <v>3034</v>
      </c>
      <c r="D1635" s="158" t="s">
        <f>"15010121013"</f>
        <v>3035</v>
      </c>
      <c r="E1635" s="158" t="s">
        <v>15</v>
      </c>
      <c r="F1635" s="158"/>
      <c r="G1635" s="158" t="s">
        <v>15</v>
      </c>
    </row>
    <row r="1636" spans="1:7" ht="32.999496" customHeight="1" x14ac:dyDescent="0.15">
      <c r="A1636" s="158">
        <v>1634.0</v>
      </c>
      <c r="B1636" s="158" t="s">
        <v>8</v>
      </c>
      <c r="C1636" s="158" t="s">
        <f>"雷雪婷"</f>
        <v>3036</v>
      </c>
      <c r="D1636" s="158" t="s">
        <f>"15010121014"</f>
        <v>3037</v>
      </c>
      <c r="E1636" s="158" t="s">
        <v>15</v>
      </c>
      <c r="F1636" s="158"/>
      <c r="G1636" s="158" t="s">
        <v>15</v>
      </c>
    </row>
    <row r="1637" spans="1:7" ht="32.999496" customHeight="1" x14ac:dyDescent="0.15">
      <c r="A1637" s="158">
        <v>1635.0</v>
      </c>
      <c r="B1637" s="158" t="s">
        <v>8</v>
      </c>
      <c r="C1637" s="158" t="s">
        <f>"刘艺阳"</f>
        <v>3038</v>
      </c>
      <c r="D1637" s="158" t="s">
        <f>"15010121015"</f>
        <v>3039</v>
      </c>
      <c r="E1637" s="158">
        <v>66.28</v>
      </c>
      <c r="F1637" s="158"/>
      <c r="G1637" s="158">
        <v>66.28</v>
      </c>
    </row>
    <row r="1638" spans="1:7" ht="32.999496" customHeight="1" x14ac:dyDescent="0.15">
      <c r="A1638" s="158">
        <v>1636.0</v>
      </c>
      <c r="B1638" s="158" t="s">
        <v>8</v>
      </c>
      <c r="C1638" s="158" t="s">
        <f>"李娟"</f>
        <v>582</v>
      </c>
      <c r="D1638" s="158" t="s">
        <f>"15010121016"</f>
        <v>3040</v>
      </c>
      <c r="E1638" s="158">
        <v>59.56</v>
      </c>
      <c r="F1638" s="158"/>
      <c r="G1638" s="158">
        <v>59.56</v>
      </c>
    </row>
    <row r="1639" spans="1:7" ht="32.999496" customHeight="1" x14ac:dyDescent="0.15">
      <c r="A1639" s="158">
        <v>1637.0</v>
      </c>
      <c r="B1639" s="158" t="s">
        <v>8</v>
      </c>
      <c r="C1639" s="158" t="s">
        <f>"刘磊"</f>
        <v>2884</v>
      </c>
      <c r="D1639" s="158" t="s">
        <f>"15010121017"</f>
        <v>3041</v>
      </c>
      <c r="E1639" s="158">
        <v>62</v>
      </c>
      <c r="F1639" s="158"/>
      <c r="G1639" s="158">
        <v>62</v>
      </c>
    </row>
    <row r="1640" spans="1:7" ht="32.999496" customHeight="1" x14ac:dyDescent="0.15">
      <c r="A1640" s="158">
        <v>1638.0</v>
      </c>
      <c r="B1640" s="158" t="s">
        <v>8</v>
      </c>
      <c r="C1640" s="158" t="s">
        <f>"王勇智"</f>
        <v>3042</v>
      </c>
      <c r="D1640" s="158" t="s">
        <f>"15010121018"</f>
        <v>3043</v>
      </c>
      <c r="E1640" s="158">
        <v>57.42</v>
      </c>
      <c r="F1640" s="158"/>
      <c r="G1640" s="158">
        <v>57.42</v>
      </c>
    </row>
    <row r="1641" spans="1:7" ht="32.999496" customHeight="1" x14ac:dyDescent="0.15">
      <c r="A1641" s="158">
        <v>1639.0</v>
      </c>
      <c r="B1641" s="158" t="s">
        <v>8</v>
      </c>
      <c r="C1641" s="158" t="s">
        <f>"白院"</f>
        <v>3044</v>
      </c>
      <c r="D1641" s="158" t="s">
        <f>"15010121019"</f>
        <v>3045</v>
      </c>
      <c r="E1641" s="158">
        <v>60.33</v>
      </c>
      <c r="F1641" s="158"/>
      <c r="G1641" s="158">
        <v>60.33</v>
      </c>
    </row>
    <row r="1642" spans="1:7" ht="32.999496" customHeight="1" x14ac:dyDescent="0.15">
      <c r="A1642" s="158">
        <v>1640.0</v>
      </c>
      <c r="B1642" s="158" t="s">
        <v>8</v>
      </c>
      <c r="C1642" s="158" t="s">
        <f>"张恒"</f>
        <v>260</v>
      </c>
      <c r="D1642" s="158" t="s">
        <f>"15010121020"</f>
        <v>3046</v>
      </c>
      <c r="E1642" s="158" t="s">
        <v>15</v>
      </c>
      <c r="F1642" s="158"/>
      <c r="G1642" s="158" t="s">
        <v>15</v>
      </c>
    </row>
    <row r="1643" spans="1:7" ht="32.999496" customHeight="1" x14ac:dyDescent="0.15">
      <c r="A1643" s="158">
        <v>1641.0</v>
      </c>
      <c r="B1643" s="158" t="s">
        <v>8</v>
      </c>
      <c r="C1643" s="158" t="s">
        <f>"郝瑞"</f>
        <v>2605</v>
      </c>
      <c r="D1643" s="158" t="s">
        <f>"15010121021"</f>
        <v>3047</v>
      </c>
      <c r="E1643" s="158">
        <v>50.54</v>
      </c>
      <c r="F1643" s="158"/>
      <c r="G1643" s="158">
        <v>50.54</v>
      </c>
    </row>
    <row r="1644" spans="1:7" ht="32.999496" customHeight="1" x14ac:dyDescent="0.15">
      <c r="A1644" s="158">
        <v>1642.0</v>
      </c>
      <c r="B1644" s="158" t="s">
        <v>8</v>
      </c>
      <c r="C1644" s="158" t="s">
        <f>"郝丽雪"</f>
        <v>3048</v>
      </c>
      <c r="D1644" s="158" t="s">
        <f>"15010121022"</f>
        <v>3049</v>
      </c>
      <c r="E1644" s="158">
        <v>56.32</v>
      </c>
      <c r="F1644" s="158"/>
      <c r="G1644" s="158">
        <v>56.32</v>
      </c>
    </row>
    <row r="1645" spans="1:7" ht="32.999496" customHeight="1" x14ac:dyDescent="0.15">
      <c r="A1645" s="158">
        <v>1643.0</v>
      </c>
      <c r="B1645" s="158" t="s">
        <v>8</v>
      </c>
      <c r="C1645" s="158" t="s">
        <f>"李慧"</f>
        <v>848</v>
      </c>
      <c r="D1645" s="158" t="s">
        <f>"15010121023"</f>
        <v>3050</v>
      </c>
      <c r="E1645" s="158">
        <v>50.66</v>
      </c>
      <c r="F1645" s="158"/>
      <c r="G1645" s="158">
        <v>50.66</v>
      </c>
    </row>
    <row r="1646" spans="1:7" ht="32.999496" customHeight="1" x14ac:dyDescent="0.15">
      <c r="A1646" s="158">
        <v>1644.0</v>
      </c>
      <c r="B1646" s="158" t="s">
        <v>8</v>
      </c>
      <c r="C1646" s="158" t="s">
        <f>"苏艳"</f>
        <v>3051</v>
      </c>
      <c r="D1646" s="158" t="s">
        <f>"15010121024"</f>
        <v>3052</v>
      </c>
      <c r="E1646" s="158">
        <v>48.07</v>
      </c>
      <c r="F1646" s="158"/>
      <c r="G1646" s="158">
        <v>48.07</v>
      </c>
    </row>
    <row r="1647" spans="1:7" ht="32.999496" customHeight="1" x14ac:dyDescent="0.15">
      <c r="A1647" s="158">
        <v>1645.0</v>
      </c>
      <c r="B1647" s="158" t="s">
        <v>8</v>
      </c>
      <c r="C1647" s="158" t="s">
        <f>"李媛媛"</f>
        <v>3053</v>
      </c>
      <c r="D1647" s="158" t="s">
        <f>"15010121025"</f>
        <v>3054</v>
      </c>
      <c r="E1647" s="158">
        <v>55.730000000000004</v>
      </c>
      <c r="F1647" s="158"/>
      <c r="G1647" s="158">
        <v>55.730000000000004</v>
      </c>
    </row>
    <row r="1648" spans="1:7" ht="32.999496" customHeight="1" x14ac:dyDescent="0.15">
      <c r="A1648" s="158">
        <v>1646.0</v>
      </c>
      <c r="B1648" s="158" t="s">
        <v>8</v>
      </c>
      <c r="C1648" s="158" t="s">
        <f>"卢平"</f>
        <v>3055</v>
      </c>
      <c r="D1648" s="158" t="s">
        <f>"15010121026"</f>
        <v>3056</v>
      </c>
      <c r="E1648" s="158" t="s">
        <v>15</v>
      </c>
      <c r="F1648" s="158"/>
      <c r="G1648" s="158" t="s">
        <v>15</v>
      </c>
    </row>
    <row r="1649" spans="1:7" ht="32.999496" customHeight="1" x14ac:dyDescent="0.15">
      <c r="A1649" s="158">
        <v>1647.0</v>
      </c>
      <c r="B1649" s="158" t="s">
        <v>8</v>
      </c>
      <c r="C1649" s="158" t="s">
        <f>"刘慧"</f>
        <v>430</v>
      </c>
      <c r="D1649" s="158" t="s">
        <f>"15010121027"</f>
        <v>3057</v>
      </c>
      <c r="E1649" s="158">
        <v>52.33</v>
      </c>
      <c r="F1649" s="158"/>
      <c r="G1649" s="158">
        <v>52.33</v>
      </c>
    </row>
    <row r="1650" spans="1:7" ht="32.999496" customHeight="1" x14ac:dyDescent="0.15">
      <c r="A1650" s="158">
        <v>1648.0</v>
      </c>
      <c r="B1650" s="158" t="s">
        <v>8</v>
      </c>
      <c r="C1650" s="158" t="s">
        <f>"杨建勋"</f>
        <v>3058</v>
      </c>
      <c r="D1650" s="158" t="s">
        <f>"15010121028"</f>
        <v>3059</v>
      </c>
      <c r="E1650" s="158">
        <v>63.35</v>
      </c>
      <c r="F1650" s="158"/>
      <c r="G1650" s="158">
        <v>63.35</v>
      </c>
    </row>
    <row r="1651" spans="1:7" ht="32.999496" customHeight="1" x14ac:dyDescent="0.15">
      <c r="A1651" s="158">
        <v>1649.0</v>
      </c>
      <c r="B1651" s="158" t="s">
        <v>8</v>
      </c>
      <c r="C1651" s="158" t="s">
        <f>"宋宇"</f>
        <v>3060</v>
      </c>
      <c r="D1651" s="158" t="s">
        <f>"15010121029"</f>
        <v>3061</v>
      </c>
      <c r="E1651" s="158">
        <v>50.17</v>
      </c>
      <c r="F1651" s="158"/>
      <c r="G1651" s="158">
        <v>50.17</v>
      </c>
    </row>
    <row r="1652" spans="1:7" ht="32.999496" customHeight="1" x14ac:dyDescent="0.15">
      <c r="A1652" s="158">
        <v>1650.0</v>
      </c>
      <c r="B1652" s="158" t="s">
        <v>8</v>
      </c>
      <c r="C1652" s="158" t="s">
        <f>"解廷锋"</f>
        <v>3062</v>
      </c>
      <c r="D1652" s="158" t="s">
        <f>"15010121030"</f>
        <v>3063</v>
      </c>
      <c r="E1652" s="158">
        <v>55.4</v>
      </c>
      <c r="F1652" s="158"/>
      <c r="G1652" s="158">
        <v>55.4</v>
      </c>
    </row>
    <row r="1653" spans="1:7" ht="32.999496" customHeight="1" x14ac:dyDescent="0.15">
      <c r="A1653" s="158">
        <v>1651.0</v>
      </c>
      <c r="B1653" s="158" t="s">
        <v>8</v>
      </c>
      <c r="C1653" s="158" t="s">
        <f>"白宏伟"</f>
        <v>3064</v>
      </c>
      <c r="D1653" s="158" t="s">
        <f>"15010121101"</f>
        <v>3065</v>
      </c>
      <c r="E1653" s="158">
        <v>48.64</v>
      </c>
      <c r="F1653" s="158"/>
      <c r="G1653" s="158">
        <v>48.64</v>
      </c>
    </row>
    <row r="1654" spans="1:7" ht="32.999496" customHeight="1" x14ac:dyDescent="0.15">
      <c r="A1654" s="158">
        <v>1652.0</v>
      </c>
      <c r="B1654" s="158" t="s">
        <v>8</v>
      </c>
      <c r="C1654" s="158" t="s">
        <f>"李惠学"</f>
        <v>3066</v>
      </c>
      <c r="D1654" s="158" t="s">
        <f>"15010121102"</f>
        <v>3067</v>
      </c>
      <c r="E1654" s="158">
        <v>54.42</v>
      </c>
      <c r="F1654" s="158"/>
      <c r="G1654" s="158">
        <v>54.42</v>
      </c>
    </row>
    <row r="1655" spans="1:7" ht="32.999496" customHeight="1" x14ac:dyDescent="0.15">
      <c r="A1655" s="158">
        <v>1653.0</v>
      </c>
      <c r="B1655" s="158" t="s">
        <v>8</v>
      </c>
      <c r="C1655" s="158" t="s">
        <f>"杨艳"</f>
        <v>768</v>
      </c>
      <c r="D1655" s="158" t="s">
        <f>"15010121103"</f>
        <v>3068</v>
      </c>
      <c r="E1655" s="158" t="s">
        <v>15</v>
      </c>
      <c r="F1655" s="158">
        <v>2.5</v>
      </c>
      <c r="G1655" s="158" t="s">
        <v>15</v>
      </c>
    </row>
    <row r="1656" spans="1:7" ht="32.999496" customHeight="1" x14ac:dyDescent="0.15">
      <c r="A1656" s="158">
        <v>1654.0</v>
      </c>
      <c r="B1656" s="158" t="s">
        <v>8</v>
      </c>
      <c r="C1656" s="158" t="s">
        <f>"程孝文"</f>
        <v>3069</v>
      </c>
      <c r="D1656" s="158" t="s">
        <f>"15010121104"</f>
        <v>3070</v>
      </c>
      <c r="E1656" s="158">
        <v>56.18</v>
      </c>
      <c r="F1656" s="158"/>
      <c r="G1656" s="158">
        <v>56.18</v>
      </c>
    </row>
    <row r="1657" spans="1:7" ht="32.999496" customHeight="1" x14ac:dyDescent="0.15">
      <c r="A1657" s="158">
        <v>1655.0</v>
      </c>
      <c r="B1657" s="158" t="s">
        <v>8</v>
      </c>
      <c r="C1657" s="158" t="s">
        <f>"张瑞"</f>
        <v>1856</v>
      </c>
      <c r="D1657" s="158" t="s">
        <f>"15010121105"</f>
        <v>3071</v>
      </c>
      <c r="E1657" s="158">
        <v>56.879999999999995</v>
      </c>
      <c r="F1657" s="158"/>
      <c r="G1657" s="158">
        <v>56.879999999999995</v>
      </c>
    </row>
    <row r="1658" spans="1:7" ht="32.999496" customHeight="1" x14ac:dyDescent="0.15">
      <c r="A1658" s="158">
        <v>1656.0</v>
      </c>
      <c r="B1658" s="158" t="s">
        <v>8</v>
      </c>
      <c r="C1658" s="158" t="s">
        <f>"余伟"</f>
        <v>3072</v>
      </c>
      <c r="D1658" s="158" t="s">
        <f>"15010121106"</f>
        <v>3073</v>
      </c>
      <c r="E1658" s="158">
        <v>30.62</v>
      </c>
      <c r="F1658" s="158"/>
      <c r="G1658" s="158">
        <v>30.62</v>
      </c>
    </row>
    <row r="1659" spans="1:7" ht="32.999496" customHeight="1" x14ac:dyDescent="0.15">
      <c r="A1659" s="158">
        <v>1657.0</v>
      </c>
      <c r="B1659" s="158" t="s">
        <v>8</v>
      </c>
      <c r="C1659" s="158" t="s">
        <f>"李业鹏"</f>
        <v>3074</v>
      </c>
      <c r="D1659" s="158" t="s">
        <f>"15010121107"</f>
        <v>3075</v>
      </c>
      <c r="E1659" s="158" t="s">
        <v>15</v>
      </c>
      <c r="F1659" s="158"/>
      <c r="G1659" s="158" t="s">
        <v>15</v>
      </c>
    </row>
    <row r="1660" spans="1:7" ht="32.999496" customHeight="1" x14ac:dyDescent="0.15">
      <c r="A1660" s="158">
        <v>1658.0</v>
      </c>
      <c r="B1660" s="158" t="s">
        <v>8</v>
      </c>
      <c r="C1660" s="158" t="s">
        <f>"王小强"</f>
        <v>3076</v>
      </c>
      <c r="D1660" s="158" t="s">
        <f>"15010121108"</f>
        <v>3077</v>
      </c>
      <c r="E1660" s="158">
        <v>49.65</v>
      </c>
      <c r="F1660" s="158"/>
      <c r="G1660" s="158">
        <v>49.65</v>
      </c>
    </row>
    <row r="1661" spans="1:7" ht="32.999496" customHeight="1" x14ac:dyDescent="0.15">
      <c r="A1661" s="158">
        <v>1659.0</v>
      </c>
      <c r="B1661" s="158" t="s">
        <v>8</v>
      </c>
      <c r="C1661" s="158" t="s">
        <f>"张宏磊"</f>
        <v>3078</v>
      </c>
      <c r="D1661" s="158" t="s">
        <f>"15010121109"</f>
        <v>3079</v>
      </c>
      <c r="E1661" s="158">
        <v>55.76</v>
      </c>
      <c r="F1661" s="158"/>
      <c r="G1661" s="158">
        <v>55.76</v>
      </c>
    </row>
    <row r="1662" spans="1:7" ht="32.999496" customHeight="1" x14ac:dyDescent="0.15">
      <c r="A1662" s="158">
        <v>1660.0</v>
      </c>
      <c r="B1662" s="158" t="s">
        <v>8</v>
      </c>
      <c r="C1662" s="158" t="s">
        <f>"杨珊珊"</f>
        <v>3080</v>
      </c>
      <c r="D1662" s="158" t="s">
        <f>"15010121110"</f>
        <v>3081</v>
      </c>
      <c r="E1662" s="158">
        <v>51.57</v>
      </c>
      <c r="F1662" s="158">
        <v>2.5</v>
      </c>
      <c r="G1662" s="158">
        <v>54.07</v>
      </c>
    </row>
    <row r="1663" spans="1:7" ht="32.999496" customHeight="1" x14ac:dyDescent="0.15">
      <c r="A1663" s="158">
        <v>1661.0</v>
      </c>
      <c r="B1663" s="158" t="s">
        <v>8</v>
      </c>
      <c r="C1663" s="158" t="s">
        <f>"张红"</f>
        <v>3082</v>
      </c>
      <c r="D1663" s="158" t="s">
        <f>"15010121111"</f>
        <v>3083</v>
      </c>
      <c r="E1663" s="158" t="s">
        <v>15</v>
      </c>
      <c r="F1663" s="158"/>
      <c r="G1663" s="158" t="s">
        <v>15</v>
      </c>
    </row>
    <row r="1664" spans="1:7" ht="32.999496" customHeight="1" x14ac:dyDescent="0.15">
      <c r="A1664" s="158">
        <v>1662.0</v>
      </c>
      <c r="B1664" s="158" t="s">
        <v>8</v>
      </c>
      <c r="C1664" s="158" t="s">
        <f>"张慧宁"</f>
        <v>3084</v>
      </c>
      <c r="D1664" s="158" t="s">
        <f>"15010121112"</f>
        <v>3085</v>
      </c>
      <c r="E1664" s="158">
        <v>52.629999999999995</v>
      </c>
      <c r="F1664" s="158"/>
      <c r="G1664" s="158">
        <v>52.629999999999995</v>
      </c>
    </row>
    <row r="1665" spans="1:7" ht="32.999496" customHeight="1" x14ac:dyDescent="0.15">
      <c r="A1665" s="158">
        <v>1663.0</v>
      </c>
      <c r="B1665" s="158" t="s">
        <v>8</v>
      </c>
      <c r="C1665" s="158" t="s">
        <f>"杨丽"</f>
        <v>808</v>
      </c>
      <c r="D1665" s="158" t="s">
        <f>"15010121113"</f>
        <v>3086</v>
      </c>
      <c r="E1665" s="158">
        <v>49.44</v>
      </c>
      <c r="F1665" s="158"/>
      <c r="G1665" s="158">
        <v>49.44</v>
      </c>
    </row>
    <row r="1666" spans="1:7" ht="32.999496" customHeight="1" x14ac:dyDescent="0.15">
      <c r="A1666" s="158">
        <v>1664.0</v>
      </c>
      <c r="B1666" s="158" t="s">
        <v>8</v>
      </c>
      <c r="C1666" s="158" t="s">
        <f>"刘牧阳"</f>
        <v>3087</v>
      </c>
      <c r="D1666" s="158" t="s">
        <f>"15010121114"</f>
        <v>3088</v>
      </c>
      <c r="E1666" s="158" t="s">
        <v>15</v>
      </c>
      <c r="F1666" s="158"/>
      <c r="G1666" s="158" t="s">
        <v>15</v>
      </c>
    </row>
    <row r="1667" spans="1:7" ht="32.999496" customHeight="1" x14ac:dyDescent="0.15">
      <c r="A1667" s="158">
        <v>1665.0</v>
      </c>
      <c r="B1667" s="158" t="s">
        <v>8</v>
      </c>
      <c r="C1667" s="158" t="s">
        <f>"杨露"</f>
        <v>1364</v>
      </c>
      <c r="D1667" s="158" t="s">
        <f>"15010121115"</f>
        <v>3089</v>
      </c>
      <c r="E1667" s="158">
        <v>59.35</v>
      </c>
      <c r="F1667" s="158"/>
      <c r="G1667" s="158">
        <v>59.35</v>
      </c>
    </row>
    <row r="1668" spans="1:7" ht="32.999496" customHeight="1" x14ac:dyDescent="0.15">
      <c r="A1668" s="158">
        <v>1666.0</v>
      </c>
      <c r="B1668" s="158" t="s">
        <v>8</v>
      </c>
      <c r="C1668" s="158" t="s">
        <f>"何帅"</f>
        <v>3090</v>
      </c>
      <c r="D1668" s="158" t="s">
        <f>"15010121116"</f>
        <v>3091</v>
      </c>
      <c r="E1668" s="158">
        <v>65.11</v>
      </c>
      <c r="F1668" s="158"/>
      <c r="G1668" s="158">
        <v>65.11</v>
      </c>
    </row>
    <row r="1669" spans="1:7" ht="32.999496" customHeight="1" x14ac:dyDescent="0.15">
      <c r="A1669" s="158">
        <v>1667.0</v>
      </c>
      <c r="B1669" s="158" t="s">
        <v>8</v>
      </c>
      <c r="C1669" s="158" t="s">
        <f>"高娜"</f>
        <v>46</v>
      </c>
      <c r="D1669" s="158" t="s">
        <f>"15010121117"</f>
        <v>3092</v>
      </c>
      <c r="E1669" s="158">
        <v>50.6</v>
      </c>
      <c r="F1669" s="158"/>
      <c r="G1669" s="158">
        <v>50.6</v>
      </c>
    </row>
    <row r="1670" spans="1:7" ht="32.999496" customHeight="1" x14ac:dyDescent="0.15">
      <c r="A1670" s="158">
        <v>1668.0</v>
      </c>
      <c r="B1670" s="158" t="s">
        <v>8</v>
      </c>
      <c r="C1670" s="158" t="s">
        <f>"张浩"</f>
        <v>2554</v>
      </c>
      <c r="D1670" s="158" t="s">
        <f>"15010121118"</f>
        <v>3093</v>
      </c>
      <c r="E1670" s="158" t="s">
        <v>15</v>
      </c>
      <c r="F1670" s="158"/>
      <c r="G1670" s="158" t="s">
        <v>15</v>
      </c>
    </row>
    <row r="1671" spans="1:7" ht="32.999496" customHeight="1" x14ac:dyDescent="0.15">
      <c r="A1671" s="158">
        <v>1669.0</v>
      </c>
      <c r="B1671" s="158" t="s">
        <v>8</v>
      </c>
      <c r="C1671" s="158" t="s">
        <f>"张路慧"</f>
        <v>3094</v>
      </c>
      <c r="D1671" s="158" t="s">
        <f>"15010121119"</f>
        <v>3095</v>
      </c>
      <c r="E1671" s="158" t="s">
        <v>15</v>
      </c>
      <c r="F1671" s="158">
        <v>2.5</v>
      </c>
      <c r="G1671" s="158" t="s">
        <v>15</v>
      </c>
    </row>
    <row r="1672" spans="1:7" ht="32.999496" customHeight="1" x14ac:dyDescent="0.15">
      <c r="A1672" s="158">
        <v>1670.0</v>
      </c>
      <c r="B1672" s="158" t="s">
        <v>8</v>
      </c>
      <c r="C1672" s="158" t="s">
        <f>"王乐"</f>
        <v>994</v>
      </c>
      <c r="D1672" s="158" t="s">
        <f>"15010121120"</f>
        <v>3096</v>
      </c>
      <c r="E1672" s="158" t="s">
        <v>15</v>
      </c>
      <c r="F1672" s="158"/>
      <c r="G1672" s="158" t="s">
        <v>15</v>
      </c>
    </row>
    <row r="1673" spans="1:7" ht="32.999496" customHeight="1" x14ac:dyDescent="0.15">
      <c r="A1673" s="158">
        <v>1671.0</v>
      </c>
      <c r="B1673" s="158" t="s">
        <v>8</v>
      </c>
      <c r="C1673" s="158" t="s">
        <f>"冯小龙"</f>
        <v>3097</v>
      </c>
      <c r="D1673" s="158" t="s">
        <f>"15010121121"</f>
        <v>3098</v>
      </c>
      <c r="E1673" s="158" t="s">
        <v>15</v>
      </c>
      <c r="F1673" s="158"/>
      <c r="G1673" s="158" t="s">
        <v>15</v>
      </c>
    </row>
    <row r="1674" spans="1:7" ht="32.999496" customHeight="1" x14ac:dyDescent="0.15">
      <c r="A1674" s="158">
        <v>1672.0</v>
      </c>
      <c r="B1674" s="158" t="s">
        <v>8</v>
      </c>
      <c r="C1674" s="158" t="s">
        <f>"武伟"</f>
        <v>3099</v>
      </c>
      <c r="D1674" s="158" t="s">
        <f>"15010121122"</f>
        <v>3100</v>
      </c>
      <c r="E1674" s="158" t="s">
        <v>15</v>
      </c>
      <c r="F1674" s="158"/>
      <c r="G1674" s="158" t="s">
        <v>15</v>
      </c>
    </row>
    <row r="1675" spans="1:7" ht="32.999496" customHeight="1" x14ac:dyDescent="0.15">
      <c r="A1675" s="158">
        <v>1673.0</v>
      </c>
      <c r="B1675" s="158" t="s">
        <v>8</v>
      </c>
      <c r="C1675" s="158" t="s">
        <f>"池金霞"</f>
        <v>3101</v>
      </c>
      <c r="D1675" s="158" t="s">
        <f>"15010121123"</f>
        <v>3102</v>
      </c>
      <c r="E1675" s="158" t="s">
        <v>15</v>
      </c>
      <c r="F1675" s="158"/>
      <c r="G1675" s="158" t="s">
        <v>15</v>
      </c>
    </row>
    <row r="1676" spans="1:7" ht="32.999496" customHeight="1" x14ac:dyDescent="0.15">
      <c r="A1676" s="158">
        <v>1674.0</v>
      </c>
      <c r="B1676" s="158" t="s">
        <v>8</v>
      </c>
      <c r="C1676" s="158" t="s">
        <f>"齐叶玲"</f>
        <v>3103</v>
      </c>
      <c r="D1676" s="158" t="s">
        <f>"15010121124"</f>
        <v>3104</v>
      </c>
      <c r="E1676" s="158">
        <v>68.15</v>
      </c>
      <c r="F1676" s="158">
        <v>2.5</v>
      </c>
      <c r="G1676" s="158">
        <v>70.65</v>
      </c>
    </row>
    <row r="1677" spans="1:7" ht="32.999496" customHeight="1" x14ac:dyDescent="0.15">
      <c r="A1677" s="158">
        <v>1675.0</v>
      </c>
      <c r="B1677" s="158" t="s">
        <v>8</v>
      </c>
      <c r="C1677" s="158" t="s">
        <f>"贾倩"</f>
        <v>2828</v>
      </c>
      <c r="D1677" s="158" t="s">
        <f>"15010121125"</f>
        <v>3105</v>
      </c>
      <c r="E1677" s="158">
        <v>56.93</v>
      </c>
      <c r="F1677" s="158"/>
      <c r="G1677" s="158">
        <v>56.93</v>
      </c>
    </row>
    <row r="1678" spans="1:7" ht="32.999496" customHeight="1" x14ac:dyDescent="0.15">
      <c r="A1678" s="158">
        <v>1676.0</v>
      </c>
      <c r="B1678" s="158" t="s">
        <v>8</v>
      </c>
      <c r="C1678" s="158" t="s">
        <f>"乔雅璐"</f>
        <v>3106</v>
      </c>
      <c r="D1678" s="158" t="s">
        <f>"15010121126"</f>
        <v>3107</v>
      </c>
      <c r="E1678" s="158" t="s">
        <v>15</v>
      </c>
      <c r="F1678" s="158"/>
      <c r="G1678" s="158" t="s">
        <v>15</v>
      </c>
    </row>
    <row r="1679" spans="1:7" ht="32.999496" customHeight="1" x14ac:dyDescent="0.15">
      <c r="A1679" s="158">
        <v>1677.0</v>
      </c>
      <c r="B1679" s="158" t="s">
        <v>8</v>
      </c>
      <c r="C1679" s="158" t="s">
        <f>"白怡炯"</f>
        <v>3108</v>
      </c>
      <c r="D1679" s="158" t="s">
        <f>"15010121127"</f>
        <v>3109</v>
      </c>
      <c r="E1679" s="158">
        <v>49.68</v>
      </c>
      <c r="F1679" s="158"/>
      <c r="G1679" s="158">
        <v>49.68</v>
      </c>
    </row>
    <row r="1680" spans="1:7" ht="32.999496" customHeight="1" x14ac:dyDescent="0.15">
      <c r="A1680" s="158">
        <v>1678.0</v>
      </c>
      <c r="B1680" s="158" t="s">
        <v>8</v>
      </c>
      <c r="C1680" s="158" t="s">
        <f>"刘宁"</f>
        <v>3110</v>
      </c>
      <c r="D1680" s="158" t="s">
        <f>"15010121128"</f>
        <v>3111</v>
      </c>
      <c r="E1680" s="158" t="s">
        <v>15</v>
      </c>
      <c r="F1680" s="158"/>
      <c r="G1680" s="158" t="s">
        <v>15</v>
      </c>
    </row>
    <row r="1681" spans="1:7" ht="32.999496" customHeight="1" x14ac:dyDescent="0.15">
      <c r="A1681" s="158">
        <v>1679.0</v>
      </c>
      <c r="B1681" s="158" t="s">
        <v>8</v>
      </c>
      <c r="C1681" s="158" t="s">
        <f>"宋丹"</f>
        <v>3112</v>
      </c>
      <c r="D1681" s="158" t="s">
        <f>"15010121129"</f>
        <v>3113</v>
      </c>
      <c r="E1681" s="158">
        <v>51.57</v>
      </c>
      <c r="F1681" s="158"/>
      <c r="G1681" s="158">
        <v>51.57</v>
      </c>
    </row>
    <row r="1682" spans="1:7" ht="32.999496" customHeight="1" x14ac:dyDescent="0.15">
      <c r="A1682" s="158">
        <v>1680.0</v>
      </c>
      <c r="B1682" s="158" t="s">
        <v>8</v>
      </c>
      <c r="C1682" s="158" t="s">
        <f>"杨晓龙"</f>
        <v>3114</v>
      </c>
      <c r="D1682" s="158" t="s">
        <f>"15010121130"</f>
        <v>3115</v>
      </c>
      <c r="E1682" s="158" t="s">
        <v>15</v>
      </c>
      <c r="F1682" s="158"/>
      <c r="G1682" s="158" t="s">
        <v>15</v>
      </c>
    </row>
    <row r="1683" spans="1:7" ht="32.999496" customHeight="1" x14ac:dyDescent="0.15">
      <c r="A1683" s="158">
        <v>1681.0</v>
      </c>
      <c r="B1683" s="158" t="s">
        <v>8</v>
      </c>
      <c r="C1683" s="158" t="s">
        <f>"袁军"</f>
        <v>3116</v>
      </c>
      <c r="D1683" s="158" t="s">
        <f>"15010121201"</f>
        <v>3117</v>
      </c>
      <c r="E1683" s="158" t="s">
        <v>15</v>
      </c>
      <c r="F1683" s="158"/>
      <c r="G1683" s="158" t="s">
        <v>15</v>
      </c>
    </row>
    <row r="1684" spans="1:7" ht="32.999496" customHeight="1" x14ac:dyDescent="0.15">
      <c r="A1684" s="158">
        <v>1682.0</v>
      </c>
      <c r="B1684" s="158" t="s">
        <v>8</v>
      </c>
      <c r="C1684" s="158" t="s">
        <f>"苗宇"</f>
        <v>3118</v>
      </c>
      <c r="D1684" s="158" t="s">
        <f>"15010121202"</f>
        <v>3119</v>
      </c>
      <c r="E1684" s="158">
        <v>51.47</v>
      </c>
      <c r="F1684" s="158"/>
      <c r="G1684" s="158">
        <v>51.47</v>
      </c>
    </row>
    <row r="1685" spans="1:7" ht="32.999496" customHeight="1" x14ac:dyDescent="0.15">
      <c r="A1685" s="158">
        <v>1683.0</v>
      </c>
      <c r="B1685" s="158" t="s">
        <v>8</v>
      </c>
      <c r="C1685" s="158" t="s">
        <f>"王东芳"</f>
        <v>3120</v>
      </c>
      <c r="D1685" s="158" t="s">
        <f>"15010121203"</f>
        <v>3121</v>
      </c>
      <c r="E1685" s="158">
        <v>50.05</v>
      </c>
      <c r="F1685" s="158">
        <v>2.5</v>
      </c>
      <c r="G1685" s="158">
        <v>52.55</v>
      </c>
    </row>
    <row r="1686" spans="1:7" ht="32.999496" customHeight="1" x14ac:dyDescent="0.15">
      <c r="A1686" s="158">
        <v>1684.0</v>
      </c>
      <c r="B1686" s="158" t="s">
        <v>8</v>
      </c>
      <c r="C1686" s="158" t="s">
        <f>"乔飞"</f>
        <v>3122</v>
      </c>
      <c r="D1686" s="158" t="s">
        <f>"15010121204"</f>
        <v>3123</v>
      </c>
      <c r="E1686" s="158" t="s">
        <v>15</v>
      </c>
      <c r="F1686" s="158"/>
      <c r="G1686" s="158" t="s">
        <v>15</v>
      </c>
    </row>
    <row r="1687" spans="1:7" ht="32.999496" customHeight="1" x14ac:dyDescent="0.15">
      <c r="A1687" s="158">
        <v>1685.0</v>
      </c>
      <c r="B1687" s="158" t="s">
        <v>8</v>
      </c>
      <c r="C1687" s="158" t="s">
        <f>"杨阳"</f>
        <v>943</v>
      </c>
      <c r="D1687" s="158" t="s">
        <f>"15010121205"</f>
        <v>3124</v>
      </c>
      <c r="E1687" s="158">
        <v>38.03</v>
      </c>
      <c r="F1687" s="158"/>
      <c r="G1687" s="158">
        <v>38.03</v>
      </c>
    </row>
    <row r="1688" spans="1:7" ht="32.999496" customHeight="1" x14ac:dyDescent="0.15">
      <c r="A1688" s="158">
        <v>1686.0</v>
      </c>
      <c r="B1688" s="158" t="s">
        <v>8</v>
      </c>
      <c r="C1688" s="158" t="s">
        <f>"侯广宇"</f>
        <v>3125</v>
      </c>
      <c r="D1688" s="158" t="s">
        <f>"15010121206"</f>
        <v>3126</v>
      </c>
      <c r="E1688" s="158">
        <v>55.67</v>
      </c>
      <c r="F1688" s="158"/>
      <c r="G1688" s="158">
        <v>55.67</v>
      </c>
    </row>
    <row r="1689" spans="1:7" ht="32.999496" customHeight="1" x14ac:dyDescent="0.15">
      <c r="A1689" s="158">
        <v>1687.0</v>
      </c>
      <c r="B1689" s="158" t="s">
        <v>8</v>
      </c>
      <c r="C1689" s="158" t="s">
        <f>"李换"</f>
        <v>3127</v>
      </c>
      <c r="D1689" s="158" t="s">
        <f>"15010121207"</f>
        <v>3128</v>
      </c>
      <c r="E1689" s="158">
        <v>59.91</v>
      </c>
      <c r="F1689" s="158"/>
      <c r="G1689" s="158">
        <v>59.91</v>
      </c>
    </row>
    <row r="1690" spans="1:7" ht="32.999496" customHeight="1" x14ac:dyDescent="0.15">
      <c r="A1690" s="158">
        <v>1688.0</v>
      </c>
      <c r="B1690" s="158" t="s">
        <v>8</v>
      </c>
      <c r="C1690" s="158" t="s">
        <f>"张宇"</f>
        <v>913</v>
      </c>
      <c r="D1690" s="158" t="s">
        <f>"15010121208"</f>
        <v>3129</v>
      </c>
      <c r="E1690" s="158">
        <v>56.65</v>
      </c>
      <c r="F1690" s="158"/>
      <c r="G1690" s="158">
        <v>56.65</v>
      </c>
    </row>
    <row r="1691" spans="1:7" ht="32.999496" customHeight="1" x14ac:dyDescent="0.15">
      <c r="A1691" s="158">
        <v>1689.0</v>
      </c>
      <c r="B1691" s="158" t="s">
        <v>8</v>
      </c>
      <c r="C1691" s="158" t="s">
        <f>"何蕊"</f>
        <v>3130</v>
      </c>
      <c r="D1691" s="158" t="s">
        <f>"15010121209"</f>
        <v>3131</v>
      </c>
      <c r="E1691" s="158">
        <v>67.61</v>
      </c>
      <c r="F1691" s="158"/>
      <c r="G1691" s="158">
        <v>67.61</v>
      </c>
    </row>
    <row r="1692" spans="1:7" ht="32.999496" customHeight="1" x14ac:dyDescent="0.15">
      <c r="A1692" s="158">
        <v>1690.0</v>
      </c>
      <c r="B1692" s="158" t="s">
        <v>8</v>
      </c>
      <c r="C1692" s="158" t="s">
        <f>"高倩"</f>
        <v>102</v>
      </c>
      <c r="D1692" s="158" t="s">
        <f>"15010121210"</f>
        <v>3132</v>
      </c>
      <c r="E1692" s="158">
        <v>72.81</v>
      </c>
      <c r="F1692" s="158"/>
      <c r="G1692" s="158">
        <v>72.81</v>
      </c>
    </row>
    <row r="1693" spans="1:7" ht="32.999496" customHeight="1" x14ac:dyDescent="0.15">
      <c r="A1693" s="158">
        <v>1691.0</v>
      </c>
      <c r="B1693" s="158" t="s">
        <v>8</v>
      </c>
      <c r="C1693" s="158" t="s">
        <f>"牛江源"</f>
        <v>3133</v>
      </c>
      <c r="D1693" s="158" t="s">
        <f>"15010121211"</f>
        <v>3134</v>
      </c>
      <c r="E1693" s="158">
        <v>55.85</v>
      </c>
      <c r="F1693" s="158"/>
      <c r="G1693" s="158">
        <v>55.85</v>
      </c>
    </row>
    <row r="1694" spans="1:7" ht="32.999496" customHeight="1" x14ac:dyDescent="0.15">
      <c r="A1694" s="158">
        <v>1692.0</v>
      </c>
      <c r="B1694" s="158" t="s">
        <v>8</v>
      </c>
      <c r="C1694" s="158" t="s">
        <f>"刘宁"</f>
        <v>3110</v>
      </c>
      <c r="D1694" s="158" t="s">
        <f>"15010121212"</f>
        <v>3135</v>
      </c>
      <c r="E1694" s="158">
        <v>56.89</v>
      </c>
      <c r="F1694" s="158"/>
      <c r="G1694" s="158">
        <v>56.89</v>
      </c>
    </row>
    <row r="1695" spans="1:7" ht="32.999496" customHeight="1" x14ac:dyDescent="0.15">
      <c r="A1695" s="158">
        <v>1693.0</v>
      </c>
      <c r="B1695" s="158" t="s">
        <v>8</v>
      </c>
      <c r="C1695" s="158" t="s">
        <f>"张雪婷"</f>
        <v>3136</v>
      </c>
      <c r="D1695" s="158" t="s">
        <f>"15010121213"</f>
        <v>3137</v>
      </c>
      <c r="E1695" s="158">
        <v>52.45</v>
      </c>
      <c r="F1695" s="158"/>
      <c r="G1695" s="158">
        <v>52.45</v>
      </c>
    </row>
    <row r="1696" spans="1:7" ht="32.999496" customHeight="1" x14ac:dyDescent="0.15">
      <c r="A1696" s="158">
        <v>1694.0</v>
      </c>
      <c r="B1696" s="158" t="s">
        <v>8</v>
      </c>
      <c r="C1696" s="158" t="s">
        <f>"刘源"</f>
        <v>3138</v>
      </c>
      <c r="D1696" s="158" t="s">
        <f>"15010121214"</f>
        <v>3139</v>
      </c>
      <c r="E1696" s="158" t="s">
        <v>15</v>
      </c>
      <c r="F1696" s="158"/>
      <c r="G1696" s="158" t="s">
        <v>15</v>
      </c>
    </row>
    <row r="1697" spans="1:7" ht="32.999496" customHeight="1" x14ac:dyDescent="0.15">
      <c r="A1697" s="158">
        <v>1695.0</v>
      </c>
      <c r="B1697" s="158" t="s">
        <v>8</v>
      </c>
      <c r="C1697" s="158" t="s">
        <f>"闫敏"</f>
        <v>3140</v>
      </c>
      <c r="D1697" s="158" t="s">
        <f>"15010121215"</f>
        <v>3141</v>
      </c>
      <c r="E1697" s="158" t="s">
        <v>15</v>
      </c>
      <c r="F1697" s="158"/>
      <c r="G1697" s="158" t="s">
        <v>15</v>
      </c>
    </row>
    <row r="1698" spans="1:7" ht="32.999496" customHeight="1" x14ac:dyDescent="0.15">
      <c r="A1698" s="158">
        <v>1696.0</v>
      </c>
      <c r="B1698" s="158" t="s">
        <v>8</v>
      </c>
      <c r="C1698" s="158" t="s">
        <f>"屈瑞芬"</f>
        <v>3142</v>
      </c>
      <c r="D1698" s="158" t="s">
        <f>"15010121216"</f>
        <v>3143</v>
      </c>
      <c r="E1698" s="158">
        <v>23.99</v>
      </c>
      <c r="F1698" s="158"/>
      <c r="G1698" s="158">
        <v>23.99</v>
      </c>
    </row>
    <row r="1699" spans="1:7" ht="32.999496" customHeight="1" x14ac:dyDescent="0.15">
      <c r="A1699" s="158">
        <v>1697.0</v>
      </c>
      <c r="B1699" s="158" t="s">
        <v>8</v>
      </c>
      <c r="C1699" s="158" t="s">
        <f>"吕娇"</f>
        <v>3144</v>
      </c>
      <c r="D1699" s="158" t="s">
        <f>"15010121217"</f>
        <v>3145</v>
      </c>
      <c r="E1699" s="158" t="s">
        <v>15</v>
      </c>
      <c r="F1699" s="158"/>
      <c r="G1699" s="158" t="s">
        <v>15</v>
      </c>
    </row>
    <row r="1700" spans="1:7" ht="32.999496" customHeight="1" x14ac:dyDescent="0.15">
      <c r="A1700" s="158">
        <v>1698.0</v>
      </c>
      <c r="B1700" s="158" t="s">
        <v>8</v>
      </c>
      <c r="C1700" s="158" t="s">
        <f>"杜伟"</f>
        <v>3146</v>
      </c>
      <c r="D1700" s="158" t="s">
        <f>"15010121218"</f>
        <v>3147</v>
      </c>
      <c r="E1700" s="158">
        <v>55.48</v>
      </c>
      <c r="F1700" s="158"/>
      <c r="G1700" s="158">
        <v>55.48</v>
      </c>
    </row>
    <row r="1701" spans="1:7" ht="32.999496" customHeight="1" x14ac:dyDescent="0.15">
      <c r="A1701" s="158">
        <v>1699.0</v>
      </c>
      <c r="B1701" s="158" t="s">
        <v>8</v>
      </c>
      <c r="C1701" s="158" t="s">
        <f>"刘陈龙"</f>
        <v>3148</v>
      </c>
      <c r="D1701" s="158" t="s">
        <f>"15010121219"</f>
        <v>3149</v>
      </c>
      <c r="E1701" s="158">
        <v>58.41</v>
      </c>
      <c r="F1701" s="158"/>
      <c r="G1701" s="158">
        <v>58.41</v>
      </c>
    </row>
    <row r="1702" spans="1:7" ht="32.999496" customHeight="1" x14ac:dyDescent="0.15">
      <c r="A1702" s="158">
        <v>1700.0</v>
      </c>
      <c r="B1702" s="158" t="s">
        <v>8</v>
      </c>
      <c r="C1702" s="158" t="s">
        <f>"张利平"</f>
        <v>1199</v>
      </c>
      <c r="D1702" s="158" t="s">
        <f>"15010121220"</f>
        <v>3150</v>
      </c>
      <c r="E1702" s="158">
        <v>55.18</v>
      </c>
      <c r="F1702" s="158"/>
      <c r="G1702" s="158">
        <v>55.18</v>
      </c>
    </row>
    <row r="1703" spans="1:7" ht="32.999496" customHeight="1" x14ac:dyDescent="0.15">
      <c r="A1703" s="158">
        <v>1701.0</v>
      </c>
      <c r="B1703" s="158" t="s">
        <v>8</v>
      </c>
      <c r="C1703" s="158" t="s">
        <f>"马英"</f>
        <v>3151</v>
      </c>
      <c r="D1703" s="158" t="s">
        <f>"15010121221"</f>
        <v>3152</v>
      </c>
      <c r="E1703" s="158">
        <v>48.05</v>
      </c>
      <c r="F1703" s="158"/>
      <c r="G1703" s="158">
        <v>48.05</v>
      </c>
    </row>
    <row r="1704" spans="1:7" ht="32.999496" customHeight="1" x14ac:dyDescent="0.15">
      <c r="A1704" s="158">
        <v>1702.0</v>
      </c>
      <c r="B1704" s="158" t="s">
        <v>8</v>
      </c>
      <c r="C1704" s="158" t="s">
        <f>"王如愿"</f>
        <v>3153</v>
      </c>
      <c r="D1704" s="158" t="s">
        <f>"15010121222"</f>
        <v>3154</v>
      </c>
      <c r="E1704" s="158" t="s">
        <v>15</v>
      </c>
      <c r="F1704" s="158"/>
      <c r="G1704" s="158" t="s">
        <v>15</v>
      </c>
    </row>
    <row r="1705" spans="1:7" ht="32.999496" customHeight="1" x14ac:dyDescent="0.15">
      <c r="A1705" s="158">
        <v>1703.0</v>
      </c>
      <c r="B1705" s="158" t="s">
        <v>8</v>
      </c>
      <c r="C1705" s="158" t="s">
        <f>"王荣"</f>
        <v>1279</v>
      </c>
      <c r="D1705" s="158" t="s">
        <f>"15010121223"</f>
        <v>3155</v>
      </c>
      <c r="E1705" s="158">
        <v>26.16</v>
      </c>
      <c r="F1705" s="158"/>
      <c r="G1705" s="158">
        <v>26.16</v>
      </c>
    </row>
    <row r="1706" spans="1:7" ht="32.999496" customHeight="1" x14ac:dyDescent="0.15">
      <c r="A1706" s="158">
        <v>1704.0</v>
      </c>
      <c r="B1706" s="158" t="s">
        <v>8</v>
      </c>
      <c r="C1706" s="158" t="s">
        <f>"谢学敏"</f>
        <v>3156</v>
      </c>
      <c r="D1706" s="158" t="s">
        <f>"15010121224"</f>
        <v>3157</v>
      </c>
      <c r="E1706" s="158" t="s">
        <v>15</v>
      </c>
      <c r="F1706" s="158"/>
      <c r="G1706" s="158" t="s">
        <v>15</v>
      </c>
    </row>
    <row r="1707" spans="1:7" ht="32.999496" customHeight="1" x14ac:dyDescent="0.15">
      <c r="A1707" s="158">
        <v>1705.0</v>
      </c>
      <c r="B1707" s="158" t="s">
        <v>8</v>
      </c>
      <c r="C1707" s="158" t="s">
        <f>"袁媛"</f>
        <v>967</v>
      </c>
      <c r="D1707" s="158" t="s">
        <f>"15010121225"</f>
        <v>3158</v>
      </c>
      <c r="E1707" s="158" t="s">
        <v>15</v>
      </c>
      <c r="F1707" s="158"/>
      <c r="G1707" s="158" t="s">
        <v>15</v>
      </c>
    </row>
    <row r="1708" spans="1:7" ht="32.999496" customHeight="1" x14ac:dyDescent="0.15">
      <c r="A1708" s="158">
        <v>1706.0</v>
      </c>
      <c r="B1708" s="158" t="s">
        <v>8</v>
      </c>
      <c r="C1708" s="158" t="s">
        <f>"李鲜萍"</f>
        <v>3159</v>
      </c>
      <c r="D1708" s="158" t="s">
        <f>"15010121226"</f>
        <v>3160</v>
      </c>
      <c r="E1708" s="158" t="s">
        <v>15</v>
      </c>
      <c r="F1708" s="158"/>
      <c r="G1708" s="158" t="s">
        <v>15</v>
      </c>
    </row>
    <row r="1709" spans="1:7" ht="32.999496" customHeight="1" x14ac:dyDescent="0.15">
      <c r="A1709" s="158">
        <v>1707.0</v>
      </c>
      <c r="B1709" s="158" t="s">
        <v>8</v>
      </c>
      <c r="C1709" s="158" t="s">
        <f>"张晓微"</f>
        <v>3161</v>
      </c>
      <c r="D1709" s="158" t="s">
        <f>"15010121227"</f>
        <v>3162</v>
      </c>
      <c r="E1709" s="158" t="s">
        <v>15</v>
      </c>
      <c r="F1709" s="158"/>
      <c r="G1709" s="158" t="s">
        <v>15</v>
      </c>
    </row>
    <row r="1710" spans="1:7" ht="32.999496" customHeight="1" x14ac:dyDescent="0.15">
      <c r="A1710" s="158">
        <v>1708.0</v>
      </c>
      <c r="B1710" s="158" t="s">
        <v>8</v>
      </c>
      <c r="C1710" s="158" t="s">
        <f>"杨波"</f>
        <v>3163</v>
      </c>
      <c r="D1710" s="158" t="s">
        <f>"15010121228"</f>
        <v>3164</v>
      </c>
      <c r="E1710" s="158">
        <v>60.1</v>
      </c>
      <c r="F1710" s="158"/>
      <c r="G1710" s="158">
        <v>60.1</v>
      </c>
    </row>
    <row r="1711" spans="1:7" ht="32.999496" customHeight="1" x14ac:dyDescent="0.15">
      <c r="A1711" s="158">
        <v>1709.0</v>
      </c>
      <c r="B1711" s="158" t="s">
        <v>8</v>
      </c>
      <c r="C1711" s="158" t="s">
        <f>"王永伟"</f>
        <v>3165</v>
      </c>
      <c r="D1711" s="158" t="s">
        <f>"15010121229"</f>
        <v>3166</v>
      </c>
      <c r="E1711" s="158" t="s">
        <v>15</v>
      </c>
      <c r="F1711" s="158"/>
      <c r="G1711" s="158" t="s">
        <v>15</v>
      </c>
    </row>
    <row r="1712" spans="1:7" ht="32.999496" customHeight="1" x14ac:dyDescent="0.15">
      <c r="A1712" s="158">
        <v>1710.0</v>
      </c>
      <c r="B1712" s="158" t="s">
        <v>8</v>
      </c>
      <c r="C1712" s="158" t="s">
        <f>"李帅"</f>
        <v>3167</v>
      </c>
      <c r="D1712" s="158" t="s">
        <f>"15010121230"</f>
        <v>3168</v>
      </c>
      <c r="E1712" s="158">
        <v>57.28</v>
      </c>
      <c r="F1712" s="158"/>
      <c r="G1712" s="158">
        <v>57.28</v>
      </c>
    </row>
    <row r="1713" spans="1:7" ht="32.999496" customHeight="1" x14ac:dyDescent="0.15">
      <c r="A1713" s="158">
        <v>1711.0</v>
      </c>
      <c r="B1713" s="158" t="s">
        <v>8</v>
      </c>
      <c r="C1713" s="158" t="s">
        <f>"高瑞"</f>
        <v>212</v>
      </c>
      <c r="D1713" s="158" t="s">
        <f>"15010121301"</f>
        <v>3169</v>
      </c>
      <c r="E1713" s="158">
        <v>59.3</v>
      </c>
      <c r="F1713" s="158"/>
      <c r="G1713" s="158">
        <v>59.3</v>
      </c>
    </row>
    <row r="1714" spans="1:7" ht="32.999496" customHeight="1" x14ac:dyDescent="0.15">
      <c r="A1714" s="158">
        <v>1712.0</v>
      </c>
      <c r="B1714" s="158" t="s">
        <v>8</v>
      </c>
      <c r="C1714" s="158" t="s">
        <f>"张永丽"</f>
        <v>3170</v>
      </c>
      <c r="D1714" s="158" t="s">
        <f>"15010121302"</f>
        <v>3171</v>
      </c>
      <c r="E1714" s="158" t="s">
        <v>15</v>
      </c>
      <c r="F1714" s="158"/>
      <c r="G1714" s="158" t="s">
        <v>15</v>
      </c>
    </row>
    <row r="1715" spans="1:7" ht="32.999496" customHeight="1" x14ac:dyDescent="0.15">
      <c r="A1715" s="158">
        <v>1713.0</v>
      </c>
      <c r="B1715" s="158" t="s">
        <v>8</v>
      </c>
      <c r="C1715" s="158" t="s">
        <f>"高磊"</f>
        <v>1177</v>
      </c>
      <c r="D1715" s="158" t="s">
        <f>"15010121303"</f>
        <v>3172</v>
      </c>
      <c r="E1715" s="158">
        <v>60.19</v>
      </c>
      <c r="F1715" s="158"/>
      <c r="G1715" s="158">
        <v>60.19</v>
      </c>
    </row>
    <row r="1716" spans="1:7" ht="32.999496" customHeight="1" x14ac:dyDescent="0.15">
      <c r="A1716" s="158">
        <v>1714.0</v>
      </c>
      <c r="B1716" s="158" t="s">
        <v>8</v>
      </c>
      <c r="C1716" s="158" t="s">
        <f>"杨娜"</f>
        <v>534</v>
      </c>
      <c r="D1716" s="158" t="s">
        <f>"15010121304"</f>
        <v>3173</v>
      </c>
      <c r="E1716" s="158" t="s">
        <v>15</v>
      </c>
      <c r="F1716" s="158"/>
      <c r="G1716" s="158" t="s">
        <v>15</v>
      </c>
    </row>
    <row r="1717" spans="1:7" ht="32.999496" customHeight="1" x14ac:dyDescent="0.15">
      <c r="A1717" s="158">
        <v>1715.0</v>
      </c>
      <c r="B1717" s="158" t="s">
        <v>8</v>
      </c>
      <c r="C1717" s="158" t="s">
        <f>"杨泽龙"</f>
        <v>3174</v>
      </c>
      <c r="D1717" s="158" t="s">
        <f>"15010121305"</f>
        <v>3175</v>
      </c>
      <c r="E1717" s="158">
        <v>61.19</v>
      </c>
      <c r="F1717" s="158"/>
      <c r="G1717" s="158">
        <v>61.19</v>
      </c>
    </row>
    <row r="1718" spans="1:7" ht="32.999496" customHeight="1" x14ac:dyDescent="0.15">
      <c r="A1718" s="158">
        <v>1716.0</v>
      </c>
      <c r="B1718" s="158" t="s">
        <v>8</v>
      </c>
      <c r="C1718" s="158" t="s">
        <f>"段梦瑶"</f>
        <v>3176</v>
      </c>
      <c r="D1718" s="158" t="s">
        <f>"15010121306"</f>
        <v>3177</v>
      </c>
      <c r="E1718" s="158" t="s">
        <v>15</v>
      </c>
      <c r="F1718" s="158"/>
      <c r="G1718" s="158" t="s">
        <v>15</v>
      </c>
    </row>
    <row r="1719" spans="1:7" ht="32.999496" customHeight="1" x14ac:dyDescent="0.15">
      <c r="A1719" s="158">
        <v>1717.0</v>
      </c>
      <c r="B1719" s="158" t="s">
        <v>8</v>
      </c>
      <c r="C1719" s="158" t="s">
        <f>"毕利格图"</f>
        <v>3178</v>
      </c>
      <c r="D1719" s="158" t="s">
        <f>"15010121307"</f>
        <v>3179</v>
      </c>
      <c r="E1719" s="158">
        <v>44.68</v>
      </c>
      <c r="F1719" s="158">
        <v>2.5</v>
      </c>
      <c r="G1719" s="158">
        <v>47.18</v>
      </c>
    </row>
    <row r="1720" spans="1:7" ht="32.999496" customHeight="1" x14ac:dyDescent="0.15">
      <c r="A1720" s="158">
        <v>1718.0</v>
      </c>
      <c r="B1720" s="158" t="s">
        <v>8</v>
      </c>
      <c r="C1720" s="158" t="s">
        <f>"越茹"</f>
        <v>3180</v>
      </c>
      <c r="D1720" s="158" t="s">
        <f>"15010121308"</f>
        <v>3181</v>
      </c>
      <c r="E1720" s="158">
        <v>48.85</v>
      </c>
      <c r="F1720" s="158"/>
      <c r="G1720" s="158">
        <v>48.85</v>
      </c>
    </row>
    <row r="1721" spans="1:7" ht="32.999496" customHeight="1" x14ac:dyDescent="0.15">
      <c r="A1721" s="158">
        <v>1719.0</v>
      </c>
      <c r="B1721" s="158" t="s">
        <v>8</v>
      </c>
      <c r="C1721" s="158" t="s">
        <f>"胡俊羽"</f>
        <v>3182</v>
      </c>
      <c r="D1721" s="158" t="s">
        <f>"15010121309"</f>
        <v>3183</v>
      </c>
      <c r="E1721" s="158" t="s">
        <v>15</v>
      </c>
      <c r="F1721" s="158"/>
      <c r="G1721" s="158" t="s">
        <v>15</v>
      </c>
    </row>
    <row r="1722" spans="1:7" ht="32.999496" customHeight="1" x14ac:dyDescent="0.15">
      <c r="A1722" s="158">
        <v>1720.0</v>
      </c>
      <c r="B1722" s="158" t="s">
        <v>8</v>
      </c>
      <c r="C1722" s="158" t="s">
        <f>"刘芬"</f>
        <v>3184</v>
      </c>
      <c r="D1722" s="158" t="s">
        <f>"15010121310"</f>
        <v>3185</v>
      </c>
      <c r="E1722" s="158" t="s">
        <v>15</v>
      </c>
      <c r="F1722" s="158"/>
      <c r="G1722" s="158" t="s">
        <v>15</v>
      </c>
    </row>
    <row r="1723" spans="1:7" ht="32.999496" customHeight="1" x14ac:dyDescent="0.15">
      <c r="A1723" s="158">
        <v>1721.0</v>
      </c>
      <c r="B1723" s="158" t="s">
        <v>8</v>
      </c>
      <c r="C1723" s="158" t="s">
        <f>"冯帅"</f>
        <v>3186</v>
      </c>
      <c r="D1723" s="158" t="s">
        <f>"15010121311"</f>
        <v>3187</v>
      </c>
      <c r="E1723" s="158">
        <v>53.94</v>
      </c>
      <c r="F1723" s="158"/>
      <c r="G1723" s="158">
        <v>53.94</v>
      </c>
    </row>
    <row r="1724" spans="1:7" ht="32.999496" customHeight="1" x14ac:dyDescent="0.15">
      <c r="A1724" s="158">
        <v>1722.0</v>
      </c>
      <c r="B1724" s="158" t="s">
        <v>8</v>
      </c>
      <c r="C1724" s="158" t="s">
        <f>"王东伟"</f>
        <v>3188</v>
      </c>
      <c r="D1724" s="158" t="s">
        <f>"15010121312"</f>
        <v>3189</v>
      </c>
      <c r="E1724" s="158" t="s">
        <v>15</v>
      </c>
      <c r="F1724" s="158"/>
      <c r="G1724" s="158" t="s">
        <v>15</v>
      </c>
    </row>
    <row r="1725" spans="1:7" ht="32.999496" customHeight="1" x14ac:dyDescent="0.15">
      <c r="A1725" s="158">
        <v>1723.0</v>
      </c>
      <c r="B1725" s="158" t="s">
        <v>8</v>
      </c>
      <c r="C1725" s="158" t="s">
        <f>"刘耀坊"</f>
        <v>3190</v>
      </c>
      <c r="D1725" s="158" t="s">
        <f>"15010121313"</f>
        <v>3191</v>
      </c>
      <c r="E1725" s="158" t="s">
        <v>15</v>
      </c>
      <c r="F1725" s="158"/>
      <c r="G1725" s="158" t="s">
        <v>15</v>
      </c>
    </row>
    <row r="1726" spans="1:7" ht="32.999496" customHeight="1" x14ac:dyDescent="0.15">
      <c r="A1726" s="158">
        <v>1724.0</v>
      </c>
      <c r="B1726" s="158" t="s">
        <v>8</v>
      </c>
      <c r="C1726" s="158" t="s">
        <f>"许慧媛"</f>
        <v>3192</v>
      </c>
      <c r="D1726" s="158" t="s">
        <f>"15010121314"</f>
        <v>3193</v>
      </c>
      <c r="E1726" s="158">
        <v>54.3</v>
      </c>
      <c r="F1726" s="158"/>
      <c r="G1726" s="158">
        <v>54.3</v>
      </c>
    </row>
    <row r="1727" spans="1:7" ht="32.999496" customHeight="1" x14ac:dyDescent="0.15">
      <c r="A1727" s="158">
        <v>1725.0</v>
      </c>
      <c r="B1727" s="158" t="s">
        <v>8</v>
      </c>
      <c r="C1727" s="158" t="s">
        <f>"张燕"</f>
        <v>3194</v>
      </c>
      <c r="D1727" s="158" t="s">
        <f>"15010121315"</f>
        <v>3195</v>
      </c>
      <c r="E1727" s="158">
        <v>58.2</v>
      </c>
      <c r="F1727" s="158"/>
      <c r="G1727" s="158">
        <v>58.2</v>
      </c>
    </row>
    <row r="1728" spans="1:7" ht="32.999496" customHeight="1" x14ac:dyDescent="0.15">
      <c r="A1728" s="158">
        <v>1726.0</v>
      </c>
      <c r="B1728" s="158" t="s">
        <v>8</v>
      </c>
      <c r="C1728" s="158" t="s">
        <f>"高婷"</f>
        <v>3196</v>
      </c>
      <c r="D1728" s="158" t="s">
        <f>"15010121316"</f>
        <v>3197</v>
      </c>
      <c r="E1728" s="158">
        <v>31.55</v>
      </c>
      <c r="F1728" s="158"/>
      <c r="G1728" s="158">
        <v>31.55</v>
      </c>
    </row>
    <row r="1729" spans="1:7" ht="32.999496" customHeight="1" x14ac:dyDescent="0.15">
      <c r="A1729" s="158">
        <v>1727.0</v>
      </c>
      <c r="B1729" s="158" t="s">
        <v>8</v>
      </c>
      <c r="C1729" s="158" t="s">
        <f>"杨婧"</f>
        <v>3198</v>
      </c>
      <c r="D1729" s="158" t="s">
        <f>"15010121317"</f>
        <v>3199</v>
      </c>
      <c r="E1729" s="158">
        <v>48.94</v>
      </c>
      <c r="F1729" s="158"/>
      <c r="G1729" s="158">
        <v>48.94</v>
      </c>
    </row>
    <row r="1730" spans="1:7" ht="32.999496" customHeight="1" x14ac:dyDescent="0.15">
      <c r="A1730" s="158">
        <v>1728.0</v>
      </c>
      <c r="B1730" s="158" t="s">
        <v>8</v>
      </c>
      <c r="C1730" s="158" t="s">
        <f>"杨荣"</f>
        <v>3200</v>
      </c>
      <c r="D1730" s="158" t="s">
        <f>"15010121318"</f>
        <v>3201</v>
      </c>
      <c r="E1730" s="158">
        <v>35.64</v>
      </c>
      <c r="F1730" s="158"/>
      <c r="G1730" s="158">
        <v>35.64</v>
      </c>
    </row>
    <row r="1731" spans="1:7" ht="32.999496" customHeight="1" x14ac:dyDescent="0.15">
      <c r="A1731" s="158">
        <v>1729.0</v>
      </c>
      <c r="B1731" s="158" t="s">
        <v>8</v>
      </c>
      <c r="C1731" s="158" t="s">
        <f>"张晓娟"</f>
        <v>3202</v>
      </c>
      <c r="D1731" s="158" t="s">
        <f>"15010121319"</f>
        <v>3203</v>
      </c>
      <c r="E1731" s="158">
        <v>53.7</v>
      </c>
      <c r="F1731" s="158"/>
      <c r="G1731" s="158">
        <v>53.7</v>
      </c>
    </row>
    <row r="1732" spans="1:7" ht="32.999496" customHeight="1" x14ac:dyDescent="0.15">
      <c r="A1732" s="158">
        <v>1730.0</v>
      </c>
      <c r="B1732" s="158" t="s">
        <v>8</v>
      </c>
      <c r="C1732" s="158" t="s">
        <f>"刘娟"</f>
        <v>1526</v>
      </c>
      <c r="D1732" s="158" t="s">
        <f>"15010121320"</f>
        <v>3204</v>
      </c>
      <c r="E1732" s="158">
        <v>52.13</v>
      </c>
      <c r="F1732" s="158"/>
      <c r="G1732" s="158">
        <v>52.13</v>
      </c>
    </row>
    <row r="1733" spans="1:7" ht="32.999496" customHeight="1" x14ac:dyDescent="0.15">
      <c r="A1733" s="158">
        <v>1731.0</v>
      </c>
      <c r="B1733" s="158" t="s">
        <v>8</v>
      </c>
      <c r="C1733" s="158" t="s">
        <f>"郝红红"</f>
        <v>1023</v>
      </c>
      <c r="D1733" s="158" t="s">
        <f>"15010121321"</f>
        <v>3205</v>
      </c>
      <c r="E1733" s="158">
        <v>68.92</v>
      </c>
      <c r="F1733" s="158"/>
      <c r="G1733" s="158">
        <v>68.92</v>
      </c>
    </row>
    <row r="1734" spans="1:7" ht="32.999496" customHeight="1" x14ac:dyDescent="0.15">
      <c r="A1734" s="158">
        <v>1732.0</v>
      </c>
      <c r="B1734" s="158" t="s">
        <v>8</v>
      </c>
      <c r="C1734" s="158" t="s">
        <f>"刘浩"</f>
        <v>334</v>
      </c>
      <c r="D1734" s="158" t="s">
        <f>"15010121322"</f>
        <v>3206</v>
      </c>
      <c r="E1734" s="158" t="s">
        <v>15</v>
      </c>
      <c r="F1734" s="158"/>
      <c r="G1734" s="158" t="s">
        <v>15</v>
      </c>
    </row>
    <row r="1735" spans="1:7" ht="32.999496" customHeight="1" x14ac:dyDescent="0.15">
      <c r="A1735" s="158">
        <v>1733.0</v>
      </c>
      <c r="B1735" s="158" t="s">
        <v>8</v>
      </c>
      <c r="C1735" s="158" t="s">
        <f>"赵海龙"</f>
        <v>3207</v>
      </c>
      <c r="D1735" s="158" t="s">
        <f>"15010121323"</f>
        <v>3208</v>
      </c>
      <c r="E1735" s="158">
        <v>58.730000000000004</v>
      </c>
      <c r="F1735" s="158"/>
      <c r="G1735" s="158">
        <v>58.730000000000004</v>
      </c>
    </row>
    <row r="1736" spans="1:7" ht="32.999496" customHeight="1" x14ac:dyDescent="0.15">
      <c r="A1736" s="158">
        <v>1734.0</v>
      </c>
      <c r="B1736" s="158" t="s">
        <v>8</v>
      </c>
      <c r="C1736" s="158" t="s">
        <f>"陈瑞"</f>
        <v>3209</v>
      </c>
      <c r="D1736" s="158" t="s">
        <f>"15010121324"</f>
        <v>3210</v>
      </c>
      <c r="E1736" s="158">
        <v>53.96</v>
      </c>
      <c r="F1736" s="158"/>
      <c r="G1736" s="158">
        <v>53.96</v>
      </c>
    </row>
    <row r="1737" spans="1:7" ht="32.999496" customHeight="1" x14ac:dyDescent="0.15">
      <c r="A1737" s="158">
        <v>1735.0</v>
      </c>
      <c r="B1737" s="158" t="s">
        <v>8</v>
      </c>
      <c r="C1737" s="158" t="s">
        <f>"李盈萱"</f>
        <v>3211</v>
      </c>
      <c r="D1737" s="158" t="s">
        <f>"15010121325"</f>
        <v>3212</v>
      </c>
      <c r="E1737" s="158" t="s">
        <v>15</v>
      </c>
      <c r="F1737" s="158"/>
      <c r="G1737" s="158" t="s">
        <v>15</v>
      </c>
    </row>
    <row r="1738" spans="1:7" ht="32.999496" customHeight="1" x14ac:dyDescent="0.15">
      <c r="A1738" s="158">
        <v>1736.0</v>
      </c>
      <c r="B1738" s="158" t="s">
        <v>8</v>
      </c>
      <c r="C1738" s="158" t="s">
        <f>"张珂嘉"</f>
        <v>3213</v>
      </c>
      <c r="D1738" s="158" t="s">
        <f>"15010121326"</f>
        <v>3214</v>
      </c>
      <c r="E1738" s="158">
        <v>56.85</v>
      </c>
      <c r="F1738" s="158"/>
      <c r="G1738" s="158">
        <v>56.85</v>
      </c>
    </row>
    <row r="1739" spans="1:7" ht="32.999496" customHeight="1" x14ac:dyDescent="0.15">
      <c r="A1739" s="158">
        <v>1737.0</v>
      </c>
      <c r="B1739" s="158" t="s">
        <v>8</v>
      </c>
      <c r="C1739" s="158" t="s">
        <f>"潘轩"</f>
        <v>3215</v>
      </c>
      <c r="D1739" s="158" t="s">
        <f>"15010121327"</f>
        <v>3216</v>
      </c>
      <c r="E1739" s="158" t="s">
        <v>15</v>
      </c>
      <c r="F1739" s="158"/>
      <c r="G1739" s="158" t="s">
        <v>15</v>
      </c>
    </row>
    <row r="1740" spans="1:7" ht="32.999496" customHeight="1" x14ac:dyDescent="0.15">
      <c r="A1740" s="158">
        <v>1738.0</v>
      </c>
      <c r="B1740" s="158" t="s">
        <v>8</v>
      </c>
      <c r="C1740" s="158" t="s">
        <f>"张鑫"</f>
        <v>250</v>
      </c>
      <c r="D1740" s="158" t="s">
        <f>"15010121328"</f>
        <v>3217</v>
      </c>
      <c r="E1740" s="158" t="s">
        <v>15</v>
      </c>
      <c r="F1740" s="158"/>
      <c r="G1740" s="158" t="s">
        <v>15</v>
      </c>
    </row>
    <row r="1741" spans="1:7" ht="32.999496" customHeight="1" x14ac:dyDescent="0.15">
      <c r="A1741" s="158">
        <v>1739.0</v>
      </c>
      <c r="B1741" s="158" t="s">
        <v>8</v>
      </c>
      <c r="C1741" s="158" t="s">
        <f>"折梦怡"</f>
        <v>3218</v>
      </c>
      <c r="D1741" s="158" t="s">
        <f>"15010121329"</f>
        <v>3219</v>
      </c>
      <c r="E1741" s="158">
        <v>61.78</v>
      </c>
      <c r="F1741" s="158"/>
      <c r="G1741" s="158">
        <v>61.78</v>
      </c>
    </row>
    <row r="1742" spans="1:7" ht="32.999496" customHeight="1" x14ac:dyDescent="0.15">
      <c r="A1742" s="158">
        <v>1740.0</v>
      </c>
      <c r="B1742" s="158" t="s">
        <v>8</v>
      </c>
      <c r="C1742" s="158" t="s">
        <f>"李珂"</f>
        <v>3220</v>
      </c>
      <c r="D1742" s="158" t="s">
        <f>"15010121330"</f>
        <v>3221</v>
      </c>
      <c r="E1742" s="158">
        <v>63.86</v>
      </c>
      <c r="F1742" s="158"/>
      <c r="G1742" s="158">
        <v>63.86</v>
      </c>
    </row>
    <row r="1743" spans="1:7" ht="32.999496" customHeight="1" x14ac:dyDescent="0.15">
      <c r="A1743" s="158">
        <v>1741.0</v>
      </c>
      <c r="B1743" s="158" t="s">
        <v>8</v>
      </c>
      <c r="C1743" s="158" t="s">
        <f>"安娜"</f>
        <v>3222</v>
      </c>
      <c r="D1743" s="158" t="s">
        <f>"15010121401"</f>
        <v>3223</v>
      </c>
      <c r="E1743" s="158" t="s">
        <v>15</v>
      </c>
      <c r="F1743" s="158"/>
      <c r="G1743" s="158" t="s">
        <v>15</v>
      </c>
    </row>
    <row r="1744" spans="1:7" ht="32.999496" customHeight="1" x14ac:dyDescent="0.15">
      <c r="A1744" s="158">
        <v>1742.0</v>
      </c>
      <c r="B1744" s="158" t="s">
        <v>8</v>
      </c>
      <c r="C1744" s="158" t="s">
        <f>"刘晓丽"</f>
        <v>3224</v>
      </c>
      <c r="D1744" s="158" t="s">
        <f>"15010121402"</f>
        <v>3225</v>
      </c>
      <c r="E1744" s="158">
        <v>48.269999999999996</v>
      </c>
      <c r="F1744" s="158"/>
      <c r="G1744" s="158">
        <v>48.269999999999996</v>
      </c>
    </row>
    <row r="1745" spans="1:7" ht="32.999496" customHeight="1" x14ac:dyDescent="0.15">
      <c r="A1745" s="158">
        <v>1743.0</v>
      </c>
      <c r="B1745" s="158" t="s">
        <v>8</v>
      </c>
      <c r="C1745" s="158" t="s">
        <f>"王利强"</f>
        <v>3226</v>
      </c>
      <c r="D1745" s="158" t="s">
        <f>"15010121403"</f>
        <v>3227</v>
      </c>
      <c r="E1745" s="158">
        <v>67.45</v>
      </c>
      <c r="F1745" s="158"/>
      <c r="G1745" s="158">
        <v>67.45</v>
      </c>
    </row>
    <row r="1746" spans="1:7" ht="32.999496" customHeight="1" x14ac:dyDescent="0.15">
      <c r="A1746" s="158">
        <v>1744.0</v>
      </c>
      <c r="B1746" s="158" t="s">
        <v>8</v>
      </c>
      <c r="C1746" s="158" t="s">
        <f>"李思雨"</f>
        <v>3228</v>
      </c>
      <c r="D1746" s="158" t="s">
        <f>"15010121404"</f>
        <v>3229</v>
      </c>
      <c r="E1746" s="158" t="s">
        <v>15</v>
      </c>
      <c r="F1746" s="158"/>
      <c r="G1746" s="158" t="s">
        <v>15</v>
      </c>
    </row>
    <row r="1747" spans="1:7" ht="32.999496" customHeight="1" x14ac:dyDescent="0.15">
      <c r="A1747" s="158">
        <v>1745.0</v>
      </c>
      <c r="B1747" s="158" t="s">
        <v>8</v>
      </c>
      <c r="C1747" s="158" t="s">
        <f>"宋杰"</f>
        <v>3230</v>
      </c>
      <c r="D1747" s="158" t="s">
        <f>"15010121405"</f>
        <v>3231</v>
      </c>
      <c r="E1747" s="158">
        <v>51.61</v>
      </c>
      <c r="F1747" s="158"/>
      <c r="G1747" s="158">
        <v>51.61</v>
      </c>
    </row>
    <row r="1748" spans="1:7" ht="32.999496" customHeight="1" x14ac:dyDescent="0.15">
      <c r="A1748" s="158">
        <v>1746.0</v>
      </c>
      <c r="B1748" s="158" t="s">
        <v>8</v>
      </c>
      <c r="C1748" s="158" t="s">
        <f>"刘庆"</f>
        <v>3232</v>
      </c>
      <c r="D1748" s="158" t="s">
        <f>"15010121406"</f>
        <v>3233</v>
      </c>
      <c r="E1748" s="158">
        <v>53.09</v>
      </c>
      <c r="F1748" s="158"/>
      <c r="G1748" s="158">
        <v>53.09</v>
      </c>
    </row>
    <row r="1749" spans="1:7" ht="32.999496" customHeight="1" x14ac:dyDescent="0.15">
      <c r="A1749" s="158">
        <v>1747.0</v>
      </c>
      <c r="B1749" s="158" t="s">
        <v>8</v>
      </c>
      <c r="C1749" s="158" t="s">
        <f>"王宇蒙"</f>
        <v>3234</v>
      </c>
      <c r="D1749" s="158" t="s">
        <f>"15010121407"</f>
        <v>3235</v>
      </c>
      <c r="E1749" s="158">
        <v>52.05</v>
      </c>
      <c r="F1749" s="158"/>
      <c r="G1749" s="158">
        <v>52.05</v>
      </c>
    </row>
    <row r="1750" spans="1:7" ht="32.999496" customHeight="1" x14ac:dyDescent="0.15">
      <c r="A1750" s="158">
        <v>1748.0</v>
      </c>
      <c r="B1750" s="158" t="s">
        <v>8</v>
      </c>
      <c r="C1750" s="158" t="s">
        <f>"王伟"</f>
        <v>660</v>
      </c>
      <c r="D1750" s="158" t="s">
        <f>"15010121408"</f>
        <v>3236</v>
      </c>
      <c r="E1750" s="158" t="s">
        <v>15</v>
      </c>
      <c r="F1750" s="158"/>
      <c r="G1750" s="158" t="s">
        <v>15</v>
      </c>
    </row>
    <row r="1751" spans="1:7" ht="32.999496" customHeight="1" x14ac:dyDescent="0.15">
      <c r="A1751" s="158">
        <v>1749.0</v>
      </c>
      <c r="B1751" s="158" t="s">
        <v>8</v>
      </c>
      <c r="C1751" s="158" t="s">
        <f>"张瑞"</f>
        <v>1856</v>
      </c>
      <c r="D1751" s="158" t="s">
        <f>"15010121409"</f>
        <v>3237</v>
      </c>
      <c r="E1751" s="158">
        <v>38.5</v>
      </c>
      <c r="F1751" s="158"/>
      <c r="G1751" s="158">
        <v>38.5</v>
      </c>
    </row>
    <row r="1752" spans="1:7" ht="32.999496" customHeight="1" x14ac:dyDescent="0.15">
      <c r="A1752" s="158">
        <v>1750.0</v>
      </c>
      <c r="B1752" s="158" t="s">
        <v>8</v>
      </c>
      <c r="C1752" s="158" t="s">
        <f>"张俊霞"</f>
        <v>3238</v>
      </c>
      <c r="D1752" s="158" t="s">
        <f>"15010121410"</f>
        <v>3239</v>
      </c>
      <c r="E1752" s="158">
        <v>56.23</v>
      </c>
      <c r="F1752" s="158"/>
      <c r="G1752" s="158">
        <v>56.23</v>
      </c>
    </row>
    <row r="1753" spans="1:7" ht="32.999496" customHeight="1" x14ac:dyDescent="0.15">
      <c r="A1753" s="158">
        <v>1751.0</v>
      </c>
      <c r="B1753" s="158" t="s">
        <v>8</v>
      </c>
      <c r="C1753" s="158" t="s">
        <f>"李娇"</f>
        <v>3240</v>
      </c>
      <c r="D1753" s="158" t="s">
        <f>"15010121411"</f>
        <v>3241</v>
      </c>
      <c r="E1753" s="158" t="s">
        <v>15</v>
      </c>
      <c r="F1753" s="158"/>
      <c r="G1753" s="158" t="s">
        <v>15</v>
      </c>
    </row>
    <row r="1754" spans="1:7" ht="32.999496" customHeight="1" x14ac:dyDescent="0.15">
      <c r="A1754" s="158">
        <v>1752.0</v>
      </c>
      <c r="B1754" s="158" t="s">
        <v>8</v>
      </c>
      <c r="C1754" s="158" t="s">
        <f>"赵阳"</f>
        <v>3242</v>
      </c>
      <c r="D1754" s="158" t="s">
        <f>"15010121412"</f>
        <v>3243</v>
      </c>
      <c r="E1754" s="158">
        <v>62.31</v>
      </c>
      <c r="F1754" s="158"/>
      <c r="G1754" s="158">
        <v>62.31</v>
      </c>
    </row>
    <row r="1755" spans="1:7" ht="32.999496" customHeight="1" x14ac:dyDescent="0.15">
      <c r="A1755" s="158">
        <v>1753.0</v>
      </c>
      <c r="B1755" s="158" t="s">
        <v>8</v>
      </c>
      <c r="C1755" s="158" t="s">
        <f>"卜庆娜"</f>
        <v>3244</v>
      </c>
      <c r="D1755" s="158" t="s">
        <f>"15010121413"</f>
        <v>3245</v>
      </c>
      <c r="E1755" s="158">
        <v>50.45</v>
      </c>
      <c r="F1755" s="158"/>
      <c r="G1755" s="158">
        <v>50.45</v>
      </c>
    </row>
    <row r="1756" spans="1:7" ht="32.999496" customHeight="1" x14ac:dyDescent="0.15">
      <c r="A1756" s="158">
        <v>1754.0</v>
      </c>
      <c r="B1756" s="158" t="s">
        <v>8</v>
      </c>
      <c r="C1756" s="158" t="s">
        <f>"马伟"</f>
        <v>2520</v>
      </c>
      <c r="D1756" s="158" t="s">
        <f>"15010121414"</f>
        <v>3246</v>
      </c>
      <c r="E1756" s="158">
        <v>33.44</v>
      </c>
      <c r="F1756" s="158"/>
      <c r="G1756" s="158">
        <v>33.44</v>
      </c>
    </row>
    <row r="1757" spans="1:7" ht="32.999496" customHeight="1" x14ac:dyDescent="0.15">
      <c r="A1757" s="158">
        <v>1755.0</v>
      </c>
      <c r="B1757" s="158" t="s">
        <v>8</v>
      </c>
      <c r="C1757" s="158" t="s">
        <f>"常鑫"</f>
        <v>3247</v>
      </c>
      <c r="D1757" s="158" t="s">
        <f>"15010121415"</f>
        <v>3248</v>
      </c>
      <c r="E1757" s="158">
        <v>54.35</v>
      </c>
      <c r="F1757" s="158"/>
      <c r="G1757" s="158">
        <v>54.35</v>
      </c>
    </row>
    <row r="1758" spans="1:7" ht="32.999496" customHeight="1" x14ac:dyDescent="0.15">
      <c r="A1758" s="158">
        <v>1756.0</v>
      </c>
      <c r="B1758" s="158" t="s">
        <v>8</v>
      </c>
      <c r="C1758" s="158" t="s">
        <f>"刘宇星"</f>
        <v>525</v>
      </c>
      <c r="D1758" s="158" t="s">
        <f>"15010121416"</f>
        <v>3249</v>
      </c>
      <c r="E1758" s="158" t="s">
        <v>15</v>
      </c>
      <c r="F1758" s="158"/>
      <c r="G1758" s="158" t="s">
        <v>15</v>
      </c>
    </row>
    <row r="1759" spans="1:7" ht="32.999496" customHeight="1" x14ac:dyDescent="0.15">
      <c r="A1759" s="158">
        <v>1757.0</v>
      </c>
      <c r="B1759" s="158" t="s">
        <v>8</v>
      </c>
      <c r="C1759" s="158" t="s">
        <f>"高星"</f>
        <v>1501</v>
      </c>
      <c r="D1759" s="158" t="s">
        <f>"15010121417"</f>
        <v>3250</v>
      </c>
      <c r="E1759" s="158">
        <v>56.32</v>
      </c>
      <c r="F1759" s="158"/>
      <c r="G1759" s="158">
        <v>56.32</v>
      </c>
    </row>
    <row r="1760" spans="1:7" ht="32.999496" customHeight="1" x14ac:dyDescent="0.15">
      <c r="A1760" s="158">
        <v>1758.0</v>
      </c>
      <c r="B1760" s="158" t="s">
        <v>8</v>
      </c>
      <c r="C1760" s="158" t="s">
        <f>"张翔宇"</f>
        <v>3251</v>
      </c>
      <c r="D1760" s="158" t="s">
        <f>"15010121418"</f>
        <v>3252</v>
      </c>
      <c r="E1760" s="158">
        <v>36.34</v>
      </c>
      <c r="F1760" s="158"/>
      <c r="G1760" s="158">
        <v>36.34</v>
      </c>
    </row>
    <row r="1761" spans="1:7" ht="32.999496" customHeight="1" x14ac:dyDescent="0.15">
      <c r="A1761" s="158">
        <v>1759.0</v>
      </c>
      <c r="B1761" s="158" t="s">
        <v>8</v>
      </c>
      <c r="C1761" s="158" t="s">
        <f>"呼尚雍"</f>
        <v>3253</v>
      </c>
      <c r="D1761" s="158" t="s">
        <f>"15010121419"</f>
        <v>3254</v>
      </c>
      <c r="E1761" s="158">
        <v>71.69</v>
      </c>
      <c r="F1761" s="158"/>
      <c r="G1761" s="158">
        <v>71.69</v>
      </c>
    </row>
    <row r="1762" spans="1:7" ht="32.999496" customHeight="1" x14ac:dyDescent="0.15">
      <c r="A1762" s="158">
        <v>1760.0</v>
      </c>
      <c r="B1762" s="158" t="s">
        <v>8</v>
      </c>
      <c r="C1762" s="158" t="s">
        <f>"曹婷"</f>
        <v>3255</v>
      </c>
      <c r="D1762" s="158" t="s">
        <f>"15010121420"</f>
        <v>3256</v>
      </c>
      <c r="E1762" s="158" t="s">
        <v>15</v>
      </c>
      <c r="F1762" s="158"/>
      <c r="G1762" s="158" t="s">
        <v>15</v>
      </c>
    </row>
    <row r="1763" spans="1:7" ht="32.999496" customHeight="1" x14ac:dyDescent="0.15">
      <c r="A1763" s="158">
        <v>1761.0</v>
      </c>
      <c r="B1763" s="158" t="s">
        <v>8</v>
      </c>
      <c r="C1763" s="158" t="s">
        <f>"高帆"</f>
        <v>3257</v>
      </c>
      <c r="D1763" s="158" t="s">
        <f>"15010121421"</f>
        <v>3258</v>
      </c>
      <c r="E1763" s="158">
        <v>52.54</v>
      </c>
      <c r="F1763" s="158"/>
      <c r="G1763" s="158">
        <v>52.54</v>
      </c>
    </row>
    <row r="1764" spans="1:7" ht="32.999496" customHeight="1" x14ac:dyDescent="0.15">
      <c r="A1764" s="158">
        <v>1762.0</v>
      </c>
      <c r="B1764" s="158" t="s">
        <v>8</v>
      </c>
      <c r="C1764" s="158" t="s">
        <f>"李慧"</f>
        <v>848</v>
      </c>
      <c r="D1764" s="158" t="s">
        <f>"15010121422"</f>
        <v>3259</v>
      </c>
      <c r="E1764" s="158">
        <v>36.72</v>
      </c>
      <c r="F1764" s="158"/>
      <c r="G1764" s="158">
        <v>36.72</v>
      </c>
    </row>
    <row r="1765" spans="1:7" ht="32.999496" customHeight="1" x14ac:dyDescent="0.15">
      <c r="A1765" s="158">
        <v>1763.0</v>
      </c>
      <c r="B1765" s="158" t="s">
        <v>8</v>
      </c>
      <c r="C1765" s="158" t="s">
        <f>"边荣"</f>
        <v>3260</v>
      </c>
      <c r="D1765" s="158" t="s">
        <f>"15010121423"</f>
        <v>3261</v>
      </c>
      <c r="E1765" s="158">
        <v>58.58</v>
      </c>
      <c r="F1765" s="158"/>
      <c r="G1765" s="158">
        <v>58.58</v>
      </c>
    </row>
    <row r="1766" spans="1:7" ht="32.999496" customHeight="1" x14ac:dyDescent="0.15">
      <c r="A1766" s="158">
        <v>1764.0</v>
      </c>
      <c r="B1766" s="158" t="s">
        <v>8</v>
      </c>
      <c r="C1766" s="158" t="s">
        <f>"杜炳毅"</f>
        <v>3262</v>
      </c>
      <c r="D1766" s="158" t="s">
        <f>"15010121424"</f>
        <v>3263</v>
      </c>
      <c r="E1766" s="158">
        <v>60.6</v>
      </c>
      <c r="F1766" s="158"/>
      <c r="G1766" s="158">
        <v>60.6</v>
      </c>
    </row>
    <row r="1767" spans="1:7" ht="32.999496" customHeight="1" x14ac:dyDescent="0.15">
      <c r="A1767" s="158">
        <v>1765.0</v>
      </c>
      <c r="B1767" s="158" t="s">
        <v>8</v>
      </c>
      <c r="C1767" s="158" t="s">
        <f>"乔鲜"</f>
        <v>3264</v>
      </c>
      <c r="D1767" s="158" t="s">
        <f>"15010121425"</f>
        <v>3265</v>
      </c>
      <c r="E1767" s="158">
        <v>53.91</v>
      </c>
      <c r="F1767" s="158"/>
      <c r="G1767" s="158">
        <v>53.91</v>
      </c>
    </row>
    <row r="1768" spans="1:7" ht="32.999496" customHeight="1" x14ac:dyDescent="0.15">
      <c r="A1768" s="158">
        <v>1766.0</v>
      </c>
      <c r="B1768" s="158" t="s">
        <v>8</v>
      </c>
      <c r="C1768" s="158" t="s">
        <f>"曹荣荣"</f>
        <v>3266</v>
      </c>
      <c r="D1768" s="158" t="s">
        <f>"15010121426"</f>
        <v>3267</v>
      </c>
      <c r="E1768" s="158" t="s">
        <v>15</v>
      </c>
      <c r="F1768" s="158"/>
      <c r="G1768" s="158" t="s">
        <v>15</v>
      </c>
    </row>
    <row r="1769" spans="1:7" ht="32.999496" customHeight="1" x14ac:dyDescent="0.15">
      <c r="A1769" s="158">
        <v>1767.0</v>
      </c>
      <c r="B1769" s="158" t="s">
        <v>8</v>
      </c>
      <c r="C1769" s="158" t="s">
        <f>"祁鑫田"</f>
        <v>3268</v>
      </c>
      <c r="D1769" s="158" t="s">
        <f>"15010121427"</f>
        <v>3269</v>
      </c>
      <c r="E1769" s="158">
        <v>52.46</v>
      </c>
      <c r="F1769" s="158"/>
      <c r="G1769" s="158">
        <v>52.46</v>
      </c>
    </row>
    <row r="1770" spans="1:7" ht="32.999496" customHeight="1" x14ac:dyDescent="0.15">
      <c r="A1770" s="158">
        <v>1768.0</v>
      </c>
      <c r="B1770" s="158" t="s">
        <v>8</v>
      </c>
      <c r="C1770" s="158" t="s">
        <f>"高杰"</f>
        <v>1678</v>
      </c>
      <c r="D1770" s="158" t="s">
        <f>"15010121428"</f>
        <v>3270</v>
      </c>
      <c r="E1770" s="158" t="s">
        <v>15</v>
      </c>
      <c r="F1770" s="158"/>
      <c r="G1770" s="158" t="s">
        <v>15</v>
      </c>
    </row>
    <row r="1771" spans="1:7" ht="32.999496" customHeight="1" x14ac:dyDescent="0.15">
      <c r="A1771" s="158">
        <v>1769.0</v>
      </c>
      <c r="B1771" s="158" t="s">
        <v>8</v>
      </c>
      <c r="C1771" s="158" t="s">
        <f>"乔瑞"</f>
        <v>3271</v>
      </c>
      <c r="D1771" s="158" t="s">
        <f>"15010121429"</f>
        <v>3272</v>
      </c>
      <c r="E1771" s="158" t="s">
        <v>15</v>
      </c>
      <c r="F1771" s="158"/>
      <c r="G1771" s="158" t="s">
        <v>15</v>
      </c>
    </row>
    <row r="1772" spans="1:7" ht="32.999496" customHeight="1" x14ac:dyDescent="0.15">
      <c r="A1772" s="158">
        <v>1770.0</v>
      </c>
      <c r="B1772" s="158" t="s">
        <v>8</v>
      </c>
      <c r="C1772" s="158" t="s">
        <f>"韩聃"</f>
        <v>3273</v>
      </c>
      <c r="D1772" s="158" t="s">
        <f>"15010121430"</f>
        <v>3274</v>
      </c>
      <c r="E1772" s="158">
        <v>66.92</v>
      </c>
      <c r="F1772" s="158"/>
      <c r="G1772" s="158">
        <v>66.92</v>
      </c>
    </row>
    <row r="1773" spans="1:7" ht="32.999496" customHeight="1" x14ac:dyDescent="0.15">
      <c r="A1773" s="158">
        <v>1771.0</v>
      </c>
      <c r="B1773" s="158" t="s">
        <v>8</v>
      </c>
      <c r="C1773" s="158" t="s">
        <f>"山丹"</f>
        <v>3275</v>
      </c>
      <c r="D1773" s="158" t="s">
        <f>"15010121501"</f>
        <v>3276</v>
      </c>
      <c r="E1773" s="158">
        <v>49.56</v>
      </c>
      <c r="F1773" s="158">
        <v>2.5</v>
      </c>
      <c r="G1773" s="158">
        <v>52.06</v>
      </c>
    </row>
    <row r="1774" spans="1:7" ht="32.999496" customHeight="1" x14ac:dyDescent="0.15">
      <c r="A1774" s="158">
        <v>1772.0</v>
      </c>
      <c r="B1774" s="158" t="s">
        <v>8</v>
      </c>
      <c r="C1774" s="158" t="s">
        <f>"张娟"</f>
        <v>3277</v>
      </c>
      <c r="D1774" s="158" t="s">
        <f>"15010121502"</f>
        <v>3278</v>
      </c>
      <c r="E1774" s="158">
        <v>47.42</v>
      </c>
      <c r="F1774" s="158"/>
      <c r="G1774" s="158">
        <v>47.42</v>
      </c>
    </row>
    <row r="1775" spans="1:7" ht="32.999496" customHeight="1" x14ac:dyDescent="0.15">
      <c r="A1775" s="158">
        <v>1773.0</v>
      </c>
      <c r="B1775" s="158" t="s">
        <v>8</v>
      </c>
      <c r="C1775" s="158" t="s">
        <f>"李小龙"</f>
        <v>3279</v>
      </c>
      <c r="D1775" s="158" t="s">
        <f>"15010121503"</f>
        <v>3280</v>
      </c>
      <c r="E1775" s="158" t="s">
        <v>15</v>
      </c>
      <c r="F1775" s="158"/>
      <c r="G1775" s="158" t="s">
        <v>15</v>
      </c>
    </row>
    <row r="1776" spans="1:7" ht="32.999496" customHeight="1" x14ac:dyDescent="0.15">
      <c r="A1776" s="158">
        <v>1774.0</v>
      </c>
      <c r="B1776" s="158" t="s">
        <v>8</v>
      </c>
      <c r="C1776" s="158" t="s">
        <f>"乔磊"</f>
        <v>2185</v>
      </c>
      <c r="D1776" s="158" t="s">
        <f>"15010121504"</f>
        <v>3281</v>
      </c>
      <c r="E1776" s="158">
        <v>38.760000000000005</v>
      </c>
      <c r="F1776" s="158"/>
      <c r="G1776" s="158">
        <v>38.760000000000005</v>
      </c>
    </row>
    <row r="1777" spans="1:7" ht="32.999496" customHeight="1" x14ac:dyDescent="0.15">
      <c r="A1777" s="158">
        <v>1775.0</v>
      </c>
      <c r="B1777" s="158" t="s">
        <v>8</v>
      </c>
      <c r="C1777" s="158" t="s">
        <f>"李欣"</f>
        <v>939</v>
      </c>
      <c r="D1777" s="158" t="s">
        <f>"15010121505"</f>
        <v>3282</v>
      </c>
      <c r="E1777" s="158" t="s">
        <v>15</v>
      </c>
      <c r="F1777" s="158"/>
      <c r="G1777" s="158" t="s">
        <v>15</v>
      </c>
    </row>
    <row r="1778" spans="1:7" ht="32.999496" customHeight="1" x14ac:dyDescent="0.15">
      <c r="A1778" s="158">
        <v>1776.0</v>
      </c>
      <c r="B1778" s="158" t="s">
        <v>8</v>
      </c>
      <c r="C1778" s="158" t="s">
        <f>"苏鑫"</f>
        <v>3283</v>
      </c>
      <c r="D1778" s="158" t="s">
        <f>"15010121506"</f>
        <v>3284</v>
      </c>
      <c r="E1778" s="158">
        <v>26.3</v>
      </c>
      <c r="F1778" s="158"/>
      <c r="G1778" s="158">
        <v>26.3</v>
      </c>
    </row>
    <row r="1779" spans="1:7" ht="32.999496" customHeight="1" x14ac:dyDescent="0.15">
      <c r="A1779" s="158">
        <v>1777.0</v>
      </c>
      <c r="B1779" s="158" t="s">
        <v>8</v>
      </c>
      <c r="C1779" s="158" t="s">
        <f>"张莉铭"</f>
        <v>3285</v>
      </c>
      <c r="D1779" s="158" t="s">
        <f>"15010121507"</f>
        <v>3286</v>
      </c>
      <c r="E1779" s="158" t="s">
        <v>15</v>
      </c>
      <c r="F1779" s="158"/>
      <c r="G1779" s="158" t="s">
        <v>15</v>
      </c>
    </row>
    <row r="1780" spans="1:7" ht="32.999496" customHeight="1" x14ac:dyDescent="0.15">
      <c r="A1780" s="158">
        <v>1778.0</v>
      </c>
      <c r="B1780" s="158" t="s">
        <v>8</v>
      </c>
      <c r="C1780" s="158" t="s">
        <f>"解昊宇"</f>
        <v>3287</v>
      </c>
      <c r="D1780" s="158" t="s">
        <f>"15010121508"</f>
        <v>3288</v>
      </c>
      <c r="E1780" s="158">
        <v>51.54</v>
      </c>
      <c r="F1780" s="158"/>
      <c r="G1780" s="158">
        <v>51.54</v>
      </c>
    </row>
    <row r="1781" spans="1:7" ht="32.999496" customHeight="1" x14ac:dyDescent="0.15">
      <c r="A1781" s="158">
        <v>1779.0</v>
      </c>
      <c r="B1781" s="158" t="s">
        <v>8</v>
      </c>
      <c r="C1781" s="158" t="s">
        <f>"袁晓红"</f>
        <v>3289</v>
      </c>
      <c r="D1781" s="158" t="s">
        <f>"15010121509"</f>
        <v>3290</v>
      </c>
      <c r="E1781" s="158">
        <v>57.69</v>
      </c>
      <c r="F1781" s="158"/>
      <c r="G1781" s="158">
        <v>57.69</v>
      </c>
    </row>
    <row r="1782" spans="1:7" ht="32.999496" customHeight="1" x14ac:dyDescent="0.15">
      <c r="A1782" s="158">
        <v>1780.0</v>
      </c>
      <c r="B1782" s="158" t="s">
        <v>8</v>
      </c>
      <c r="C1782" s="158" t="s">
        <f>"许峰源"</f>
        <v>3291</v>
      </c>
      <c r="D1782" s="158" t="s">
        <f>"15010121510"</f>
        <v>3292</v>
      </c>
      <c r="E1782" s="158">
        <v>61.57</v>
      </c>
      <c r="F1782" s="158"/>
      <c r="G1782" s="158">
        <v>61.57</v>
      </c>
    </row>
    <row r="1783" spans="1:7" ht="32.999496" customHeight="1" x14ac:dyDescent="0.15">
      <c r="A1783" s="158">
        <v>1781.0</v>
      </c>
      <c r="B1783" s="158" t="s">
        <v>8</v>
      </c>
      <c r="C1783" s="158" t="s">
        <f>"何瑞"</f>
        <v>280</v>
      </c>
      <c r="D1783" s="158" t="s">
        <f>"15010121511"</f>
        <v>3293</v>
      </c>
      <c r="E1783" s="158">
        <v>70.82</v>
      </c>
      <c r="F1783" s="158"/>
      <c r="G1783" s="158">
        <v>70.82</v>
      </c>
    </row>
    <row r="1784" spans="1:7" ht="32.999496" customHeight="1" x14ac:dyDescent="0.15">
      <c r="A1784" s="158">
        <v>1782.0</v>
      </c>
      <c r="B1784" s="158" t="s">
        <v>8</v>
      </c>
      <c r="C1784" s="158" t="s">
        <f>"李立强"</f>
        <v>3294</v>
      </c>
      <c r="D1784" s="158" t="s">
        <f>"15010121512"</f>
        <v>3295</v>
      </c>
      <c r="E1784" s="158">
        <v>53.84</v>
      </c>
      <c r="F1784" s="158"/>
      <c r="G1784" s="158">
        <v>53.84</v>
      </c>
    </row>
    <row r="1785" spans="1:7" ht="32.999496" customHeight="1" x14ac:dyDescent="0.15">
      <c r="A1785" s="158">
        <v>1783.0</v>
      </c>
      <c r="B1785" s="158" t="s">
        <v>8</v>
      </c>
      <c r="C1785" s="158" t="s">
        <f>"刘红梅"</f>
        <v>3296</v>
      </c>
      <c r="D1785" s="158" t="s">
        <f>"15010121513"</f>
        <v>3297</v>
      </c>
      <c r="E1785" s="158" t="s">
        <v>15</v>
      </c>
      <c r="F1785" s="158">
        <v>2.5</v>
      </c>
      <c r="G1785" s="158" t="s">
        <v>15</v>
      </c>
    </row>
    <row r="1786" spans="1:7" ht="32.999496" customHeight="1" x14ac:dyDescent="0.15">
      <c r="A1786" s="158">
        <v>1784.0</v>
      </c>
      <c r="B1786" s="158" t="s">
        <v>8</v>
      </c>
      <c r="C1786" s="158" t="s">
        <f>"刘月蓉"</f>
        <v>3298</v>
      </c>
      <c r="D1786" s="158" t="s">
        <f>"15010121514"</f>
        <v>3299</v>
      </c>
      <c r="E1786" s="158" t="s">
        <v>15</v>
      </c>
      <c r="F1786" s="158"/>
      <c r="G1786" s="158" t="s">
        <v>15</v>
      </c>
    </row>
    <row r="1787" spans="1:7" ht="32.999496" customHeight="1" x14ac:dyDescent="0.15">
      <c r="A1787" s="158">
        <v>1785.0</v>
      </c>
      <c r="B1787" s="158" t="s">
        <v>8</v>
      </c>
      <c r="C1787" s="158" t="s">
        <f>"刘婷"</f>
        <v>3300</v>
      </c>
      <c r="D1787" s="158" t="s">
        <f>"15010121515"</f>
        <v>3301</v>
      </c>
      <c r="E1787" s="158">
        <v>64.13</v>
      </c>
      <c r="F1787" s="158"/>
      <c r="G1787" s="158">
        <v>64.13</v>
      </c>
    </row>
    <row r="1788" spans="1:7" ht="32.999496" customHeight="1" x14ac:dyDescent="0.15">
      <c r="A1788" s="158">
        <v>1786.0</v>
      </c>
      <c r="B1788" s="158" t="s">
        <v>8</v>
      </c>
      <c r="C1788" s="158" t="s">
        <f>"撖慧蓉"</f>
        <v>3302</v>
      </c>
      <c r="D1788" s="158" t="s">
        <f>"15010121516"</f>
        <v>3303</v>
      </c>
      <c r="E1788" s="158" t="s">
        <v>15</v>
      </c>
      <c r="F1788" s="158"/>
      <c r="G1788" s="158" t="s">
        <v>15</v>
      </c>
    </row>
    <row r="1789" spans="1:7" ht="32.999496" customHeight="1" x14ac:dyDescent="0.15">
      <c r="A1789" s="158">
        <v>1787.0</v>
      </c>
      <c r="B1789" s="158" t="s">
        <v>8</v>
      </c>
      <c r="C1789" s="158" t="s">
        <f>"王毅"</f>
        <v>1169</v>
      </c>
      <c r="D1789" s="158" t="s">
        <f>"15010121517"</f>
        <v>3304</v>
      </c>
      <c r="E1789" s="158" t="s">
        <v>15</v>
      </c>
      <c r="F1789" s="158"/>
      <c r="G1789" s="158" t="s">
        <v>15</v>
      </c>
    </row>
    <row r="1790" spans="1:7" ht="32.999496" customHeight="1" x14ac:dyDescent="0.15">
      <c r="A1790" s="158">
        <v>1788.0</v>
      </c>
      <c r="B1790" s="158" t="s">
        <v>8</v>
      </c>
      <c r="C1790" s="158" t="s">
        <f>"段挺"</f>
        <v>3305</v>
      </c>
      <c r="D1790" s="158" t="s">
        <f>"15010121518"</f>
        <v>3306</v>
      </c>
      <c r="E1790" s="158">
        <v>39.89</v>
      </c>
      <c r="F1790" s="158"/>
      <c r="G1790" s="158">
        <v>39.89</v>
      </c>
    </row>
    <row r="1791" spans="1:7" ht="32.999496" customHeight="1" x14ac:dyDescent="0.15">
      <c r="A1791" s="158">
        <v>1789.0</v>
      </c>
      <c r="B1791" s="158" t="s">
        <v>8</v>
      </c>
      <c r="C1791" s="158" t="s">
        <f>"刘娜"</f>
        <v>1480</v>
      </c>
      <c r="D1791" s="158" t="s">
        <f>"15010121519"</f>
        <v>3307</v>
      </c>
      <c r="E1791" s="158">
        <v>62.11</v>
      </c>
      <c r="F1791" s="158"/>
      <c r="G1791" s="158">
        <v>62.11</v>
      </c>
    </row>
    <row r="1792" spans="1:7" ht="32.999496" customHeight="1" x14ac:dyDescent="0.15">
      <c r="A1792" s="158">
        <v>1790.0</v>
      </c>
      <c r="B1792" s="158" t="s">
        <v>8</v>
      </c>
      <c r="C1792" s="158" t="s">
        <f>"单露"</f>
        <v>3308</v>
      </c>
      <c r="D1792" s="158" t="s">
        <f>"15010121520"</f>
        <v>3309</v>
      </c>
      <c r="E1792" s="158">
        <v>54.18</v>
      </c>
      <c r="F1792" s="158"/>
      <c r="G1792" s="158">
        <v>54.18</v>
      </c>
    </row>
    <row r="1793" spans="1:7" ht="32.999496" customHeight="1" x14ac:dyDescent="0.15">
      <c r="A1793" s="158">
        <v>1791.0</v>
      </c>
      <c r="B1793" s="158" t="s">
        <v>8</v>
      </c>
      <c r="C1793" s="158" t="s">
        <f>"张强"</f>
        <v>3310</v>
      </c>
      <c r="D1793" s="158" t="s">
        <f>"15010121521"</f>
        <v>3311</v>
      </c>
      <c r="E1793" s="158">
        <v>67.27000000000001</v>
      </c>
      <c r="F1793" s="158"/>
      <c r="G1793" s="158">
        <v>67.27000000000001</v>
      </c>
    </row>
    <row r="1794" spans="1:7" ht="32.999496" customHeight="1" x14ac:dyDescent="0.15">
      <c r="A1794" s="158">
        <v>1792.0</v>
      </c>
      <c r="B1794" s="158" t="s">
        <v>8</v>
      </c>
      <c r="C1794" s="158" t="s">
        <f>"吴晓燕"</f>
        <v>3312</v>
      </c>
      <c r="D1794" s="158" t="s">
        <f>"15010121522"</f>
        <v>3313</v>
      </c>
      <c r="E1794" s="158" t="s">
        <v>15</v>
      </c>
      <c r="F1794" s="158"/>
      <c r="G1794" s="158" t="s">
        <v>15</v>
      </c>
    </row>
    <row r="1795" spans="1:7" ht="32.999496" customHeight="1" x14ac:dyDescent="0.15">
      <c r="A1795" s="158">
        <v>1793.0</v>
      </c>
      <c r="B1795" s="158" t="s">
        <v>8</v>
      </c>
      <c r="C1795" s="158" t="s">
        <f>"苏艳"</f>
        <v>3051</v>
      </c>
      <c r="D1795" s="158" t="s">
        <f>"15010121523"</f>
        <v>3314</v>
      </c>
      <c r="E1795" s="158" t="s">
        <v>15</v>
      </c>
      <c r="F1795" s="158"/>
      <c r="G1795" s="158" t="s">
        <v>15</v>
      </c>
    </row>
    <row r="1796" spans="1:7" ht="32.999496" customHeight="1" x14ac:dyDescent="0.15">
      <c r="A1796" s="158">
        <v>1794.0</v>
      </c>
      <c r="B1796" s="158" t="s">
        <v>8</v>
      </c>
      <c r="C1796" s="158" t="s">
        <f>"康娜"</f>
        <v>1161</v>
      </c>
      <c r="D1796" s="158" t="s">
        <f>"15010121524"</f>
        <v>3315</v>
      </c>
      <c r="E1796" s="158" t="s">
        <v>15</v>
      </c>
      <c r="F1796" s="158"/>
      <c r="G1796" s="158" t="s">
        <v>15</v>
      </c>
    </row>
    <row r="1797" spans="1:7" ht="32.999496" customHeight="1" x14ac:dyDescent="0.15">
      <c r="A1797" s="158">
        <v>1795.0</v>
      </c>
      <c r="B1797" s="158" t="s">
        <v>8</v>
      </c>
      <c r="C1797" s="158" t="s">
        <f>"苏慧"</f>
        <v>3316</v>
      </c>
      <c r="D1797" s="158" t="s">
        <f>"15010121525"</f>
        <v>3317</v>
      </c>
      <c r="E1797" s="158">
        <v>38.370000000000005</v>
      </c>
      <c r="F1797" s="158"/>
      <c r="G1797" s="158">
        <v>38.370000000000005</v>
      </c>
    </row>
    <row r="1798" spans="1:7" ht="32.999496" customHeight="1" x14ac:dyDescent="0.15">
      <c r="A1798" s="158">
        <v>1796.0</v>
      </c>
      <c r="B1798" s="158" t="s">
        <v>8</v>
      </c>
      <c r="C1798" s="158" t="s">
        <f>"乔二娜"</f>
        <v>3318</v>
      </c>
      <c r="D1798" s="158" t="s">
        <f>"15010121526"</f>
        <v>3319</v>
      </c>
      <c r="E1798" s="158">
        <v>45.83</v>
      </c>
      <c r="F1798" s="158"/>
      <c r="G1798" s="158">
        <v>45.83</v>
      </c>
    </row>
    <row r="1799" spans="1:7" ht="32.999496" customHeight="1" x14ac:dyDescent="0.15">
      <c r="A1799" s="158">
        <v>1797.0</v>
      </c>
      <c r="B1799" s="158" t="s">
        <v>8</v>
      </c>
      <c r="C1799" s="158" t="s">
        <f>"刘科"</f>
        <v>3320</v>
      </c>
      <c r="D1799" s="158" t="s">
        <f>"15010121527"</f>
        <v>3321</v>
      </c>
      <c r="E1799" s="158" t="s">
        <v>15</v>
      </c>
      <c r="F1799" s="158"/>
      <c r="G1799" s="158" t="s">
        <v>15</v>
      </c>
    </row>
    <row r="1800" spans="1:7" ht="32.999496" customHeight="1" x14ac:dyDescent="0.15">
      <c r="A1800" s="158">
        <v>1798.0</v>
      </c>
      <c r="B1800" s="158" t="s">
        <v>8</v>
      </c>
      <c r="C1800" s="158" t="s">
        <f>"杨学平"</f>
        <v>3322</v>
      </c>
      <c r="D1800" s="158" t="s">
        <f>"15010121528"</f>
        <v>3323</v>
      </c>
      <c r="E1800" s="158">
        <v>68.12</v>
      </c>
      <c r="F1800" s="158"/>
      <c r="G1800" s="158">
        <v>68.12</v>
      </c>
    </row>
    <row r="1801" spans="1:7" ht="32.999496" customHeight="1" x14ac:dyDescent="0.15">
      <c r="A1801" s="158">
        <v>1799.0</v>
      </c>
      <c r="B1801" s="158" t="s">
        <v>8</v>
      </c>
      <c r="C1801" s="158" t="s">
        <f>"徐孟聪"</f>
        <v>3324</v>
      </c>
      <c r="D1801" s="158" t="s">
        <f>"15010121529"</f>
        <v>3325</v>
      </c>
      <c r="E1801" s="158" t="s">
        <v>15</v>
      </c>
      <c r="F1801" s="158"/>
      <c r="G1801" s="158" t="s">
        <v>15</v>
      </c>
    </row>
    <row r="1802" spans="1:7" ht="32.999496" customHeight="1" x14ac:dyDescent="0.15">
      <c r="A1802" s="158">
        <v>1800.0</v>
      </c>
      <c r="B1802" s="158" t="s">
        <v>8</v>
      </c>
      <c r="C1802" s="158" t="s">
        <f>"温月"</f>
        <v>1417</v>
      </c>
      <c r="D1802" s="158" t="s">
        <f>"15010121530"</f>
        <v>3326</v>
      </c>
      <c r="E1802" s="158" t="s">
        <v>15</v>
      </c>
      <c r="F1802" s="158"/>
      <c r="G1802" s="158" t="s">
        <v>15</v>
      </c>
    </row>
    <row r="1803" spans="1:7" ht="32.999496" customHeight="1" x14ac:dyDescent="0.15">
      <c r="A1803" s="158">
        <v>1801.0</v>
      </c>
      <c r="B1803" s="158" t="s">
        <v>8</v>
      </c>
      <c r="C1803" s="158" t="s">
        <f>"栗强"</f>
        <v>3327</v>
      </c>
      <c r="D1803" s="158" t="s">
        <f>"15010121601"</f>
        <v>3328</v>
      </c>
      <c r="E1803" s="158">
        <v>51.93</v>
      </c>
      <c r="F1803" s="158"/>
      <c r="G1803" s="158">
        <v>51.93</v>
      </c>
    </row>
    <row r="1804" spans="1:7" ht="32.999496" customHeight="1" x14ac:dyDescent="0.15">
      <c r="A1804" s="158">
        <v>1802.0</v>
      </c>
      <c r="B1804" s="158" t="s">
        <v>8</v>
      </c>
      <c r="C1804" s="158" t="s">
        <f>"马一宁"</f>
        <v>3329</v>
      </c>
      <c r="D1804" s="158" t="s">
        <f>"15010121602"</f>
        <v>3330</v>
      </c>
      <c r="E1804" s="158">
        <v>66.09</v>
      </c>
      <c r="F1804" s="158"/>
      <c r="G1804" s="158">
        <v>66.09</v>
      </c>
    </row>
    <row r="1805" spans="1:7" ht="32.999496" customHeight="1" x14ac:dyDescent="0.15">
      <c r="A1805" s="158">
        <v>1803.0</v>
      </c>
      <c r="B1805" s="158" t="s">
        <v>8</v>
      </c>
      <c r="C1805" s="158" t="s">
        <f>"杨敏"</f>
        <v>846</v>
      </c>
      <c r="D1805" s="158" t="s">
        <f>"15010121603"</f>
        <v>3331</v>
      </c>
      <c r="E1805" s="158" t="s">
        <v>15</v>
      </c>
      <c r="F1805" s="158"/>
      <c r="G1805" s="158" t="s">
        <v>15</v>
      </c>
    </row>
    <row r="1806" spans="1:7" ht="32.999496" customHeight="1" x14ac:dyDescent="0.15">
      <c r="A1806" s="158">
        <v>1804.0</v>
      </c>
      <c r="B1806" s="158" t="s">
        <v>8</v>
      </c>
      <c r="C1806" s="158" t="s">
        <f>"刘佳"</f>
        <v>1407</v>
      </c>
      <c r="D1806" s="158" t="s">
        <f>"15010121604"</f>
        <v>3332</v>
      </c>
      <c r="E1806" s="158">
        <v>66.72</v>
      </c>
      <c r="F1806" s="158"/>
      <c r="G1806" s="158">
        <v>66.72</v>
      </c>
    </row>
    <row r="1807" spans="1:7" ht="32.999496" customHeight="1" x14ac:dyDescent="0.15">
      <c r="A1807" s="158">
        <v>1805.0</v>
      </c>
      <c r="B1807" s="158" t="s">
        <v>8</v>
      </c>
      <c r="C1807" s="158" t="s">
        <f>"越慧"</f>
        <v>564</v>
      </c>
      <c r="D1807" s="158" t="s">
        <f>"15010121605"</f>
        <v>3333</v>
      </c>
      <c r="E1807" s="158">
        <v>64.06</v>
      </c>
      <c r="F1807" s="158"/>
      <c r="G1807" s="158">
        <v>64.06</v>
      </c>
    </row>
    <row r="1808" spans="1:7" ht="32.999496" customHeight="1" x14ac:dyDescent="0.15">
      <c r="A1808" s="158">
        <v>1806.0</v>
      </c>
      <c r="B1808" s="158" t="s">
        <v>8</v>
      </c>
      <c r="C1808" s="158" t="s">
        <f>"杜国庆"</f>
        <v>3334</v>
      </c>
      <c r="D1808" s="158" t="s">
        <f>"15010121606"</f>
        <v>3335</v>
      </c>
      <c r="E1808" s="158">
        <v>62.18</v>
      </c>
      <c r="F1808" s="158"/>
      <c r="G1808" s="158">
        <v>62.18</v>
      </c>
    </row>
    <row r="1809" spans="1:7" ht="32.999496" customHeight="1" x14ac:dyDescent="0.15">
      <c r="A1809" s="158">
        <v>1807.0</v>
      </c>
      <c r="B1809" s="158" t="s">
        <v>8</v>
      </c>
      <c r="C1809" s="158" t="s">
        <f>"宋雨"</f>
        <v>3336</v>
      </c>
      <c r="D1809" s="158" t="s">
        <f>"15010121607"</f>
        <v>3337</v>
      </c>
      <c r="E1809" s="158">
        <v>48.989999999999995</v>
      </c>
      <c r="F1809" s="158"/>
      <c r="G1809" s="158">
        <v>48.989999999999995</v>
      </c>
    </row>
    <row r="1810" spans="1:7" ht="32.999496" customHeight="1" x14ac:dyDescent="0.15">
      <c r="A1810" s="158">
        <v>1808.0</v>
      </c>
      <c r="B1810" s="158" t="s">
        <v>8</v>
      </c>
      <c r="C1810" s="158" t="s">
        <f>"赵倩仪"</f>
        <v>3338</v>
      </c>
      <c r="D1810" s="158" t="s">
        <f>"15010121608"</f>
        <v>3339</v>
      </c>
      <c r="E1810" s="158" t="s">
        <v>15</v>
      </c>
      <c r="F1810" s="158"/>
      <c r="G1810" s="158" t="s">
        <v>15</v>
      </c>
    </row>
    <row r="1811" spans="1:7" ht="32.999496" customHeight="1" x14ac:dyDescent="0.15">
      <c r="A1811" s="158">
        <v>1809.0</v>
      </c>
      <c r="B1811" s="158" t="s">
        <v>8</v>
      </c>
      <c r="C1811" s="158" t="s">
        <f>"杨阳"</f>
        <v>943</v>
      </c>
      <c r="D1811" s="158" t="s">
        <f>"15010121609"</f>
        <v>3340</v>
      </c>
      <c r="E1811" s="158" t="s">
        <v>15</v>
      </c>
      <c r="F1811" s="158">
        <v>2.5</v>
      </c>
      <c r="G1811" s="158" t="s">
        <v>15</v>
      </c>
    </row>
    <row r="1812" spans="1:7" ht="32.999496" customHeight="1" x14ac:dyDescent="0.15">
      <c r="A1812" s="158">
        <v>1810.0</v>
      </c>
      <c r="B1812" s="158" t="s">
        <v>8</v>
      </c>
      <c r="C1812" s="158" t="s">
        <f>"郭娜"</f>
        <v>619</v>
      </c>
      <c r="D1812" s="158" t="s">
        <f>"15010121610"</f>
        <v>3341</v>
      </c>
      <c r="E1812" s="158" t="s">
        <v>15</v>
      </c>
      <c r="F1812" s="158"/>
      <c r="G1812" s="158" t="s">
        <v>15</v>
      </c>
    </row>
    <row r="1813" spans="1:7" ht="32.999496" customHeight="1" x14ac:dyDescent="0.15">
      <c r="A1813" s="158">
        <v>1811.0</v>
      </c>
      <c r="B1813" s="158" t="s">
        <v>8</v>
      </c>
      <c r="C1813" s="158" t="s">
        <f>"王宇"</f>
        <v>296</v>
      </c>
      <c r="D1813" s="158" t="s">
        <f>"15010121611"</f>
        <v>3342</v>
      </c>
      <c r="E1813" s="158">
        <v>48.79</v>
      </c>
      <c r="F1813" s="158"/>
      <c r="G1813" s="158">
        <v>48.79</v>
      </c>
    </row>
    <row r="1814" spans="1:7" ht="32.999496" customHeight="1" x14ac:dyDescent="0.15">
      <c r="A1814" s="158">
        <v>1812.0</v>
      </c>
      <c r="B1814" s="158" t="s">
        <v>8</v>
      </c>
      <c r="C1814" s="158" t="s">
        <f>"屈敏"</f>
        <v>3343</v>
      </c>
      <c r="D1814" s="158" t="s">
        <f>"15010121612"</f>
        <v>3344</v>
      </c>
      <c r="E1814" s="158" t="s">
        <v>15</v>
      </c>
      <c r="F1814" s="158"/>
      <c r="G1814" s="158" t="s">
        <v>15</v>
      </c>
    </row>
    <row r="1815" spans="1:7" ht="32.999496" customHeight="1" x14ac:dyDescent="0.15">
      <c r="A1815" s="158">
        <v>1813.0</v>
      </c>
      <c r="B1815" s="158" t="s">
        <v>8</v>
      </c>
      <c r="C1815" s="158" t="s">
        <f>"张朝风"</f>
        <v>3345</v>
      </c>
      <c r="D1815" s="158" t="s">
        <f>"15010121613"</f>
        <v>3346</v>
      </c>
      <c r="E1815" s="158">
        <v>35.4</v>
      </c>
      <c r="F1815" s="158"/>
      <c r="G1815" s="158">
        <v>35.4</v>
      </c>
    </row>
    <row r="1816" spans="1:7" ht="32.999496" customHeight="1" x14ac:dyDescent="0.15">
      <c r="A1816" s="158">
        <v>1814.0</v>
      </c>
      <c r="B1816" s="158" t="s">
        <v>8</v>
      </c>
      <c r="C1816" s="158" t="s">
        <f>"王龙"</f>
        <v>3347</v>
      </c>
      <c r="D1816" s="158" t="s">
        <f>"15010121614"</f>
        <v>3348</v>
      </c>
      <c r="E1816" s="158">
        <v>34.34</v>
      </c>
      <c r="F1816" s="158"/>
      <c r="G1816" s="158">
        <v>34.34</v>
      </c>
    </row>
    <row r="1817" spans="1:7" ht="32.999496" customHeight="1" x14ac:dyDescent="0.15">
      <c r="A1817" s="158">
        <v>1815.0</v>
      </c>
      <c r="B1817" s="158" t="s">
        <v>8</v>
      </c>
      <c r="C1817" s="158" t="s">
        <f>"韩青霖"</f>
        <v>3349</v>
      </c>
      <c r="D1817" s="158" t="s">
        <f>"15010121615"</f>
        <v>3350</v>
      </c>
      <c r="E1817" s="158">
        <v>45.11</v>
      </c>
      <c r="F1817" s="158"/>
      <c r="G1817" s="158">
        <v>45.11</v>
      </c>
    </row>
    <row r="1818" spans="1:7" ht="32.999496" customHeight="1" x14ac:dyDescent="0.15">
      <c r="A1818" s="158">
        <v>1816.0</v>
      </c>
      <c r="B1818" s="158" t="s">
        <v>8</v>
      </c>
      <c r="C1818" s="158" t="s">
        <f>"杨厅"</f>
        <v>3351</v>
      </c>
      <c r="D1818" s="158" t="s">
        <f>"15010121616"</f>
        <v>3352</v>
      </c>
      <c r="E1818" s="158" t="s">
        <v>15</v>
      </c>
      <c r="F1818" s="158"/>
      <c r="G1818" s="158" t="s">
        <v>15</v>
      </c>
    </row>
    <row r="1819" spans="1:7" ht="32.999496" customHeight="1" x14ac:dyDescent="0.15">
      <c r="A1819" s="158">
        <v>1817.0</v>
      </c>
      <c r="B1819" s="158" t="s">
        <v>8</v>
      </c>
      <c r="C1819" s="158" t="s">
        <f>"乌力吉"</f>
        <v>3353</v>
      </c>
      <c r="D1819" s="158" t="s">
        <f>"15010121617"</f>
        <v>3354</v>
      </c>
      <c r="E1819" s="158">
        <v>53.019999999999996</v>
      </c>
      <c r="F1819" s="158">
        <v>2.5</v>
      </c>
      <c r="G1819" s="158">
        <v>55.519999999999996</v>
      </c>
    </row>
    <row r="1820" spans="1:7" ht="32.999496" customHeight="1" x14ac:dyDescent="0.15">
      <c r="A1820" s="158">
        <v>1818.0</v>
      </c>
      <c r="B1820" s="158" t="s">
        <v>8</v>
      </c>
      <c r="C1820" s="158" t="s">
        <f>"李艳"</f>
        <v>1470</v>
      </c>
      <c r="D1820" s="158" t="s">
        <f>"15010121618"</f>
        <v>3355</v>
      </c>
      <c r="E1820" s="158">
        <v>53.14</v>
      </c>
      <c r="F1820" s="158"/>
      <c r="G1820" s="158">
        <v>53.14</v>
      </c>
    </row>
    <row r="1821" spans="1:7" ht="32.999496" customHeight="1" x14ac:dyDescent="0.15">
      <c r="A1821" s="158">
        <v>1819.0</v>
      </c>
      <c r="B1821" s="158" t="s">
        <v>8</v>
      </c>
      <c r="C1821" s="158" t="s">
        <f>"李慧"</f>
        <v>848</v>
      </c>
      <c r="D1821" s="158" t="s">
        <f>"15010121619"</f>
        <v>3356</v>
      </c>
      <c r="E1821" s="158">
        <v>48.83</v>
      </c>
      <c r="F1821" s="158"/>
      <c r="G1821" s="158">
        <v>48.83</v>
      </c>
    </row>
    <row r="1822" spans="1:7" ht="32.999496" customHeight="1" x14ac:dyDescent="0.15">
      <c r="A1822" s="158">
        <v>1820.0</v>
      </c>
      <c r="B1822" s="158" t="s">
        <v>8</v>
      </c>
      <c r="C1822" s="158" t="s">
        <f>"杨晓龙"</f>
        <v>3114</v>
      </c>
      <c r="D1822" s="158" t="s">
        <f>"15010121620"</f>
        <v>3357</v>
      </c>
      <c r="E1822" s="158" t="s">
        <v>15</v>
      </c>
      <c r="F1822" s="158"/>
      <c r="G1822" s="158" t="s">
        <v>15</v>
      </c>
    </row>
    <row r="1823" spans="1:7" ht="32.999496" customHeight="1" x14ac:dyDescent="0.15">
      <c r="A1823" s="158">
        <v>1821.0</v>
      </c>
      <c r="B1823" s="158" t="s">
        <v>8</v>
      </c>
      <c r="C1823" s="158" t="s">
        <f>"杨小平"</f>
        <v>3358</v>
      </c>
      <c r="D1823" s="158" t="s">
        <f>"15010121621"</f>
        <v>3359</v>
      </c>
      <c r="E1823" s="158" t="s">
        <v>15</v>
      </c>
      <c r="F1823" s="158"/>
      <c r="G1823" s="158" t="s">
        <v>15</v>
      </c>
    </row>
    <row r="1824" spans="1:7" ht="32.999496" customHeight="1" x14ac:dyDescent="0.15">
      <c r="A1824" s="158">
        <v>1822.0</v>
      </c>
      <c r="B1824" s="158" t="s">
        <v>8</v>
      </c>
      <c r="C1824" s="158" t="s">
        <f>"钱贤芝"</f>
        <v>3360</v>
      </c>
      <c r="D1824" s="158" t="s">
        <f>"15010121622"</f>
        <v>3361</v>
      </c>
      <c r="E1824" s="158" t="s">
        <v>15</v>
      </c>
      <c r="F1824" s="158">
        <v>2.5</v>
      </c>
      <c r="G1824" s="158" t="s">
        <v>15</v>
      </c>
    </row>
    <row r="1825" spans="1:7" ht="32.999496" customHeight="1" x14ac:dyDescent="0.15">
      <c r="A1825" s="158">
        <v>1823.0</v>
      </c>
      <c r="B1825" s="158" t="s">
        <v>8</v>
      </c>
      <c r="C1825" s="158" t="s">
        <f>"武琳"</f>
        <v>3362</v>
      </c>
      <c r="D1825" s="158" t="s">
        <f>"15010121623"</f>
        <v>3363</v>
      </c>
      <c r="E1825" s="158">
        <v>61.98</v>
      </c>
      <c r="F1825" s="158"/>
      <c r="G1825" s="158">
        <v>61.98</v>
      </c>
    </row>
    <row r="1826" spans="1:7" ht="32.999496" customHeight="1" x14ac:dyDescent="0.15">
      <c r="A1826" s="158">
        <v>1824.0</v>
      </c>
      <c r="B1826" s="158" t="s">
        <v>8</v>
      </c>
      <c r="C1826" s="158" t="s">
        <f>"王一帆"</f>
        <v>2432</v>
      </c>
      <c r="D1826" s="158" t="s">
        <f>"15010121624"</f>
        <v>3364</v>
      </c>
      <c r="E1826" s="158">
        <v>58.28</v>
      </c>
      <c r="F1826" s="158"/>
      <c r="G1826" s="158">
        <v>58.28</v>
      </c>
    </row>
    <row r="1827" spans="1:7" ht="32.999496" customHeight="1" x14ac:dyDescent="0.15">
      <c r="A1827" s="158">
        <v>1825.0</v>
      </c>
      <c r="B1827" s="158" t="s">
        <v>8</v>
      </c>
      <c r="C1827" s="158" t="s">
        <f>"刘杰"</f>
        <v>3365</v>
      </c>
      <c r="D1827" s="158" t="s">
        <f>"15010121625"</f>
        <v>3366</v>
      </c>
      <c r="E1827" s="158">
        <v>46.67</v>
      </c>
      <c r="F1827" s="158"/>
      <c r="G1827" s="158">
        <v>46.67</v>
      </c>
    </row>
    <row r="1828" spans="1:7" ht="32.999496" customHeight="1" x14ac:dyDescent="0.15">
      <c r="A1828" s="158">
        <v>1826.0</v>
      </c>
      <c r="B1828" s="158" t="s">
        <v>8</v>
      </c>
      <c r="C1828" s="158" t="s">
        <f>"杨磊"</f>
        <v>2083</v>
      </c>
      <c r="D1828" s="158" t="s">
        <f>"15010121626"</f>
        <v>3367</v>
      </c>
      <c r="E1828" s="158">
        <v>43.07</v>
      </c>
      <c r="F1828" s="158"/>
      <c r="G1828" s="158">
        <v>43.07</v>
      </c>
    </row>
    <row r="1829" spans="1:7" ht="32.999496" customHeight="1" x14ac:dyDescent="0.15">
      <c r="A1829" s="158">
        <v>1827.0</v>
      </c>
      <c r="B1829" s="158" t="s">
        <v>8</v>
      </c>
      <c r="C1829" s="158" t="s">
        <f>"李军"</f>
        <v>3368</v>
      </c>
      <c r="D1829" s="158" t="s">
        <f>"15010121627"</f>
        <v>3369</v>
      </c>
      <c r="E1829" s="158" t="s">
        <v>15</v>
      </c>
      <c r="F1829" s="158"/>
      <c r="G1829" s="158" t="s">
        <v>15</v>
      </c>
    </row>
    <row r="1830" spans="1:7" ht="32.999496" customHeight="1" x14ac:dyDescent="0.15">
      <c r="A1830" s="158">
        <v>1828.0</v>
      </c>
      <c r="B1830" s="158" t="s">
        <v>8</v>
      </c>
      <c r="C1830" s="158" t="s">
        <f>"白旭东"</f>
        <v>3370</v>
      </c>
      <c r="D1830" s="158" t="s">
        <f>"15010121628"</f>
        <v>3371</v>
      </c>
      <c r="E1830" s="158" t="s">
        <v>15</v>
      </c>
      <c r="F1830" s="158"/>
      <c r="G1830" s="158" t="s">
        <v>15</v>
      </c>
    </row>
    <row r="1831" spans="1:7" ht="32.999496" customHeight="1" x14ac:dyDescent="0.15">
      <c r="A1831" s="158">
        <v>1829.0</v>
      </c>
      <c r="B1831" s="158" t="s">
        <v>8</v>
      </c>
      <c r="C1831" s="158" t="s">
        <f>"杨凡"</f>
        <v>3372</v>
      </c>
      <c r="D1831" s="158" t="s">
        <f>"15010121629"</f>
        <v>3373</v>
      </c>
      <c r="E1831" s="158">
        <v>53.66</v>
      </c>
      <c r="F1831" s="158"/>
      <c r="G1831" s="158">
        <v>53.66</v>
      </c>
    </row>
    <row r="1832" spans="1:7" ht="32.999496" customHeight="1" x14ac:dyDescent="0.15">
      <c r="A1832" s="158">
        <v>1830.0</v>
      </c>
      <c r="B1832" s="158" t="s">
        <v>8</v>
      </c>
      <c r="C1832" s="158" t="s">
        <f>"王瑞霞"</f>
        <v>3374</v>
      </c>
      <c r="D1832" s="158" t="s">
        <f>"15010121630"</f>
        <v>3375</v>
      </c>
      <c r="E1832" s="158" t="s">
        <v>15</v>
      </c>
      <c r="F1832" s="158"/>
      <c r="G1832" s="158" t="s">
        <v>15</v>
      </c>
    </row>
    <row r="1833" spans="1:7" ht="32.999496" customHeight="1" x14ac:dyDescent="0.15">
      <c r="A1833" s="158">
        <v>1831.0</v>
      </c>
      <c r="B1833" s="158" t="s">
        <v>8</v>
      </c>
      <c r="C1833" s="158" t="s">
        <f>"韩婷"</f>
        <v>3376</v>
      </c>
      <c r="D1833" s="158" t="s">
        <f>"15010121701"</f>
        <v>3377</v>
      </c>
      <c r="E1833" s="158">
        <v>58.63</v>
      </c>
      <c r="F1833" s="158"/>
      <c r="G1833" s="158">
        <v>58.63</v>
      </c>
    </row>
    <row r="1834" spans="1:7" ht="32.999496" customHeight="1" x14ac:dyDescent="0.15">
      <c r="A1834" s="158">
        <v>1832.0</v>
      </c>
      <c r="B1834" s="158" t="s">
        <v>8</v>
      </c>
      <c r="C1834" s="158" t="s">
        <f>"冯锦玺"</f>
        <v>3378</v>
      </c>
      <c r="D1834" s="158" t="s">
        <f>"15010121702"</f>
        <v>3379</v>
      </c>
      <c r="E1834" s="158" t="s">
        <v>15</v>
      </c>
      <c r="F1834" s="158"/>
      <c r="G1834" s="158" t="s">
        <v>15</v>
      </c>
    </row>
    <row r="1835" spans="1:7" ht="32.999496" customHeight="1" x14ac:dyDescent="0.15">
      <c r="A1835" s="158">
        <v>1833.0</v>
      </c>
      <c r="B1835" s="158" t="s">
        <v>8</v>
      </c>
      <c r="C1835" s="158" t="s">
        <f>"张红艳"</f>
        <v>3380</v>
      </c>
      <c r="D1835" s="158" t="s">
        <f>"15010121703"</f>
        <v>3381</v>
      </c>
      <c r="E1835" s="158">
        <v>69.19</v>
      </c>
      <c r="F1835" s="158"/>
      <c r="G1835" s="158">
        <v>69.19</v>
      </c>
    </row>
    <row r="1836" spans="1:7" ht="32.999496" customHeight="1" x14ac:dyDescent="0.15">
      <c r="A1836" s="158">
        <v>1834.0</v>
      </c>
      <c r="B1836" s="158" t="s">
        <v>8</v>
      </c>
      <c r="C1836" s="158" t="s">
        <f>"色迪亚"</f>
        <v>3382</v>
      </c>
      <c r="D1836" s="158" t="s">
        <f>"15010121704"</f>
        <v>3383</v>
      </c>
      <c r="E1836" s="158">
        <v>56.45</v>
      </c>
      <c r="F1836" s="158">
        <v>2.5</v>
      </c>
      <c r="G1836" s="158">
        <v>58.95</v>
      </c>
    </row>
    <row r="1837" spans="1:7" ht="32.999496" customHeight="1" x14ac:dyDescent="0.15">
      <c r="A1837" s="158">
        <v>1835.0</v>
      </c>
      <c r="B1837" s="158" t="s">
        <v>8</v>
      </c>
      <c r="C1837" s="158" t="s">
        <f>"刘璐"</f>
        <v>2059</v>
      </c>
      <c r="D1837" s="158" t="s">
        <f>"15010121705"</f>
        <v>3384</v>
      </c>
      <c r="E1837" s="158" t="s">
        <v>15</v>
      </c>
      <c r="F1837" s="158"/>
      <c r="G1837" s="158" t="s">
        <v>15</v>
      </c>
    </row>
    <row r="1838" spans="1:7" ht="32.999496" customHeight="1" x14ac:dyDescent="0.15">
      <c r="A1838" s="158">
        <v>1836.0</v>
      </c>
      <c r="B1838" s="158" t="s">
        <v>8</v>
      </c>
      <c r="C1838" s="158" t="s">
        <f>"张书荣"</f>
        <v>3385</v>
      </c>
      <c r="D1838" s="158" t="s">
        <f>"15010121706"</f>
        <v>3386</v>
      </c>
      <c r="E1838" s="158">
        <v>52.53</v>
      </c>
      <c r="F1838" s="158"/>
      <c r="G1838" s="158">
        <v>52.53</v>
      </c>
    </row>
    <row r="1839" spans="1:7" ht="32.999496" customHeight="1" x14ac:dyDescent="0.15">
      <c r="A1839" s="158">
        <v>1837.0</v>
      </c>
      <c r="B1839" s="158" t="s">
        <v>8</v>
      </c>
      <c r="C1839" s="158" t="s">
        <f>"赵青"</f>
        <v>3387</v>
      </c>
      <c r="D1839" s="158" t="s">
        <f>"15010121707"</f>
        <v>3388</v>
      </c>
      <c r="E1839" s="158" t="s">
        <v>15</v>
      </c>
      <c r="F1839" s="158"/>
      <c r="G1839" s="158" t="s">
        <v>15</v>
      </c>
    </row>
    <row r="1840" spans="1:7" ht="32.999496" customHeight="1" x14ac:dyDescent="0.15">
      <c r="A1840" s="158">
        <v>1838.0</v>
      </c>
      <c r="B1840" s="158" t="s">
        <v>8</v>
      </c>
      <c r="C1840" s="158" t="s">
        <f>"杨艳"</f>
        <v>768</v>
      </c>
      <c r="D1840" s="158" t="s">
        <f>"15010121708"</f>
        <v>3389</v>
      </c>
      <c r="E1840" s="158">
        <v>54.94</v>
      </c>
      <c r="F1840" s="158"/>
      <c r="G1840" s="158">
        <v>54.94</v>
      </c>
    </row>
    <row r="1841" spans="1:7" ht="32.999496" customHeight="1" x14ac:dyDescent="0.15">
      <c r="A1841" s="158">
        <v>1839.0</v>
      </c>
      <c r="B1841" s="158" t="s">
        <v>8</v>
      </c>
      <c r="C1841" s="158" t="s">
        <f>"薛玉龙"</f>
        <v>3390</v>
      </c>
      <c r="D1841" s="158" t="s">
        <f>"15010121709"</f>
        <v>3391</v>
      </c>
      <c r="E1841" s="158" t="s">
        <v>15</v>
      </c>
      <c r="F1841" s="158"/>
      <c r="G1841" s="158" t="s">
        <v>15</v>
      </c>
    </row>
    <row r="1842" spans="1:7" ht="32.999496" customHeight="1" x14ac:dyDescent="0.15">
      <c r="A1842" s="158">
        <v>1840.0</v>
      </c>
      <c r="B1842" s="158" t="s">
        <v>8</v>
      </c>
      <c r="C1842" s="158" t="s">
        <f>"柳俊"</f>
        <v>3392</v>
      </c>
      <c r="D1842" s="158" t="s">
        <f>"15010121710"</f>
        <v>3393</v>
      </c>
      <c r="E1842" s="158" t="s">
        <v>15</v>
      </c>
      <c r="F1842" s="158"/>
      <c r="G1842" s="158" t="s">
        <v>15</v>
      </c>
    </row>
    <row r="1843" spans="1:7" ht="32.999496" customHeight="1" x14ac:dyDescent="0.15">
      <c r="A1843" s="158">
        <v>1841.0</v>
      </c>
      <c r="B1843" s="158" t="s">
        <v>8</v>
      </c>
      <c r="C1843" s="158" t="s">
        <f>"任义"</f>
        <v>3394</v>
      </c>
      <c r="D1843" s="158" t="s">
        <f>"15010121711"</f>
        <v>3395</v>
      </c>
      <c r="E1843" s="158">
        <v>59.78</v>
      </c>
      <c r="F1843" s="158"/>
      <c r="G1843" s="158">
        <v>59.78</v>
      </c>
    </row>
    <row r="1844" spans="1:7" ht="32.999496" customHeight="1" x14ac:dyDescent="0.15">
      <c r="A1844" s="158">
        <v>1842.0</v>
      </c>
      <c r="B1844" s="158" t="s">
        <v>8</v>
      </c>
      <c r="C1844" s="158" t="s">
        <f>"周昊"</f>
        <v>3396</v>
      </c>
      <c r="D1844" s="158" t="s">
        <f>"15010121712"</f>
        <v>3397</v>
      </c>
      <c r="E1844" s="158">
        <v>31.14</v>
      </c>
      <c r="F1844" s="158"/>
      <c r="G1844" s="158">
        <v>31.14</v>
      </c>
    </row>
    <row r="1845" spans="1:7" ht="32.999496" customHeight="1" x14ac:dyDescent="0.15">
      <c r="A1845" s="158">
        <v>1843.0</v>
      </c>
      <c r="B1845" s="158" t="s">
        <v>8</v>
      </c>
      <c r="C1845" s="158" t="s">
        <f>"闫明"</f>
        <v>3398</v>
      </c>
      <c r="D1845" s="158" t="s">
        <f>"15010121713"</f>
        <v>3399</v>
      </c>
      <c r="E1845" s="158">
        <v>64.38</v>
      </c>
      <c r="F1845" s="158"/>
      <c r="G1845" s="158">
        <v>64.38</v>
      </c>
    </row>
    <row r="1846" spans="1:7" ht="32.999496" customHeight="1" x14ac:dyDescent="0.15">
      <c r="A1846" s="158">
        <v>1844.0</v>
      </c>
      <c r="B1846" s="158" t="s">
        <v>8</v>
      </c>
      <c r="C1846" s="158" t="s">
        <f>"祁瑞"</f>
        <v>3400</v>
      </c>
      <c r="D1846" s="158" t="s">
        <f>"15010121714"</f>
        <v>3401</v>
      </c>
      <c r="E1846" s="158">
        <v>46.3</v>
      </c>
      <c r="F1846" s="158"/>
      <c r="G1846" s="158">
        <v>46.3</v>
      </c>
    </row>
    <row r="1847" spans="1:7" ht="32.999496" customHeight="1" x14ac:dyDescent="0.15">
      <c r="A1847" s="158">
        <v>1845.0</v>
      </c>
      <c r="B1847" s="158" t="s">
        <v>8</v>
      </c>
      <c r="C1847" s="158" t="s">
        <f>"秦嘉隆"</f>
        <v>3402</v>
      </c>
      <c r="D1847" s="158" t="s">
        <f>"15010121715"</f>
        <v>3403</v>
      </c>
      <c r="E1847" s="158">
        <v>65.78999999999999</v>
      </c>
      <c r="F1847" s="158"/>
      <c r="G1847" s="158">
        <v>65.78999999999999</v>
      </c>
    </row>
    <row r="1848" spans="1:7" ht="32.999496" customHeight="1" x14ac:dyDescent="0.15">
      <c r="A1848" s="158">
        <v>1846.0</v>
      </c>
      <c r="B1848" s="158" t="s">
        <v>8</v>
      </c>
      <c r="C1848" s="158" t="s">
        <f>"雷锋"</f>
        <v>3404</v>
      </c>
      <c r="D1848" s="158" t="s">
        <f>"15010121716"</f>
        <v>3405</v>
      </c>
      <c r="E1848" s="158" t="s">
        <v>15</v>
      </c>
      <c r="F1848" s="158"/>
      <c r="G1848" s="158" t="s">
        <v>15</v>
      </c>
    </row>
    <row r="1849" spans="1:7" ht="32.999496" customHeight="1" x14ac:dyDescent="0.15">
      <c r="A1849" s="158">
        <v>1847.0</v>
      </c>
      <c r="B1849" s="158" t="s">
        <v>8</v>
      </c>
      <c r="C1849" s="158" t="s">
        <f>"徐梦怡"</f>
        <v>3406</v>
      </c>
      <c r="D1849" s="158" t="s">
        <f>"15010121717"</f>
        <v>3407</v>
      </c>
      <c r="E1849" s="158" t="s">
        <v>15</v>
      </c>
      <c r="F1849" s="158"/>
      <c r="G1849" s="158" t="s">
        <v>15</v>
      </c>
    </row>
    <row r="1850" spans="1:7" ht="32.999496" customHeight="1" x14ac:dyDescent="0.15">
      <c r="A1850" s="158">
        <v>1848.0</v>
      </c>
      <c r="B1850" s="158" t="s">
        <v>8</v>
      </c>
      <c r="C1850" s="158" t="s">
        <f>"刘沙"</f>
        <v>3408</v>
      </c>
      <c r="D1850" s="158" t="s">
        <f>"15010121718"</f>
        <v>3409</v>
      </c>
      <c r="E1850" s="158" t="s">
        <v>15</v>
      </c>
      <c r="F1850" s="158"/>
      <c r="G1850" s="158" t="s">
        <v>15</v>
      </c>
    </row>
    <row r="1851" spans="1:7" ht="32.999496" customHeight="1" x14ac:dyDescent="0.15">
      <c r="A1851" s="158">
        <v>1849.0</v>
      </c>
      <c r="B1851" s="158" t="s">
        <v>8</v>
      </c>
      <c r="C1851" s="158" t="s">
        <f>"王波"</f>
        <v>3410</v>
      </c>
      <c r="D1851" s="158" t="s">
        <f>"15010121719"</f>
        <v>3411</v>
      </c>
      <c r="E1851" s="158" t="s">
        <v>15</v>
      </c>
      <c r="F1851" s="158"/>
      <c r="G1851" s="158" t="s">
        <v>15</v>
      </c>
    </row>
    <row r="1852" spans="1:7" ht="32.999496" customHeight="1" x14ac:dyDescent="0.15">
      <c r="A1852" s="158">
        <v>1850.0</v>
      </c>
      <c r="B1852" s="158" t="s">
        <v>8</v>
      </c>
      <c r="C1852" s="158" t="s">
        <f>"李昀洋"</f>
        <v>3412</v>
      </c>
      <c r="D1852" s="158" t="s">
        <f>"15010121720"</f>
        <v>3413</v>
      </c>
      <c r="E1852" s="158" t="s">
        <v>15</v>
      </c>
      <c r="F1852" s="158"/>
      <c r="G1852" s="158" t="s">
        <v>15</v>
      </c>
    </row>
    <row r="1853" spans="1:7" ht="32.999496" customHeight="1" x14ac:dyDescent="0.15">
      <c r="A1853" s="158">
        <v>1851.0</v>
      </c>
      <c r="B1853" s="158" t="s">
        <v>8</v>
      </c>
      <c r="C1853" s="158" t="s">
        <f>"王书裕"</f>
        <v>3414</v>
      </c>
      <c r="D1853" s="158" t="s">
        <f>"15010121721"</f>
        <v>3415</v>
      </c>
      <c r="E1853" s="158">
        <v>75.35</v>
      </c>
      <c r="F1853" s="158"/>
      <c r="G1853" s="158">
        <v>75.35</v>
      </c>
    </row>
    <row r="1854" spans="1:7" ht="32.999496" customHeight="1" x14ac:dyDescent="0.15">
      <c r="A1854" s="158">
        <v>1852.0</v>
      </c>
      <c r="B1854" s="158" t="s">
        <v>8</v>
      </c>
      <c r="C1854" s="158" t="s">
        <f>"徐乐"</f>
        <v>3416</v>
      </c>
      <c r="D1854" s="158" t="s">
        <f>"15010121722"</f>
        <v>3417</v>
      </c>
      <c r="E1854" s="158" t="s">
        <v>15</v>
      </c>
      <c r="F1854" s="158"/>
      <c r="G1854" s="158" t="s">
        <v>15</v>
      </c>
    </row>
    <row r="1855" spans="1:7" ht="32.999496" customHeight="1" x14ac:dyDescent="0.15">
      <c r="A1855" s="158">
        <v>1853.0</v>
      </c>
      <c r="B1855" s="158" t="s">
        <v>8</v>
      </c>
      <c r="C1855" s="158" t="s">
        <f>"文珠娜"</f>
        <v>3418</v>
      </c>
      <c r="D1855" s="158" t="s">
        <f>"15010121723"</f>
        <v>3419</v>
      </c>
      <c r="E1855" s="158">
        <v>46.230000000000004</v>
      </c>
      <c r="F1855" s="158">
        <v>2.5</v>
      </c>
      <c r="G1855" s="158">
        <v>48.730000000000004</v>
      </c>
    </row>
    <row r="1856" spans="1:7" ht="32.999496" customHeight="1" x14ac:dyDescent="0.15">
      <c r="A1856" s="158">
        <v>1854.0</v>
      </c>
      <c r="B1856" s="158" t="s">
        <v>8</v>
      </c>
      <c r="C1856" s="158" t="s">
        <f>"白雪"</f>
        <v>60</v>
      </c>
      <c r="D1856" s="158" t="s">
        <f>"15010121724"</f>
        <v>3420</v>
      </c>
      <c r="E1856" s="158">
        <v>50.269999999999996</v>
      </c>
      <c r="F1856" s="158"/>
      <c r="G1856" s="158">
        <v>50.269999999999996</v>
      </c>
    </row>
    <row r="1857" spans="1:7" ht="32.999496" customHeight="1" x14ac:dyDescent="0.15">
      <c r="A1857" s="158">
        <v>1855.0</v>
      </c>
      <c r="B1857" s="158" t="s">
        <v>8</v>
      </c>
      <c r="C1857" s="158" t="s">
        <f>"杨勇"</f>
        <v>3421</v>
      </c>
      <c r="D1857" s="158" t="s">
        <f>"15010121725"</f>
        <v>3422</v>
      </c>
      <c r="E1857" s="158" t="s">
        <v>15</v>
      </c>
      <c r="F1857" s="158"/>
      <c r="G1857" s="158" t="s">
        <v>15</v>
      </c>
    </row>
    <row r="1858" spans="1:7" ht="32.999496" customHeight="1" x14ac:dyDescent="0.15">
      <c r="A1858" s="158">
        <v>1856.0</v>
      </c>
      <c r="B1858" s="158" t="s">
        <v>8</v>
      </c>
      <c r="C1858" s="158" t="s">
        <f>"何娜"</f>
        <v>3423</v>
      </c>
      <c r="D1858" s="158" t="s">
        <f>"15010121726"</f>
        <v>3424</v>
      </c>
      <c r="E1858" s="158">
        <v>63.06</v>
      </c>
      <c r="F1858" s="158"/>
      <c r="G1858" s="158">
        <v>63.06</v>
      </c>
    </row>
    <row r="1859" spans="1:7" ht="32.999496" customHeight="1" x14ac:dyDescent="0.15">
      <c r="A1859" s="158">
        <v>1857.0</v>
      </c>
      <c r="B1859" s="158" t="s">
        <v>8</v>
      </c>
      <c r="C1859" s="158" t="s">
        <f>"王宇"</f>
        <v>296</v>
      </c>
      <c r="D1859" s="158" t="s">
        <f>"15010121727"</f>
        <v>3425</v>
      </c>
      <c r="E1859" s="158" t="s">
        <v>15</v>
      </c>
      <c r="F1859" s="158"/>
      <c r="G1859" s="158" t="s">
        <v>15</v>
      </c>
    </row>
    <row r="1860" spans="1:7" ht="32.999496" customHeight="1" x14ac:dyDescent="0.15">
      <c r="A1860" s="158">
        <v>1858.0</v>
      </c>
      <c r="B1860" s="158" t="s">
        <v>8</v>
      </c>
      <c r="C1860" s="158" t="s">
        <f>"白艳"</f>
        <v>3426</v>
      </c>
      <c r="D1860" s="158" t="s">
        <f>"15010121728"</f>
        <v>3427</v>
      </c>
      <c r="E1860" s="158" t="s">
        <v>15</v>
      </c>
      <c r="F1860" s="158"/>
      <c r="G1860" s="158" t="s">
        <v>15</v>
      </c>
    </row>
    <row r="1861" spans="1:7" ht="32.999496" customHeight="1" x14ac:dyDescent="0.15">
      <c r="A1861" s="158">
        <v>1859.0</v>
      </c>
      <c r="B1861" s="158" t="s">
        <v>8</v>
      </c>
      <c r="C1861" s="158" t="s">
        <f>"高洁"</f>
        <v>3428</v>
      </c>
      <c r="D1861" s="158" t="s">
        <f>"15010121729"</f>
        <v>3429</v>
      </c>
      <c r="E1861" s="158">
        <v>59.82</v>
      </c>
      <c r="F1861" s="158"/>
      <c r="G1861" s="158">
        <v>59.82</v>
      </c>
    </row>
    <row r="1862" spans="1:7" ht="32.999496" customHeight="1" x14ac:dyDescent="0.15">
      <c r="A1862" s="158">
        <v>1860.0</v>
      </c>
      <c r="B1862" s="158" t="s">
        <v>8</v>
      </c>
      <c r="C1862" s="158" t="s">
        <f>"杨婷婷"</f>
        <v>3430</v>
      </c>
      <c r="D1862" s="158" t="s">
        <f>"15010121730"</f>
        <v>3431</v>
      </c>
      <c r="E1862" s="158" t="s">
        <v>15</v>
      </c>
      <c r="F1862" s="158"/>
      <c r="G1862" s="158" t="s">
        <v>15</v>
      </c>
    </row>
    <row r="1863" spans="1:7" ht="32.999496" customHeight="1" x14ac:dyDescent="0.15">
      <c r="A1863" s="158">
        <v>1861.0</v>
      </c>
      <c r="B1863" s="158" t="s">
        <v>8</v>
      </c>
      <c r="C1863" s="158" t="s">
        <f>"郭伟"</f>
        <v>2630</v>
      </c>
      <c r="D1863" s="158" t="s">
        <f>"15010121801"</f>
        <v>3432</v>
      </c>
      <c r="E1863" s="158">
        <v>50.980000000000004</v>
      </c>
      <c r="F1863" s="158"/>
      <c r="G1863" s="158">
        <v>50.980000000000004</v>
      </c>
    </row>
    <row r="1864" spans="1:7" ht="32.999496" customHeight="1" x14ac:dyDescent="0.15">
      <c r="A1864" s="158">
        <v>1862.0</v>
      </c>
      <c r="B1864" s="158" t="s">
        <v>8</v>
      </c>
      <c r="C1864" s="158" t="s">
        <f>"张瑞芳"</f>
        <v>3433</v>
      </c>
      <c r="D1864" s="158" t="s">
        <f>"15010121802"</f>
        <v>3434</v>
      </c>
      <c r="E1864" s="158" t="s">
        <v>15</v>
      </c>
      <c r="F1864" s="158"/>
      <c r="G1864" s="158" t="s">
        <v>15</v>
      </c>
    </row>
    <row r="1865" spans="1:7" ht="32.999496" customHeight="1" x14ac:dyDescent="0.15">
      <c r="A1865" s="158">
        <v>1863.0</v>
      </c>
      <c r="B1865" s="158" t="s">
        <v>8</v>
      </c>
      <c r="C1865" s="158" t="s">
        <f>"袁鸣春"</f>
        <v>3435</v>
      </c>
      <c r="D1865" s="158" t="s">
        <f>"15010121803"</f>
        <v>3436</v>
      </c>
      <c r="E1865" s="158" t="s">
        <v>15</v>
      </c>
      <c r="F1865" s="158"/>
      <c r="G1865" s="158" t="s">
        <v>15</v>
      </c>
    </row>
    <row r="1866" spans="1:7" ht="32.999496" customHeight="1" x14ac:dyDescent="0.15">
      <c r="A1866" s="158">
        <v>1864.0</v>
      </c>
      <c r="B1866" s="158" t="s">
        <v>8</v>
      </c>
      <c r="C1866" s="158" t="s">
        <f>"燕云飞"</f>
        <v>3437</v>
      </c>
      <c r="D1866" s="158" t="s">
        <f>"15010121804"</f>
        <v>3438</v>
      </c>
      <c r="E1866" s="158">
        <v>25.1</v>
      </c>
      <c r="F1866" s="158"/>
      <c r="G1866" s="158">
        <v>25.1</v>
      </c>
    </row>
    <row r="1867" spans="1:7" ht="32.999496" customHeight="1" x14ac:dyDescent="0.15">
      <c r="A1867" s="158">
        <v>1865.0</v>
      </c>
      <c r="B1867" s="158" t="s">
        <v>8</v>
      </c>
      <c r="C1867" s="158" t="s">
        <f>"丁贵芳"</f>
        <v>3439</v>
      </c>
      <c r="D1867" s="158" t="s">
        <f>"15010121805"</f>
        <v>3440</v>
      </c>
      <c r="E1867" s="158" t="s">
        <v>15</v>
      </c>
      <c r="F1867" s="158"/>
      <c r="G1867" s="158" t="s">
        <v>15</v>
      </c>
    </row>
    <row r="1868" spans="1:7" ht="32.999496" customHeight="1" x14ac:dyDescent="0.15">
      <c r="A1868" s="158">
        <v>1866.0</v>
      </c>
      <c r="B1868" s="158" t="s">
        <v>8</v>
      </c>
      <c r="C1868" s="158" t="s">
        <f>"刘悦"</f>
        <v>34</v>
      </c>
      <c r="D1868" s="158" t="s">
        <f>"15010121806"</f>
        <v>3441</v>
      </c>
      <c r="E1868" s="158" t="s">
        <v>15</v>
      </c>
      <c r="F1868" s="158">
        <v>2.5</v>
      </c>
      <c r="G1868" s="158" t="s">
        <v>15</v>
      </c>
    </row>
    <row r="1869" spans="1:7" ht="32.999496" customHeight="1" x14ac:dyDescent="0.15">
      <c r="A1869" s="158">
        <v>1867.0</v>
      </c>
      <c r="B1869" s="158" t="s">
        <v>8</v>
      </c>
      <c r="C1869" s="158" t="s">
        <f>"杜加伟"</f>
        <v>3442</v>
      </c>
      <c r="D1869" s="158" t="s">
        <f>"15010121807"</f>
        <v>3443</v>
      </c>
      <c r="E1869" s="158" t="s">
        <v>15</v>
      </c>
      <c r="F1869" s="158"/>
      <c r="G1869" s="158" t="s">
        <v>15</v>
      </c>
    </row>
    <row r="1870" spans="1:7" ht="32.999496" customHeight="1" x14ac:dyDescent="0.15">
      <c r="A1870" s="158">
        <v>1868.0</v>
      </c>
      <c r="B1870" s="158" t="s">
        <v>8</v>
      </c>
      <c r="C1870" s="158" t="s">
        <f>"张龙英"</f>
        <v>3444</v>
      </c>
      <c r="D1870" s="158" t="s">
        <f>"15010121808"</f>
        <v>3445</v>
      </c>
      <c r="E1870" s="158" t="s">
        <v>15</v>
      </c>
      <c r="F1870" s="158"/>
      <c r="G1870" s="158" t="s">
        <v>15</v>
      </c>
    </row>
    <row r="1871" spans="1:7" ht="32.999496" customHeight="1" x14ac:dyDescent="0.15">
      <c r="A1871" s="158">
        <v>1869.0</v>
      </c>
      <c r="B1871" s="158" t="s">
        <v>8</v>
      </c>
      <c r="C1871" s="158" t="s">
        <f>"李政凯"</f>
        <v>3446</v>
      </c>
      <c r="D1871" s="158" t="s">
        <f>"15010121809"</f>
        <v>3447</v>
      </c>
      <c r="E1871" s="158" t="s">
        <v>15</v>
      </c>
      <c r="F1871" s="158"/>
      <c r="G1871" s="158" t="s">
        <v>15</v>
      </c>
    </row>
    <row r="1872" spans="1:7" ht="32.999496" customHeight="1" x14ac:dyDescent="0.15">
      <c r="A1872" s="158">
        <v>1870.0</v>
      </c>
      <c r="B1872" s="158" t="s">
        <v>8</v>
      </c>
      <c r="C1872" s="158" t="s">
        <f>"张伊娜"</f>
        <v>3448</v>
      </c>
      <c r="D1872" s="158" t="s">
        <f>"15010121810"</f>
        <v>3449</v>
      </c>
      <c r="E1872" s="158">
        <v>50.04</v>
      </c>
      <c r="F1872" s="158"/>
      <c r="G1872" s="158">
        <v>50.04</v>
      </c>
    </row>
    <row r="1873" spans="1:7" ht="32.999496" customHeight="1" x14ac:dyDescent="0.15">
      <c r="A1873" s="158">
        <v>1871.0</v>
      </c>
      <c r="B1873" s="158" t="s">
        <v>8</v>
      </c>
      <c r="C1873" s="158" t="s">
        <f>"郝廷"</f>
        <v>3450</v>
      </c>
      <c r="D1873" s="158" t="s">
        <f>"15010121811"</f>
        <v>3451</v>
      </c>
      <c r="E1873" s="158">
        <v>58.7</v>
      </c>
      <c r="F1873" s="158"/>
      <c r="G1873" s="158">
        <v>58.7</v>
      </c>
    </row>
    <row r="1874" spans="1:7" ht="32.999496" customHeight="1" x14ac:dyDescent="0.15">
      <c r="A1874" s="158">
        <v>1872.0</v>
      </c>
      <c r="B1874" s="158" t="s">
        <v>8</v>
      </c>
      <c r="C1874" s="158" t="s">
        <f>"史瑞敏"</f>
        <v>3452</v>
      </c>
      <c r="D1874" s="158" t="s">
        <f>"15010121812"</f>
        <v>3453</v>
      </c>
      <c r="E1874" s="158">
        <v>33.55</v>
      </c>
      <c r="F1874" s="158"/>
      <c r="G1874" s="158">
        <v>33.55</v>
      </c>
    </row>
    <row r="1875" spans="1:7" ht="32.999496" customHeight="1" x14ac:dyDescent="0.15">
      <c r="A1875" s="158">
        <v>1873.0</v>
      </c>
      <c r="B1875" s="158" t="s">
        <v>8</v>
      </c>
      <c r="C1875" s="158" t="s">
        <f>"孙文文"</f>
        <v>3454</v>
      </c>
      <c r="D1875" s="158" t="s">
        <f>"15010121813"</f>
        <v>3455</v>
      </c>
      <c r="E1875" s="158" t="s">
        <v>15</v>
      </c>
      <c r="F1875" s="158"/>
      <c r="G1875" s="158" t="s">
        <v>15</v>
      </c>
    </row>
    <row r="1876" spans="1:7" ht="32.999496" customHeight="1" x14ac:dyDescent="0.15">
      <c r="A1876" s="158">
        <v>1874.0</v>
      </c>
      <c r="B1876" s="158" t="s">
        <v>8</v>
      </c>
      <c r="C1876" s="158" t="s">
        <f>"郝敏"</f>
        <v>1640</v>
      </c>
      <c r="D1876" s="158" t="s">
        <f>"15010121814"</f>
        <v>3456</v>
      </c>
      <c r="E1876" s="158" t="s">
        <v>15</v>
      </c>
      <c r="F1876" s="158"/>
      <c r="G1876" s="158" t="s">
        <v>15</v>
      </c>
    </row>
    <row r="1877" spans="1:7" ht="32.999496" customHeight="1" x14ac:dyDescent="0.15">
      <c r="A1877" s="158">
        <v>1875.0</v>
      </c>
      <c r="B1877" s="158" t="s">
        <v>8</v>
      </c>
      <c r="C1877" s="158" t="s">
        <f>"高瑞芳"</f>
        <v>3457</v>
      </c>
      <c r="D1877" s="158" t="s">
        <f>"15010121815"</f>
        <v>3458</v>
      </c>
      <c r="E1877" s="158">
        <v>53.19</v>
      </c>
      <c r="F1877" s="158"/>
      <c r="G1877" s="158">
        <v>53.19</v>
      </c>
    </row>
    <row r="1878" spans="1:7" ht="32.999496" customHeight="1" x14ac:dyDescent="0.15">
      <c r="A1878" s="158">
        <v>1876.0</v>
      </c>
      <c r="B1878" s="158" t="s">
        <v>8</v>
      </c>
      <c r="C1878" s="158" t="s">
        <f>"郭艳"</f>
        <v>54</v>
      </c>
      <c r="D1878" s="158" t="s">
        <f>"15010121816"</f>
        <v>3459</v>
      </c>
      <c r="E1878" s="158">
        <v>66.53</v>
      </c>
      <c r="F1878" s="158"/>
      <c r="G1878" s="158">
        <v>66.53</v>
      </c>
    </row>
    <row r="1879" spans="1:7" ht="32.999496" customHeight="1" x14ac:dyDescent="0.15">
      <c r="A1879" s="158">
        <v>1877.0</v>
      </c>
      <c r="B1879" s="158" t="s">
        <v>8</v>
      </c>
      <c r="C1879" s="158" t="s">
        <f>"解钦岗"</f>
        <v>3460</v>
      </c>
      <c r="D1879" s="158" t="s">
        <f>"15010121817"</f>
        <v>3461</v>
      </c>
      <c r="E1879" s="158" t="s">
        <v>15</v>
      </c>
      <c r="F1879" s="158"/>
      <c r="G1879" s="158" t="s">
        <v>15</v>
      </c>
    </row>
    <row r="1880" spans="1:7" ht="32.999496" customHeight="1" x14ac:dyDescent="0.15">
      <c r="A1880" s="158">
        <v>1878.0</v>
      </c>
      <c r="B1880" s="158" t="s">
        <v>8</v>
      </c>
      <c r="C1880" s="158" t="s">
        <f>"拓志刚"</f>
        <v>3462</v>
      </c>
      <c r="D1880" s="158" t="s">
        <f>"15010121818"</f>
        <v>3463</v>
      </c>
      <c r="E1880" s="158" t="s">
        <v>15</v>
      </c>
      <c r="F1880" s="158"/>
      <c r="G1880" s="158" t="s">
        <v>15</v>
      </c>
    </row>
    <row r="1881" spans="1:7" ht="32.999496" customHeight="1" x14ac:dyDescent="0.15">
      <c r="A1881" s="158">
        <v>1879.0</v>
      </c>
      <c r="B1881" s="158" t="s">
        <v>8</v>
      </c>
      <c r="C1881" s="158" t="s">
        <f>"刘文艺"</f>
        <v>3464</v>
      </c>
      <c r="D1881" s="158" t="s">
        <f>"15010121819"</f>
        <v>3465</v>
      </c>
      <c r="E1881" s="158">
        <v>60.96</v>
      </c>
      <c r="F1881" s="158"/>
      <c r="G1881" s="158">
        <v>60.96</v>
      </c>
    </row>
    <row r="1882" spans="1:7" ht="32.999496" customHeight="1" x14ac:dyDescent="0.15">
      <c r="A1882" s="158">
        <v>1880.0</v>
      </c>
      <c r="B1882" s="158" t="s">
        <v>8</v>
      </c>
      <c r="C1882" s="158" t="s">
        <f>"刘彩霞"</f>
        <v>3466</v>
      </c>
      <c r="D1882" s="158" t="s">
        <f>"15010121820"</f>
        <v>3467</v>
      </c>
      <c r="E1882" s="158" t="s">
        <v>15</v>
      </c>
      <c r="F1882" s="158"/>
      <c r="G1882" s="158" t="s">
        <v>15</v>
      </c>
    </row>
    <row r="1883" spans="1:7" ht="32.999496" customHeight="1" x14ac:dyDescent="0.15">
      <c r="A1883" s="158">
        <v>1881.0</v>
      </c>
      <c r="B1883" s="158" t="s">
        <v>8</v>
      </c>
      <c r="C1883" s="158" t="s">
        <f>"白志刚"</f>
        <v>3468</v>
      </c>
      <c r="D1883" s="158" t="s">
        <f>"15010121821"</f>
        <v>3469</v>
      </c>
      <c r="E1883" s="158">
        <v>67.6</v>
      </c>
      <c r="F1883" s="158"/>
      <c r="G1883" s="158">
        <v>67.6</v>
      </c>
    </row>
    <row r="1884" spans="1:7" ht="32.999496" customHeight="1" x14ac:dyDescent="0.15">
      <c r="A1884" s="158">
        <v>1882.0</v>
      </c>
      <c r="B1884" s="158" t="s">
        <v>8</v>
      </c>
      <c r="C1884" s="158" t="s">
        <f>"苗梦园"</f>
        <v>3470</v>
      </c>
      <c r="D1884" s="158" t="s">
        <f>"15010121822"</f>
        <v>3471</v>
      </c>
      <c r="E1884" s="158" t="s">
        <v>15</v>
      </c>
      <c r="F1884" s="158"/>
      <c r="G1884" s="158" t="s">
        <v>15</v>
      </c>
    </row>
    <row r="1885" spans="1:7" ht="32.999496" customHeight="1" x14ac:dyDescent="0.15">
      <c r="A1885" s="158">
        <v>1883.0</v>
      </c>
      <c r="B1885" s="158" t="s">
        <v>8</v>
      </c>
      <c r="C1885" s="158" t="s">
        <f>"牛婷"</f>
        <v>3472</v>
      </c>
      <c r="D1885" s="158" t="s">
        <f>"15010121823"</f>
        <v>3473</v>
      </c>
      <c r="E1885" s="158" t="s">
        <v>15</v>
      </c>
      <c r="F1885" s="158"/>
      <c r="G1885" s="158" t="s">
        <v>15</v>
      </c>
    </row>
    <row r="1886" spans="1:7" ht="32.999496" customHeight="1" x14ac:dyDescent="0.15">
      <c r="A1886" s="158">
        <v>1884.0</v>
      </c>
      <c r="B1886" s="158" t="s">
        <v>8</v>
      </c>
      <c r="C1886" s="158" t="s">
        <f>"杨学峰"</f>
        <v>3474</v>
      </c>
      <c r="D1886" s="158" t="s">
        <f>"15010121824"</f>
        <v>3475</v>
      </c>
      <c r="E1886" s="158" t="s">
        <v>15</v>
      </c>
      <c r="F1886" s="158"/>
      <c r="G1886" s="158" t="s">
        <v>15</v>
      </c>
    </row>
    <row r="1887" spans="1:7" ht="32.999496" customHeight="1" x14ac:dyDescent="0.15">
      <c r="A1887" s="158">
        <v>1885.0</v>
      </c>
      <c r="B1887" s="158" t="s">
        <v>8</v>
      </c>
      <c r="C1887" s="158" t="s">
        <f>"张子捷"</f>
        <v>3476</v>
      </c>
      <c r="D1887" s="158" t="s">
        <f>"15010121825"</f>
        <v>3477</v>
      </c>
      <c r="E1887" s="158">
        <v>56.1</v>
      </c>
      <c r="F1887" s="158"/>
      <c r="G1887" s="158">
        <v>56.1</v>
      </c>
    </row>
    <row r="1888" spans="1:7" ht="32.999496" customHeight="1" x14ac:dyDescent="0.15">
      <c r="A1888" s="158">
        <v>1886.0</v>
      </c>
      <c r="B1888" s="158" t="s">
        <v>8</v>
      </c>
      <c r="C1888" s="158" t="s">
        <f>"李蓉蓉"</f>
        <v>3478</v>
      </c>
      <c r="D1888" s="158" t="s">
        <f>"15010121826"</f>
        <v>3479</v>
      </c>
      <c r="E1888" s="158" t="s">
        <v>15</v>
      </c>
      <c r="F1888" s="158"/>
      <c r="G1888" s="158" t="s">
        <v>15</v>
      </c>
    </row>
    <row r="1889" spans="1:7" ht="32.999496" customHeight="1" x14ac:dyDescent="0.15">
      <c r="A1889" s="158">
        <v>1887.0</v>
      </c>
      <c r="B1889" s="158" t="s">
        <v>8</v>
      </c>
      <c r="C1889" s="158" t="s">
        <f>"鲁艳红"</f>
        <v>3480</v>
      </c>
      <c r="D1889" s="158" t="s">
        <f>"15010121827"</f>
        <v>3481</v>
      </c>
      <c r="E1889" s="158" t="s">
        <v>15</v>
      </c>
      <c r="F1889" s="158"/>
      <c r="G1889" s="158" t="s">
        <v>15</v>
      </c>
    </row>
    <row r="1890" spans="1:7" ht="32.999496" customHeight="1" x14ac:dyDescent="0.15">
      <c r="A1890" s="158">
        <v>1888.0</v>
      </c>
      <c r="B1890" s="158" t="s">
        <v>8</v>
      </c>
      <c r="C1890" s="158" t="s">
        <f>"苏磊"</f>
        <v>2483</v>
      </c>
      <c r="D1890" s="158" t="s">
        <f>"15010121828"</f>
        <v>3482</v>
      </c>
      <c r="E1890" s="158">
        <v>52.44</v>
      </c>
      <c r="F1890" s="158"/>
      <c r="G1890" s="158">
        <v>52.44</v>
      </c>
    </row>
    <row r="1891" spans="1:7" ht="32.999496" customHeight="1" x14ac:dyDescent="0.15">
      <c r="A1891" s="158">
        <v>1889.0</v>
      </c>
      <c r="B1891" s="158" t="s">
        <v>8</v>
      </c>
      <c r="C1891" s="158" t="s">
        <f>"张雪姣"</f>
        <v>3483</v>
      </c>
      <c r="D1891" s="158" t="s">
        <f>"15010121829"</f>
        <v>3484</v>
      </c>
      <c r="E1891" s="158">
        <v>34.61</v>
      </c>
      <c r="F1891" s="158"/>
      <c r="G1891" s="158">
        <v>34.61</v>
      </c>
    </row>
    <row r="1892" spans="1:7" ht="32.999496" customHeight="1" x14ac:dyDescent="0.15">
      <c r="A1892" s="158">
        <v>1890.0</v>
      </c>
      <c r="B1892" s="158" t="s">
        <v>8</v>
      </c>
      <c r="C1892" s="158" t="s">
        <f>"杨杰"</f>
        <v>3485</v>
      </c>
      <c r="D1892" s="158" t="s">
        <f>"15010121830"</f>
        <v>3486</v>
      </c>
      <c r="E1892" s="158">
        <v>47.14</v>
      </c>
      <c r="F1892" s="158"/>
      <c r="G1892" s="158">
        <v>47.14</v>
      </c>
    </row>
    <row r="1893" spans="1:7" ht="32.999496" customHeight="1" x14ac:dyDescent="0.15">
      <c r="A1893" s="158">
        <v>1891.0</v>
      </c>
      <c r="B1893" s="158" t="s">
        <v>8</v>
      </c>
      <c r="C1893" s="158" t="s">
        <f>"魏嘉宏"</f>
        <v>3487</v>
      </c>
      <c r="D1893" s="158" t="s">
        <f>"15010121901"</f>
        <v>3488</v>
      </c>
      <c r="E1893" s="158" t="s">
        <v>15</v>
      </c>
      <c r="F1893" s="158"/>
      <c r="G1893" s="158" t="s">
        <v>15</v>
      </c>
    </row>
    <row r="1894" spans="1:7" ht="32.999496" customHeight="1" x14ac:dyDescent="0.15">
      <c r="A1894" s="158">
        <v>1892.0</v>
      </c>
      <c r="B1894" s="158" t="s">
        <v>8</v>
      </c>
      <c r="C1894" s="158" t="s">
        <f>"刘瑞霞"</f>
        <v>3489</v>
      </c>
      <c r="D1894" s="158" t="s">
        <f>"15010121902"</f>
        <v>3490</v>
      </c>
      <c r="E1894" s="158">
        <v>57.13</v>
      </c>
      <c r="F1894" s="158"/>
      <c r="G1894" s="158">
        <v>57.13</v>
      </c>
    </row>
    <row r="1895" spans="1:7" ht="32.999496" customHeight="1" x14ac:dyDescent="0.15">
      <c r="A1895" s="158">
        <v>1893.0</v>
      </c>
      <c r="B1895" s="158" t="s">
        <v>8</v>
      </c>
      <c r="C1895" s="158" t="s">
        <f>"李宇亭"</f>
        <v>3491</v>
      </c>
      <c r="D1895" s="158" t="s">
        <f>"15010121903"</f>
        <v>3492</v>
      </c>
      <c r="E1895" s="158">
        <v>63.91</v>
      </c>
      <c r="F1895" s="158"/>
      <c r="G1895" s="158">
        <v>63.91</v>
      </c>
    </row>
    <row r="1896" spans="1:7" ht="32.999496" customHeight="1" x14ac:dyDescent="0.15">
      <c r="A1896" s="158">
        <v>1894.0</v>
      </c>
      <c r="B1896" s="158" t="s">
        <v>8</v>
      </c>
      <c r="C1896" s="158" t="s">
        <f>"高亮"</f>
        <v>3493</v>
      </c>
      <c r="D1896" s="158" t="s">
        <f>"15010121904"</f>
        <v>3494</v>
      </c>
      <c r="E1896" s="158">
        <v>56.07</v>
      </c>
      <c r="F1896" s="158"/>
      <c r="G1896" s="158">
        <v>56.07</v>
      </c>
    </row>
    <row r="1897" spans="1:7" ht="32.999496" customHeight="1" x14ac:dyDescent="0.15">
      <c r="A1897" s="158">
        <v>1895.0</v>
      </c>
      <c r="B1897" s="158" t="s">
        <v>8</v>
      </c>
      <c r="C1897" s="158" t="s">
        <f>"项璐"</f>
        <v>3495</v>
      </c>
      <c r="D1897" s="158" t="s">
        <f>"15010121905"</f>
        <v>3496</v>
      </c>
      <c r="E1897" s="158">
        <v>62.49</v>
      </c>
      <c r="F1897" s="158"/>
      <c r="G1897" s="158">
        <v>62.49</v>
      </c>
    </row>
    <row r="1898" spans="1:7" ht="32.999496" customHeight="1" x14ac:dyDescent="0.15">
      <c r="A1898" s="158">
        <v>1896.0</v>
      </c>
      <c r="B1898" s="158" t="s">
        <v>8</v>
      </c>
      <c r="C1898" s="158" t="s">
        <f>"王慧"</f>
        <v>180</v>
      </c>
      <c r="D1898" s="158" t="s">
        <f>"15010121906"</f>
        <v>3497</v>
      </c>
      <c r="E1898" s="158" t="s">
        <v>15</v>
      </c>
      <c r="F1898" s="158"/>
      <c r="G1898" s="158" t="s">
        <v>15</v>
      </c>
    </row>
    <row r="1899" spans="1:7" ht="32.999496" customHeight="1" x14ac:dyDescent="0.15">
      <c r="A1899" s="158">
        <v>1897.0</v>
      </c>
      <c r="B1899" s="158" t="s">
        <v>8</v>
      </c>
      <c r="C1899" s="158" t="s">
        <f>"高慧"</f>
        <v>84</v>
      </c>
      <c r="D1899" s="158" t="s">
        <f>"15010121907"</f>
        <v>3498</v>
      </c>
      <c r="E1899" s="158" t="s">
        <v>15</v>
      </c>
      <c r="F1899" s="158"/>
      <c r="G1899" s="158" t="s">
        <v>15</v>
      </c>
    </row>
    <row r="1900" spans="1:7" ht="32.999496" customHeight="1" x14ac:dyDescent="0.15">
      <c r="A1900" s="158">
        <v>1898.0</v>
      </c>
      <c r="B1900" s="158" t="s">
        <v>8</v>
      </c>
      <c r="C1900" s="158" t="s">
        <f>"范丽娜"</f>
        <v>3499</v>
      </c>
      <c r="D1900" s="158" t="s">
        <f>"15010121908"</f>
        <v>3500</v>
      </c>
      <c r="E1900" s="158">
        <v>50.980000000000004</v>
      </c>
      <c r="F1900" s="158"/>
      <c r="G1900" s="158">
        <v>50.980000000000004</v>
      </c>
    </row>
    <row r="1901" spans="1:7" ht="32.999496" customHeight="1" x14ac:dyDescent="0.15">
      <c r="A1901" s="158">
        <v>1899.0</v>
      </c>
      <c r="B1901" s="158" t="s">
        <v>8</v>
      </c>
      <c r="C1901" s="158" t="s">
        <f>"何瑞"</f>
        <v>280</v>
      </c>
      <c r="D1901" s="158" t="s">
        <f>"15010121909"</f>
        <v>3501</v>
      </c>
      <c r="E1901" s="158">
        <v>58.15</v>
      </c>
      <c r="F1901" s="158"/>
      <c r="G1901" s="158">
        <v>58.15</v>
      </c>
    </row>
    <row r="1902" spans="1:7" ht="32.999496" customHeight="1" x14ac:dyDescent="0.15">
      <c r="A1902" s="158">
        <v>1900.0</v>
      </c>
      <c r="B1902" s="158" t="s">
        <v>8</v>
      </c>
      <c r="C1902" s="158" t="s">
        <f>"丁瑞"</f>
        <v>3502</v>
      </c>
      <c r="D1902" s="158" t="s">
        <f>"15010121910"</f>
        <v>3503</v>
      </c>
      <c r="E1902" s="158" t="s">
        <v>15</v>
      </c>
      <c r="F1902" s="158"/>
      <c r="G1902" s="158" t="s">
        <v>15</v>
      </c>
    </row>
    <row r="1903" spans="1:7" ht="32.999496" customHeight="1" x14ac:dyDescent="0.15">
      <c r="A1903" s="158">
        <v>1901.0</v>
      </c>
      <c r="B1903" s="158" t="s">
        <v>8</v>
      </c>
      <c r="C1903" s="158" t="s">
        <f>"李小芳"</f>
        <v>3504</v>
      </c>
      <c r="D1903" s="158" t="s">
        <f>"15010121911"</f>
        <v>3505</v>
      </c>
      <c r="E1903" s="158">
        <v>68.75999999999999</v>
      </c>
      <c r="F1903" s="158"/>
      <c r="G1903" s="158">
        <v>68.75999999999999</v>
      </c>
    </row>
    <row r="1904" spans="1:7" ht="32.999496" customHeight="1" x14ac:dyDescent="0.15">
      <c r="A1904" s="158">
        <v>1902.0</v>
      </c>
      <c r="B1904" s="158" t="s">
        <v>8</v>
      </c>
      <c r="C1904" s="158" t="s">
        <f>"杨婷"</f>
        <v>3506</v>
      </c>
      <c r="D1904" s="158" t="s">
        <f>"15010121912"</f>
        <v>3507</v>
      </c>
      <c r="E1904" s="158">
        <v>57.4</v>
      </c>
      <c r="F1904" s="158"/>
      <c r="G1904" s="158">
        <v>57.4</v>
      </c>
    </row>
    <row r="1905" spans="1:7" ht="32.999496" customHeight="1" x14ac:dyDescent="0.15">
      <c r="A1905" s="158">
        <v>1903.0</v>
      </c>
      <c r="B1905" s="158" t="s">
        <v>8</v>
      </c>
      <c r="C1905" s="158" t="s">
        <f>"白娜"</f>
        <v>1689</v>
      </c>
      <c r="D1905" s="158" t="s">
        <f>"15010121913"</f>
        <v>3508</v>
      </c>
      <c r="E1905" s="158">
        <v>55.93</v>
      </c>
      <c r="F1905" s="158"/>
      <c r="G1905" s="158">
        <v>55.93</v>
      </c>
    </row>
    <row r="1906" spans="1:7" ht="32.999496" customHeight="1" x14ac:dyDescent="0.15">
      <c r="A1906" s="158">
        <v>1904.0</v>
      </c>
      <c r="B1906" s="158" t="s">
        <v>8</v>
      </c>
      <c r="C1906" s="158" t="s">
        <f>"郭翊霖"</f>
        <v>3509</v>
      </c>
      <c r="D1906" s="158" t="s">
        <f>"15010121914"</f>
        <v>3510</v>
      </c>
      <c r="E1906" s="158" t="s">
        <v>15</v>
      </c>
      <c r="F1906" s="158"/>
      <c r="G1906" s="158" t="s">
        <v>15</v>
      </c>
    </row>
    <row r="1907" spans="1:7" ht="32.999496" customHeight="1" x14ac:dyDescent="0.15">
      <c r="A1907" s="158">
        <v>1905.0</v>
      </c>
      <c r="B1907" s="158" t="s">
        <v>8</v>
      </c>
      <c r="C1907" s="158" t="s">
        <f>"王艺彭"</f>
        <v>3511</v>
      </c>
      <c r="D1907" s="158" t="s">
        <f>"15010121915"</f>
        <v>3512</v>
      </c>
      <c r="E1907" s="158" t="s">
        <v>15</v>
      </c>
      <c r="F1907" s="158"/>
      <c r="G1907" s="158" t="s">
        <v>15</v>
      </c>
    </row>
    <row r="1908" spans="1:7" ht="32.999496" customHeight="1" x14ac:dyDescent="0.15">
      <c r="A1908" s="158">
        <v>1906.0</v>
      </c>
      <c r="B1908" s="158" t="s">
        <v>8</v>
      </c>
      <c r="C1908" s="158" t="s">
        <f>"尚旭龙"</f>
        <v>3513</v>
      </c>
      <c r="D1908" s="158" t="s">
        <f>"15010121916"</f>
        <v>3514</v>
      </c>
      <c r="E1908" s="158" t="s">
        <v>15</v>
      </c>
      <c r="F1908" s="158"/>
      <c r="G1908" s="158" t="s">
        <v>15</v>
      </c>
    </row>
    <row r="1909" spans="1:7" ht="32.999496" customHeight="1" x14ac:dyDescent="0.15">
      <c r="A1909" s="158">
        <v>1907.0</v>
      </c>
      <c r="B1909" s="158" t="s">
        <v>8</v>
      </c>
      <c r="C1909" s="158" t="s">
        <f>"马艳"</f>
        <v>3515</v>
      </c>
      <c r="D1909" s="158" t="s">
        <f>"15010121917"</f>
        <v>3516</v>
      </c>
      <c r="E1909" s="158">
        <v>62.37</v>
      </c>
      <c r="F1909" s="158"/>
      <c r="G1909" s="158">
        <v>62.37</v>
      </c>
    </row>
    <row r="1910" spans="1:7" ht="32.999496" customHeight="1" x14ac:dyDescent="0.15">
      <c r="A1910" s="158">
        <v>1908.0</v>
      </c>
      <c r="B1910" s="158" t="s">
        <v>8</v>
      </c>
      <c r="C1910" s="158" t="s">
        <f>"郭瑞芳"</f>
        <v>1889</v>
      </c>
      <c r="D1910" s="158" t="s">
        <f>"15010121918"</f>
        <v>3517</v>
      </c>
      <c r="E1910" s="158" t="s">
        <v>15</v>
      </c>
      <c r="F1910" s="158"/>
      <c r="G1910" s="158" t="s">
        <v>15</v>
      </c>
    </row>
    <row r="1911" spans="1:7" ht="32.999496" customHeight="1" x14ac:dyDescent="0.15">
      <c r="A1911" s="158">
        <v>1909.0</v>
      </c>
      <c r="B1911" s="158" t="s">
        <v>8</v>
      </c>
      <c r="C1911" s="158" t="s">
        <f>"杨艳萍"</f>
        <v>3518</v>
      </c>
      <c r="D1911" s="158" t="s">
        <f>"15010121919"</f>
        <v>3519</v>
      </c>
      <c r="E1911" s="158" t="s">
        <v>15</v>
      </c>
      <c r="F1911" s="158"/>
      <c r="G1911" s="158" t="s">
        <v>15</v>
      </c>
    </row>
    <row r="1912" spans="1:7" ht="32.999496" customHeight="1" x14ac:dyDescent="0.15">
      <c r="A1912" s="158">
        <v>1910.0</v>
      </c>
      <c r="B1912" s="158" t="s">
        <v>8</v>
      </c>
      <c r="C1912" s="158" t="s">
        <f>"马丽"</f>
        <v>2211</v>
      </c>
      <c r="D1912" s="158" t="s">
        <f>"15010121920"</f>
        <v>3520</v>
      </c>
      <c r="E1912" s="158" t="s">
        <v>15</v>
      </c>
      <c r="F1912" s="158"/>
      <c r="G1912" s="158" t="s">
        <v>15</v>
      </c>
    </row>
    <row r="1913" spans="1:7" ht="32.999496" customHeight="1" x14ac:dyDescent="0.15">
      <c r="A1913" s="158">
        <v>1911.0</v>
      </c>
      <c r="B1913" s="158" t="s">
        <v>8</v>
      </c>
      <c r="C1913" s="158" t="s">
        <f>"王瑞杰"</f>
        <v>3521</v>
      </c>
      <c r="D1913" s="158" t="s">
        <f>"15010121921"</f>
        <v>3522</v>
      </c>
      <c r="E1913" s="158">
        <v>45.129999999999995</v>
      </c>
      <c r="F1913" s="158"/>
      <c r="G1913" s="158">
        <v>45.129999999999995</v>
      </c>
    </row>
    <row r="1914" spans="1:7" ht="32.999496" customHeight="1" x14ac:dyDescent="0.15">
      <c r="A1914" s="158">
        <v>1912.0</v>
      </c>
      <c r="B1914" s="158" t="s">
        <v>8</v>
      </c>
      <c r="C1914" s="158" t="s">
        <f>"何星仪"</f>
        <v>3523</v>
      </c>
      <c r="D1914" s="158" t="s">
        <f>"15010121922"</f>
        <v>3524</v>
      </c>
      <c r="E1914" s="158">
        <v>44.84</v>
      </c>
      <c r="F1914" s="158"/>
      <c r="G1914" s="158">
        <v>44.84</v>
      </c>
    </row>
    <row r="1915" spans="1:7" ht="32.999496" customHeight="1" x14ac:dyDescent="0.15">
      <c r="A1915" s="158">
        <v>1913.0</v>
      </c>
      <c r="B1915" s="158" t="s">
        <v>8</v>
      </c>
      <c r="C1915" s="158" t="s">
        <f>"郝敏"</f>
        <v>1640</v>
      </c>
      <c r="D1915" s="158" t="s">
        <f>"15010121923"</f>
        <v>3525</v>
      </c>
      <c r="E1915" s="158">
        <v>53.1</v>
      </c>
      <c r="F1915" s="158"/>
      <c r="G1915" s="158">
        <v>53.1</v>
      </c>
    </row>
    <row r="1916" spans="1:7" ht="32.999496" customHeight="1" x14ac:dyDescent="0.15">
      <c r="A1916" s="158">
        <v>1914.0</v>
      </c>
      <c r="B1916" s="158" t="s">
        <v>8</v>
      </c>
      <c r="C1916" s="158" t="s">
        <f>"苏欣"</f>
        <v>3526</v>
      </c>
      <c r="D1916" s="158" t="s">
        <f>"15010121924"</f>
        <v>3527</v>
      </c>
      <c r="E1916" s="158">
        <v>54.14</v>
      </c>
      <c r="F1916" s="158"/>
      <c r="G1916" s="158">
        <v>54.14</v>
      </c>
    </row>
    <row r="1917" spans="1:7" ht="32.999496" customHeight="1" x14ac:dyDescent="0.15">
      <c r="A1917" s="158">
        <v>1915.0</v>
      </c>
      <c r="B1917" s="158" t="s">
        <v>8</v>
      </c>
      <c r="C1917" s="158" t="s">
        <f>"武宝玉"</f>
        <v>3528</v>
      </c>
      <c r="D1917" s="158" t="s">
        <f>"15010121925"</f>
        <v>3529</v>
      </c>
      <c r="E1917" s="158" t="s">
        <v>15</v>
      </c>
      <c r="F1917" s="158">
        <v>2.5</v>
      </c>
      <c r="G1917" s="158" t="s">
        <v>15</v>
      </c>
    </row>
    <row r="1918" spans="1:7" ht="32.999496" customHeight="1" x14ac:dyDescent="0.15">
      <c r="A1918" s="158">
        <v>1916.0</v>
      </c>
      <c r="B1918" s="158" t="s">
        <v>8</v>
      </c>
      <c r="C1918" s="158" t="s">
        <f>"李月婷"</f>
        <v>3530</v>
      </c>
      <c r="D1918" s="158" t="s">
        <f>"15010121926"</f>
        <v>3531</v>
      </c>
      <c r="E1918" s="158" t="s">
        <v>15</v>
      </c>
      <c r="F1918" s="158"/>
      <c r="G1918" s="158" t="s">
        <v>15</v>
      </c>
    </row>
    <row r="1919" spans="1:7" ht="32.999496" customHeight="1" x14ac:dyDescent="0.15">
      <c r="A1919" s="158">
        <v>1917.0</v>
      </c>
      <c r="B1919" s="158" t="s">
        <v>8</v>
      </c>
      <c r="C1919" s="158" t="s">
        <f>"王磊"</f>
        <v>16</v>
      </c>
      <c r="D1919" s="158" t="s">
        <f>"15010121927"</f>
        <v>3532</v>
      </c>
      <c r="E1919" s="158" t="s">
        <v>15</v>
      </c>
      <c r="F1919" s="158"/>
      <c r="G1919" s="158" t="s">
        <v>15</v>
      </c>
    </row>
    <row r="1920" spans="1:7" ht="32.999496" customHeight="1" x14ac:dyDescent="0.15">
      <c r="A1920" s="158">
        <v>1918.0</v>
      </c>
      <c r="B1920" s="158" t="s">
        <v>8</v>
      </c>
      <c r="C1920" s="158" t="s">
        <f>"张志元"</f>
        <v>3533</v>
      </c>
      <c r="D1920" s="158" t="s">
        <f>"15010121928"</f>
        <v>3534</v>
      </c>
      <c r="E1920" s="158">
        <v>67.07</v>
      </c>
      <c r="F1920" s="158"/>
      <c r="G1920" s="158">
        <v>67.07</v>
      </c>
    </row>
    <row r="1921" spans="1:7" ht="32.999496" customHeight="1" x14ac:dyDescent="0.15">
      <c r="A1921" s="158">
        <v>1919.0</v>
      </c>
      <c r="B1921" s="158" t="s">
        <v>8</v>
      </c>
      <c r="C1921" s="158" t="s">
        <f>"李小慧"</f>
        <v>3535</v>
      </c>
      <c r="D1921" s="158" t="s">
        <f>"15010121929"</f>
        <v>3536</v>
      </c>
      <c r="E1921" s="158">
        <v>51.94</v>
      </c>
      <c r="F1921" s="158"/>
      <c r="G1921" s="158">
        <v>51.94</v>
      </c>
    </row>
    <row r="1922" spans="1:7" ht="32.999496" customHeight="1" x14ac:dyDescent="0.15">
      <c r="A1922" s="158">
        <v>1920.0</v>
      </c>
      <c r="B1922" s="158" t="s">
        <v>8</v>
      </c>
      <c r="C1922" s="158" t="s">
        <f>"赵娜"</f>
        <v>2085</v>
      </c>
      <c r="D1922" s="158" t="s">
        <f>"15010121930"</f>
        <v>3537</v>
      </c>
      <c r="E1922" s="158">
        <v>42.93</v>
      </c>
      <c r="F1922" s="158"/>
      <c r="G1922" s="158">
        <v>42.93</v>
      </c>
    </row>
    <row r="1923" spans="1:7" ht="32.999496" customHeight="1" x14ac:dyDescent="0.15">
      <c r="A1923" s="158">
        <v>1921.0</v>
      </c>
      <c r="B1923" s="158" t="s">
        <v>8</v>
      </c>
      <c r="C1923" s="158" t="s">
        <f>"李鹏"</f>
        <v>662</v>
      </c>
      <c r="D1923" s="158" t="s">
        <f>"15010122001"</f>
        <v>3538</v>
      </c>
      <c r="E1923" s="158" t="s">
        <v>15</v>
      </c>
      <c r="F1923" s="158"/>
      <c r="G1923" s="158" t="s">
        <v>15</v>
      </c>
    </row>
    <row r="1924" spans="1:7" ht="32.999496" customHeight="1" x14ac:dyDescent="0.15">
      <c r="A1924" s="158">
        <v>1922.0</v>
      </c>
      <c r="B1924" s="158" t="s">
        <v>8</v>
      </c>
      <c r="C1924" s="158" t="s">
        <f>"祁慧"</f>
        <v>3539</v>
      </c>
      <c r="D1924" s="158" t="s">
        <f>"15010122002"</f>
        <v>3540</v>
      </c>
      <c r="E1924" s="158" t="s">
        <v>15</v>
      </c>
      <c r="F1924" s="158"/>
      <c r="G1924" s="158" t="s">
        <v>15</v>
      </c>
    </row>
    <row r="1925" spans="1:7" ht="32.999496" customHeight="1" x14ac:dyDescent="0.15">
      <c r="A1925" s="158">
        <v>1923.0</v>
      </c>
      <c r="B1925" s="158" t="s">
        <v>8</v>
      </c>
      <c r="C1925" s="158" t="s">
        <f>"苏柳淯"</f>
        <v>3541</v>
      </c>
      <c r="D1925" s="158" t="s">
        <f>"15010122003"</f>
        <v>3542</v>
      </c>
      <c r="E1925" s="158" t="s">
        <v>15</v>
      </c>
      <c r="F1925" s="158"/>
      <c r="G1925" s="158" t="s">
        <v>15</v>
      </c>
    </row>
    <row r="1926" spans="1:7" ht="32.999496" customHeight="1" x14ac:dyDescent="0.15">
      <c r="A1926" s="158">
        <v>1924.0</v>
      </c>
      <c r="B1926" s="158" t="s">
        <v>8</v>
      </c>
      <c r="C1926" s="158" t="s">
        <f>"刘荣"</f>
        <v>1154</v>
      </c>
      <c r="D1926" s="158" t="s">
        <f>"15010122004"</f>
        <v>3543</v>
      </c>
      <c r="E1926" s="158" t="s">
        <v>15</v>
      </c>
      <c r="F1926" s="158"/>
      <c r="G1926" s="158" t="s">
        <v>15</v>
      </c>
    </row>
    <row r="1927" spans="1:7" ht="32.999496" customHeight="1" x14ac:dyDescent="0.15">
      <c r="A1927" s="158">
        <v>1925.0</v>
      </c>
      <c r="B1927" s="158" t="s">
        <v>8</v>
      </c>
      <c r="C1927" s="158" t="s">
        <f>"武娜"</f>
        <v>2202</v>
      </c>
      <c r="D1927" s="158" t="s">
        <f>"15010122005"</f>
        <v>3544</v>
      </c>
      <c r="E1927" s="158">
        <v>51.67</v>
      </c>
      <c r="F1927" s="158"/>
      <c r="G1927" s="158">
        <v>51.67</v>
      </c>
    </row>
    <row r="1928" spans="1:7" ht="32.999496" customHeight="1" x14ac:dyDescent="0.15">
      <c r="A1928" s="158">
        <v>1926.0</v>
      </c>
      <c r="B1928" s="158" t="s">
        <v>8</v>
      </c>
      <c r="C1928" s="158" t="s">
        <f>"刘宜彤"</f>
        <v>3545</v>
      </c>
      <c r="D1928" s="158" t="s">
        <f>"15010122006"</f>
        <v>3546</v>
      </c>
      <c r="E1928" s="158" t="s">
        <v>15</v>
      </c>
      <c r="F1928" s="158"/>
      <c r="G1928" s="158" t="s">
        <v>15</v>
      </c>
    </row>
    <row r="1929" spans="1:7" ht="32.999496" customHeight="1" x14ac:dyDescent="0.15">
      <c r="A1929" s="158">
        <v>1927.0</v>
      </c>
      <c r="B1929" s="158" t="s">
        <v>8</v>
      </c>
      <c r="C1929" s="158" t="s">
        <f>"张博宁"</f>
        <v>3547</v>
      </c>
      <c r="D1929" s="158" t="s">
        <f>"15010122007"</f>
        <v>3548</v>
      </c>
      <c r="E1929" s="158">
        <v>56.730000000000004</v>
      </c>
      <c r="F1929" s="158"/>
      <c r="G1929" s="158">
        <v>56.730000000000004</v>
      </c>
    </row>
    <row r="1930" spans="1:7" ht="32.999496" customHeight="1" x14ac:dyDescent="0.15">
      <c r="A1930" s="158">
        <v>1928.0</v>
      </c>
      <c r="B1930" s="158" t="s">
        <v>8</v>
      </c>
      <c r="C1930" s="158" t="s">
        <f>"倪瑞彤"</f>
        <v>3549</v>
      </c>
      <c r="D1930" s="158" t="s">
        <f>"15010122008"</f>
        <v>3550</v>
      </c>
      <c r="E1930" s="158">
        <v>60.62</v>
      </c>
      <c r="F1930" s="158"/>
      <c r="G1930" s="158">
        <v>60.62</v>
      </c>
    </row>
    <row r="1931" spans="1:7" ht="32.999496" customHeight="1" x14ac:dyDescent="0.15">
      <c r="A1931" s="158">
        <v>1929.0</v>
      </c>
      <c r="B1931" s="158" t="s">
        <v>8</v>
      </c>
      <c r="C1931" s="158" t="s">
        <f>"杨伊博"</f>
        <v>3551</v>
      </c>
      <c r="D1931" s="158" t="s">
        <f>"15010122009"</f>
        <v>3552</v>
      </c>
      <c r="E1931" s="158" t="s">
        <v>15</v>
      </c>
      <c r="F1931" s="158"/>
      <c r="G1931" s="158" t="s">
        <v>15</v>
      </c>
    </row>
    <row r="1932" spans="1:7" ht="32.999496" customHeight="1" x14ac:dyDescent="0.15">
      <c r="A1932" s="158">
        <v>1930.0</v>
      </c>
      <c r="B1932" s="158" t="s">
        <v>8</v>
      </c>
      <c r="C1932" s="158" t="s">
        <f>"王玉霞"</f>
        <v>3553</v>
      </c>
      <c r="D1932" s="158" t="s">
        <f>"15010122010"</f>
        <v>3554</v>
      </c>
      <c r="E1932" s="158" t="s">
        <v>15</v>
      </c>
      <c r="F1932" s="158"/>
      <c r="G1932" s="158" t="s">
        <v>15</v>
      </c>
    </row>
    <row r="1933" spans="1:7" ht="32.999496" customHeight="1" x14ac:dyDescent="0.15">
      <c r="A1933" s="158">
        <v>1931.0</v>
      </c>
      <c r="B1933" s="158" t="s">
        <v>8</v>
      </c>
      <c r="C1933" s="158" t="s">
        <f>"张霞"</f>
        <v>1295</v>
      </c>
      <c r="D1933" s="158" t="s">
        <f>"15010122011"</f>
        <v>3555</v>
      </c>
      <c r="E1933" s="158">
        <v>55.17</v>
      </c>
      <c r="F1933" s="158"/>
      <c r="G1933" s="158">
        <v>55.17</v>
      </c>
    </row>
    <row r="1934" spans="1:7" ht="32.999496" customHeight="1" x14ac:dyDescent="0.15">
      <c r="A1934" s="158">
        <v>1932.0</v>
      </c>
      <c r="B1934" s="158" t="s">
        <v>8</v>
      </c>
      <c r="C1934" s="158" t="s">
        <f>"杨正"</f>
        <v>3556</v>
      </c>
      <c r="D1934" s="158" t="s">
        <f>"15010122012"</f>
        <v>3557</v>
      </c>
      <c r="E1934" s="158" t="s">
        <v>15</v>
      </c>
      <c r="F1934" s="158"/>
      <c r="G1934" s="158" t="s">
        <v>15</v>
      </c>
    </row>
    <row r="1935" spans="1:7" ht="32.999496" customHeight="1" x14ac:dyDescent="0.15">
      <c r="A1935" s="158">
        <v>1933.0</v>
      </c>
      <c r="B1935" s="158" t="s">
        <v>8</v>
      </c>
      <c r="C1935" s="158" t="s">
        <f>"温娜"</f>
        <v>3558</v>
      </c>
      <c r="D1935" s="158" t="s">
        <f>"15010122013"</f>
        <v>3559</v>
      </c>
      <c r="E1935" s="158" t="s">
        <v>15</v>
      </c>
      <c r="F1935" s="158"/>
      <c r="G1935" s="158" t="s">
        <v>15</v>
      </c>
    </row>
    <row r="1936" spans="1:7" ht="32.999496" customHeight="1" x14ac:dyDescent="0.15">
      <c r="A1936" s="158">
        <v>1934.0</v>
      </c>
      <c r="B1936" s="158" t="s">
        <v>8</v>
      </c>
      <c r="C1936" s="158" t="s">
        <f>"杨洋"</f>
        <v>2493</v>
      </c>
      <c r="D1936" s="158" t="s">
        <f>"15010122014"</f>
        <v>3560</v>
      </c>
      <c r="E1936" s="158" t="s">
        <v>15</v>
      </c>
      <c r="F1936" s="158"/>
      <c r="G1936" s="158" t="s">
        <v>15</v>
      </c>
    </row>
    <row r="1937" spans="1:7" ht="32.999496" customHeight="1" x14ac:dyDescent="0.15">
      <c r="A1937" s="158">
        <v>1935.0</v>
      </c>
      <c r="B1937" s="158" t="s">
        <v>8</v>
      </c>
      <c r="C1937" s="158" t="s">
        <f>"王娜"</f>
        <v>106</v>
      </c>
      <c r="D1937" s="158" t="s">
        <f>"15010122015"</f>
        <v>3561</v>
      </c>
      <c r="E1937" s="158">
        <v>52.83</v>
      </c>
      <c r="F1937" s="158"/>
      <c r="G1937" s="158">
        <v>52.83</v>
      </c>
    </row>
    <row r="1938" spans="1:7" ht="32.999496" customHeight="1" x14ac:dyDescent="0.15">
      <c r="A1938" s="158">
        <v>1936.0</v>
      </c>
      <c r="B1938" s="158" t="s">
        <v>8</v>
      </c>
      <c r="C1938" s="158" t="s">
        <f>"薛蓉"</f>
        <v>3562</v>
      </c>
      <c r="D1938" s="158" t="s">
        <f>"15010122016"</f>
        <v>3563</v>
      </c>
      <c r="E1938" s="158">
        <v>66.7</v>
      </c>
      <c r="F1938" s="158"/>
      <c r="G1938" s="158">
        <v>66.7</v>
      </c>
    </row>
    <row r="1939" spans="1:7" ht="32.999496" customHeight="1" x14ac:dyDescent="0.15">
      <c r="A1939" s="158">
        <v>1937.0</v>
      </c>
      <c r="B1939" s="158" t="s">
        <v>8</v>
      </c>
      <c r="C1939" s="158" t="s">
        <f>"张月梅"</f>
        <v>3564</v>
      </c>
      <c r="D1939" s="158" t="s">
        <f>"15010122017"</f>
        <v>3565</v>
      </c>
      <c r="E1939" s="158" t="s">
        <v>15</v>
      </c>
      <c r="F1939" s="158"/>
      <c r="G1939" s="158" t="s">
        <v>15</v>
      </c>
    </row>
    <row r="1940" spans="1:7" ht="32.999496" customHeight="1" x14ac:dyDescent="0.15">
      <c r="A1940" s="158">
        <v>1938.0</v>
      </c>
      <c r="B1940" s="158" t="s">
        <v>8</v>
      </c>
      <c r="C1940" s="158" t="s">
        <f>"信东"</f>
        <v>3566</v>
      </c>
      <c r="D1940" s="158" t="s">
        <f>"15010122018"</f>
        <v>3567</v>
      </c>
      <c r="E1940" s="158">
        <v>47.83</v>
      </c>
      <c r="F1940" s="158"/>
      <c r="G1940" s="158">
        <v>47.83</v>
      </c>
    </row>
    <row r="1941" spans="1:7" ht="32.999496" customHeight="1" x14ac:dyDescent="0.15">
      <c r="A1941" s="158">
        <v>1939.0</v>
      </c>
      <c r="B1941" s="158" t="s">
        <v>8</v>
      </c>
      <c r="C1941" s="158" t="s">
        <f>"白莉"</f>
        <v>3568</v>
      </c>
      <c r="D1941" s="158" t="s">
        <f>"15010122019"</f>
        <v>3569</v>
      </c>
      <c r="E1941" s="158">
        <v>56.59</v>
      </c>
      <c r="F1941" s="158"/>
      <c r="G1941" s="158">
        <v>56.59</v>
      </c>
    </row>
    <row r="1942" spans="1:7" ht="32.999496" customHeight="1" x14ac:dyDescent="0.15">
      <c r="A1942" s="158">
        <v>1940.0</v>
      </c>
      <c r="B1942" s="158" t="s">
        <v>8</v>
      </c>
      <c r="C1942" s="158" t="s">
        <f>"张波"</f>
        <v>3570</v>
      </c>
      <c r="D1942" s="158" t="s">
        <f>"15010122020"</f>
        <v>3571</v>
      </c>
      <c r="E1942" s="158">
        <v>66.47999999999999</v>
      </c>
      <c r="F1942" s="158"/>
      <c r="G1942" s="158">
        <v>66.47999999999999</v>
      </c>
    </row>
    <row r="1943" spans="1:7" ht="32.999496" customHeight="1" x14ac:dyDescent="0.15">
      <c r="A1943" s="158">
        <v>1941.0</v>
      </c>
      <c r="B1943" s="158" t="s">
        <v>8</v>
      </c>
      <c r="C1943" s="158" t="s">
        <f>"张小春"</f>
        <v>3572</v>
      </c>
      <c r="D1943" s="158" t="s">
        <f>"15010122021"</f>
        <v>3573</v>
      </c>
      <c r="E1943" s="158" t="s">
        <v>15</v>
      </c>
      <c r="F1943" s="158"/>
      <c r="G1943" s="158" t="s">
        <v>15</v>
      </c>
    </row>
    <row r="1944" spans="1:7" ht="32.999496" customHeight="1" x14ac:dyDescent="0.15">
      <c r="A1944" s="158">
        <v>1942.0</v>
      </c>
      <c r="B1944" s="158" t="s">
        <v>8</v>
      </c>
      <c r="C1944" s="158" t="s">
        <f>"乔凯"</f>
        <v>3574</v>
      </c>
      <c r="D1944" s="158" t="s">
        <f>"15010122022"</f>
        <v>3575</v>
      </c>
      <c r="E1944" s="158" t="s">
        <v>15</v>
      </c>
      <c r="F1944" s="158"/>
      <c r="G1944" s="158" t="s">
        <v>15</v>
      </c>
    </row>
    <row r="1945" spans="1:7" ht="32.999496" customHeight="1" x14ac:dyDescent="0.15">
      <c r="A1945" s="158">
        <v>1943.0</v>
      </c>
      <c r="B1945" s="158" t="s">
        <v>8</v>
      </c>
      <c r="C1945" s="158" t="s">
        <f>"王娟"</f>
        <v>703</v>
      </c>
      <c r="D1945" s="158" t="s">
        <f>"15010122023"</f>
        <v>3576</v>
      </c>
      <c r="E1945" s="158" t="s">
        <v>15</v>
      </c>
      <c r="F1945" s="158"/>
      <c r="G1945" s="158" t="s">
        <v>15</v>
      </c>
    </row>
    <row r="1946" spans="1:7" ht="32.999496" customHeight="1" x14ac:dyDescent="0.15">
      <c r="A1946" s="158">
        <v>1944.0</v>
      </c>
      <c r="B1946" s="158" t="s">
        <v>8</v>
      </c>
      <c r="C1946" s="158" t="s">
        <f>"郝彦慧"</f>
        <v>3577</v>
      </c>
      <c r="D1946" s="158" t="s">
        <f>"15010122024"</f>
        <v>3578</v>
      </c>
      <c r="E1946" s="158">
        <v>52.81</v>
      </c>
      <c r="F1946" s="158"/>
      <c r="G1946" s="158">
        <v>52.81</v>
      </c>
    </row>
    <row r="1947" spans="1:7" ht="32.999496" customHeight="1" x14ac:dyDescent="0.15">
      <c r="A1947" s="158">
        <v>1945.0</v>
      </c>
      <c r="B1947" s="158" t="s">
        <v>8</v>
      </c>
      <c r="C1947" s="158" t="s">
        <f>"李鹏路"</f>
        <v>3579</v>
      </c>
      <c r="D1947" s="158" t="s">
        <f>"15010122025"</f>
        <v>3580</v>
      </c>
      <c r="E1947" s="158" t="s">
        <v>15</v>
      </c>
      <c r="F1947" s="158">
        <v>2.5</v>
      </c>
      <c r="G1947" s="158" t="s">
        <v>15</v>
      </c>
    </row>
    <row r="1948" spans="1:7" ht="32.999496" customHeight="1" x14ac:dyDescent="0.15">
      <c r="A1948" s="158">
        <v>1946.0</v>
      </c>
      <c r="B1948" s="158" t="s">
        <v>8</v>
      </c>
      <c r="C1948" s="158" t="s">
        <f>"李荣"</f>
        <v>2466</v>
      </c>
      <c r="D1948" s="158" t="s">
        <f>"15010122026"</f>
        <v>3581</v>
      </c>
      <c r="E1948" s="158">
        <v>50.760000000000005</v>
      </c>
      <c r="F1948" s="158"/>
      <c r="G1948" s="158">
        <v>50.760000000000005</v>
      </c>
    </row>
    <row r="1949" spans="1:7" ht="32.999496" customHeight="1" x14ac:dyDescent="0.15">
      <c r="A1949" s="158">
        <v>1947.0</v>
      </c>
      <c r="B1949" s="158" t="s">
        <v>8</v>
      </c>
      <c r="C1949" s="158" t="s">
        <f>"马婷"</f>
        <v>1868</v>
      </c>
      <c r="D1949" s="158" t="s">
        <f>"15010122027"</f>
        <v>3582</v>
      </c>
      <c r="E1949" s="158">
        <v>47.18</v>
      </c>
      <c r="F1949" s="158"/>
      <c r="G1949" s="158">
        <v>47.18</v>
      </c>
    </row>
    <row r="1950" spans="1:7" ht="32.999496" customHeight="1" x14ac:dyDescent="0.15">
      <c r="A1950" s="158">
        <v>1948.0</v>
      </c>
      <c r="B1950" s="158" t="s">
        <v>8</v>
      </c>
      <c r="C1950" s="158" t="s">
        <f>"蒋慧"</f>
        <v>3583</v>
      </c>
      <c r="D1950" s="158" t="s">
        <f>"15010122028"</f>
        <v>3584</v>
      </c>
      <c r="E1950" s="158" t="s">
        <v>15</v>
      </c>
      <c r="F1950" s="158"/>
      <c r="G1950" s="158" t="s">
        <v>15</v>
      </c>
    </row>
    <row r="1951" spans="1:7" ht="32.999496" customHeight="1" x14ac:dyDescent="0.15">
      <c r="A1951" s="158">
        <v>1949.0</v>
      </c>
      <c r="B1951" s="158" t="s">
        <v>8</v>
      </c>
      <c r="C1951" s="158" t="s">
        <f>"闫昕嵘"</f>
        <v>3585</v>
      </c>
      <c r="D1951" s="158" t="s">
        <f>"15010122029"</f>
        <v>3586</v>
      </c>
      <c r="E1951" s="158">
        <v>51.03</v>
      </c>
      <c r="F1951" s="158"/>
      <c r="G1951" s="158">
        <v>51.03</v>
      </c>
    </row>
    <row r="1952" spans="1:7" ht="32.999496" customHeight="1" x14ac:dyDescent="0.15">
      <c r="A1952" s="158">
        <v>1950.0</v>
      </c>
      <c r="B1952" s="158" t="s">
        <v>8</v>
      </c>
      <c r="C1952" s="158" t="s">
        <f>"高杰"</f>
        <v>1678</v>
      </c>
      <c r="D1952" s="158" t="s">
        <f>"15010122030"</f>
        <v>3587</v>
      </c>
      <c r="E1952" s="158" t="s">
        <v>15</v>
      </c>
      <c r="F1952" s="158"/>
      <c r="G1952" s="158" t="s">
        <v>15</v>
      </c>
    </row>
    <row r="1953" spans="1:7" ht="32.999496" customHeight="1" x14ac:dyDescent="0.15">
      <c r="A1953" s="158">
        <v>1951.0</v>
      </c>
      <c r="B1953" s="158" t="s">
        <v>8</v>
      </c>
      <c r="C1953" s="158" t="s">
        <f>"李茜颖"</f>
        <v>3588</v>
      </c>
      <c r="D1953" s="158" t="s">
        <f>"15010122101"</f>
        <v>3589</v>
      </c>
      <c r="E1953" s="158" t="s">
        <v>15</v>
      </c>
      <c r="F1953" s="158"/>
      <c r="G1953" s="158" t="s">
        <v>15</v>
      </c>
    </row>
    <row r="1954" spans="1:7" ht="32.999496" customHeight="1" x14ac:dyDescent="0.15">
      <c r="A1954" s="158">
        <v>1952.0</v>
      </c>
      <c r="B1954" s="158" t="s">
        <v>8</v>
      </c>
      <c r="C1954" s="158" t="s">
        <f>"郝慧婷"</f>
        <v>3590</v>
      </c>
      <c r="D1954" s="158" t="s">
        <f>"15010122102"</f>
        <v>3591</v>
      </c>
      <c r="E1954" s="158">
        <v>35.75</v>
      </c>
      <c r="F1954" s="158"/>
      <c r="G1954" s="158">
        <v>35.75</v>
      </c>
    </row>
    <row r="1955" spans="1:7" ht="32.999496" customHeight="1" x14ac:dyDescent="0.15">
      <c r="A1955" s="158">
        <v>1953.0</v>
      </c>
      <c r="B1955" s="158" t="s">
        <v>8</v>
      </c>
      <c r="C1955" s="158" t="s">
        <f>"王东升"</f>
        <v>3592</v>
      </c>
      <c r="D1955" s="158" t="s">
        <f>"15010122103"</f>
        <v>3593</v>
      </c>
      <c r="E1955" s="158" t="s">
        <v>15</v>
      </c>
      <c r="F1955" s="158"/>
      <c r="G1955" s="158" t="s">
        <v>15</v>
      </c>
    </row>
    <row r="1956" spans="1:7" ht="32.999496" customHeight="1" x14ac:dyDescent="0.15">
      <c r="A1956" s="158">
        <v>1954.0</v>
      </c>
      <c r="B1956" s="158" t="s">
        <v>8</v>
      </c>
      <c r="C1956" s="158" t="s">
        <f>"刘荣霞"</f>
        <v>3594</v>
      </c>
      <c r="D1956" s="158" t="s">
        <f>"15010122104"</f>
        <v>3595</v>
      </c>
      <c r="E1956" s="158">
        <v>50.78</v>
      </c>
      <c r="F1956" s="158"/>
      <c r="G1956" s="158">
        <v>50.78</v>
      </c>
    </row>
    <row r="1957" spans="1:7" ht="32.999496" customHeight="1" x14ac:dyDescent="0.15">
      <c r="A1957" s="158">
        <v>1955.0</v>
      </c>
      <c r="B1957" s="158" t="s">
        <v>8</v>
      </c>
      <c r="C1957" s="158" t="s">
        <f>"杨浩东"</f>
        <v>3596</v>
      </c>
      <c r="D1957" s="158" t="s">
        <f>"15010122105"</f>
        <v>3597</v>
      </c>
      <c r="E1957" s="158">
        <v>61.61</v>
      </c>
      <c r="F1957" s="158"/>
      <c r="G1957" s="158">
        <v>61.61</v>
      </c>
    </row>
    <row r="1958" spans="1:7" ht="32.999496" customHeight="1" x14ac:dyDescent="0.15">
      <c r="A1958" s="158">
        <v>1956.0</v>
      </c>
      <c r="B1958" s="158" t="s">
        <v>8</v>
      </c>
      <c r="C1958" s="158" t="s">
        <f>"杨慧敏"</f>
        <v>3598</v>
      </c>
      <c r="D1958" s="158" t="s">
        <f>"15010122106"</f>
        <v>3599</v>
      </c>
      <c r="E1958" s="158" t="s">
        <v>15</v>
      </c>
      <c r="F1958" s="158"/>
      <c r="G1958" s="158" t="s">
        <v>15</v>
      </c>
    </row>
    <row r="1959" spans="1:7" ht="32.999496" customHeight="1" x14ac:dyDescent="0.15">
      <c r="A1959" s="158">
        <v>1957.0</v>
      </c>
      <c r="B1959" s="158" t="s">
        <v>8</v>
      </c>
      <c r="C1959" s="158" t="s">
        <f>"薛科"</f>
        <v>3600</v>
      </c>
      <c r="D1959" s="158" t="s">
        <f>"15010122107"</f>
        <v>3601</v>
      </c>
      <c r="E1959" s="158" t="s">
        <v>15</v>
      </c>
      <c r="F1959" s="158"/>
      <c r="G1959" s="158" t="s">
        <v>15</v>
      </c>
    </row>
    <row r="1960" spans="1:7" ht="32.999496" customHeight="1" x14ac:dyDescent="0.15">
      <c r="A1960" s="158">
        <v>1958.0</v>
      </c>
      <c r="B1960" s="158" t="s">
        <v>8</v>
      </c>
      <c r="C1960" s="158" t="s">
        <f>"刘卓宇"</f>
        <v>3602</v>
      </c>
      <c r="D1960" s="158" t="s">
        <f>"15010122108"</f>
        <v>3603</v>
      </c>
      <c r="E1960" s="158">
        <v>66.47</v>
      </c>
      <c r="F1960" s="158"/>
      <c r="G1960" s="158">
        <v>66.47</v>
      </c>
    </row>
    <row r="1961" spans="1:7" ht="32.999496" customHeight="1" x14ac:dyDescent="0.15">
      <c r="A1961" s="158">
        <v>1959.0</v>
      </c>
      <c r="B1961" s="158" t="s">
        <v>8</v>
      </c>
      <c r="C1961" s="158" t="s">
        <f>"刘彦龙"</f>
        <v>3604</v>
      </c>
      <c r="D1961" s="158" t="s">
        <f>"15010122109"</f>
        <v>3605</v>
      </c>
      <c r="E1961" s="158">
        <v>59.27</v>
      </c>
      <c r="F1961" s="158"/>
      <c r="G1961" s="158">
        <v>59.27</v>
      </c>
    </row>
    <row r="1962" spans="1:7" ht="32.999496" customHeight="1" x14ac:dyDescent="0.15">
      <c r="A1962" s="158">
        <v>1960.0</v>
      </c>
      <c r="B1962" s="158" t="s">
        <v>8</v>
      </c>
      <c r="C1962" s="158" t="s">
        <f>"刘智龙"</f>
        <v>3606</v>
      </c>
      <c r="D1962" s="158" t="s">
        <f>"15010122110"</f>
        <v>3607</v>
      </c>
      <c r="E1962" s="158">
        <v>45.370000000000005</v>
      </c>
      <c r="F1962" s="158"/>
      <c r="G1962" s="158">
        <v>45.370000000000005</v>
      </c>
    </row>
    <row r="1963" spans="1:7" ht="32.999496" customHeight="1" x14ac:dyDescent="0.15">
      <c r="A1963" s="158">
        <v>1961.0</v>
      </c>
      <c r="B1963" s="158" t="s">
        <v>8</v>
      </c>
      <c r="C1963" s="158" t="s">
        <f>"杨倩"</f>
        <v>554</v>
      </c>
      <c r="D1963" s="158" t="s">
        <f>"15010122111"</f>
        <v>3608</v>
      </c>
      <c r="E1963" s="158">
        <v>68.4</v>
      </c>
      <c r="F1963" s="158"/>
      <c r="G1963" s="158">
        <v>68.4</v>
      </c>
    </row>
    <row r="1964" spans="1:7" ht="32.999496" customHeight="1" x14ac:dyDescent="0.15">
      <c r="A1964" s="158">
        <v>1962.0</v>
      </c>
      <c r="B1964" s="158" t="s">
        <v>8</v>
      </c>
      <c r="C1964" s="158" t="s">
        <f>"宋鑫宇"</f>
        <v>3609</v>
      </c>
      <c r="D1964" s="158" t="s">
        <f>"15010122112"</f>
        <v>3610</v>
      </c>
      <c r="E1964" s="158">
        <v>64.81</v>
      </c>
      <c r="F1964" s="158"/>
      <c r="G1964" s="158">
        <v>64.81</v>
      </c>
    </row>
    <row r="1965" spans="1:7" ht="32.999496" customHeight="1" x14ac:dyDescent="0.15">
      <c r="A1965" s="158">
        <v>1963.0</v>
      </c>
      <c r="B1965" s="158" t="s">
        <v>8</v>
      </c>
      <c r="C1965" s="158" t="s">
        <f>"王瑞芳"</f>
        <v>3611</v>
      </c>
      <c r="D1965" s="158" t="s">
        <f>"15010122113"</f>
        <v>3612</v>
      </c>
      <c r="E1965" s="158">
        <v>44</v>
      </c>
      <c r="F1965" s="158"/>
      <c r="G1965" s="158">
        <v>44</v>
      </c>
    </row>
    <row r="1966" spans="1:7" ht="32.999496" customHeight="1" x14ac:dyDescent="0.15">
      <c r="A1966" s="158">
        <v>1964.0</v>
      </c>
      <c r="B1966" s="158" t="s">
        <v>8</v>
      </c>
      <c r="C1966" s="158" t="s">
        <f>"白晓梦"</f>
        <v>3613</v>
      </c>
      <c r="D1966" s="158" t="s">
        <f>"15010122114"</f>
        <v>3614</v>
      </c>
      <c r="E1966" s="158">
        <v>60.88</v>
      </c>
      <c r="F1966" s="158"/>
      <c r="G1966" s="158">
        <v>60.88</v>
      </c>
    </row>
    <row r="1967" spans="1:7" ht="32.999496" customHeight="1" x14ac:dyDescent="0.15">
      <c r="A1967" s="158">
        <v>1965.0</v>
      </c>
      <c r="B1967" s="158" t="s">
        <v>8</v>
      </c>
      <c r="C1967" s="158" t="s">
        <f>"乔敏杰"</f>
        <v>3615</v>
      </c>
      <c r="D1967" s="158" t="s">
        <f>"15010122115"</f>
        <v>3616</v>
      </c>
      <c r="E1967" s="158" t="s">
        <v>15</v>
      </c>
      <c r="F1967" s="158"/>
      <c r="G1967" s="158" t="s">
        <v>15</v>
      </c>
    </row>
    <row r="1968" spans="1:7" ht="32.999496" customHeight="1" x14ac:dyDescent="0.15">
      <c r="A1968" s="158">
        <v>1966.0</v>
      </c>
      <c r="B1968" s="158" t="s">
        <v>8</v>
      </c>
      <c r="C1968" s="158" t="s">
        <f>"张帅"</f>
        <v>90</v>
      </c>
      <c r="D1968" s="158" t="s">
        <f>"15010122116"</f>
        <v>3617</v>
      </c>
      <c r="E1968" s="158">
        <v>58.51</v>
      </c>
      <c r="F1968" s="158"/>
      <c r="G1968" s="158">
        <v>58.51</v>
      </c>
    </row>
    <row r="1969" spans="1:7" ht="32.999496" customHeight="1" x14ac:dyDescent="0.15">
      <c r="A1969" s="158">
        <v>1967.0</v>
      </c>
      <c r="B1969" s="158" t="s">
        <v>8</v>
      </c>
      <c r="C1969" s="158" t="s">
        <f>"张宁"</f>
        <v>989</v>
      </c>
      <c r="D1969" s="158" t="s">
        <f>"15010122117"</f>
        <v>3618</v>
      </c>
      <c r="E1969" s="158" t="s">
        <v>15</v>
      </c>
      <c r="F1969" s="158"/>
      <c r="G1969" s="158" t="s">
        <v>15</v>
      </c>
    </row>
    <row r="1970" spans="1:7" ht="32.999496" customHeight="1" x14ac:dyDescent="0.15">
      <c r="A1970" s="158">
        <v>1968.0</v>
      </c>
      <c r="B1970" s="158" t="s">
        <v>8</v>
      </c>
      <c r="C1970" s="158" t="s">
        <f>"赵媛"</f>
        <v>3619</v>
      </c>
      <c r="D1970" s="158" t="s">
        <f>"15010122118"</f>
        <v>3620</v>
      </c>
      <c r="E1970" s="158">
        <v>62.67</v>
      </c>
      <c r="F1970" s="158"/>
      <c r="G1970" s="158">
        <v>62.67</v>
      </c>
    </row>
    <row r="1971" spans="1:7" ht="32.999496" customHeight="1" x14ac:dyDescent="0.15">
      <c r="A1971" s="158">
        <v>1969.0</v>
      </c>
      <c r="B1971" s="158" t="s">
        <v>8</v>
      </c>
      <c r="C1971" s="158" t="s">
        <f>"吴凯强"</f>
        <v>3621</v>
      </c>
      <c r="D1971" s="158" t="s">
        <f>"15010122119"</f>
        <v>3622</v>
      </c>
      <c r="E1971" s="158" t="s">
        <v>15</v>
      </c>
      <c r="F1971" s="158"/>
      <c r="G1971" s="158" t="s">
        <v>15</v>
      </c>
    </row>
    <row r="1972" spans="1:7" ht="32.999496" customHeight="1" x14ac:dyDescent="0.15">
      <c r="A1972" s="158">
        <v>1970.0</v>
      </c>
      <c r="B1972" s="158" t="s">
        <v>8</v>
      </c>
      <c r="C1972" s="158" t="s">
        <f>"张妮"</f>
        <v>3623</v>
      </c>
      <c r="D1972" s="158" t="s">
        <f>"15010122120"</f>
        <v>3624</v>
      </c>
      <c r="E1972" s="158">
        <v>66.93</v>
      </c>
      <c r="F1972" s="158"/>
      <c r="G1972" s="158">
        <v>66.93</v>
      </c>
    </row>
    <row r="1973" spans="1:7" ht="32.999496" customHeight="1" x14ac:dyDescent="0.15">
      <c r="A1973" s="158">
        <v>1971.0</v>
      </c>
      <c r="B1973" s="158" t="s">
        <v>8</v>
      </c>
      <c r="C1973" s="158" t="s">
        <f>"娜木拉"</f>
        <v>3625</v>
      </c>
      <c r="D1973" s="158" t="s">
        <f>"15010122121"</f>
        <v>3626</v>
      </c>
      <c r="E1973" s="158" t="s">
        <v>15</v>
      </c>
      <c r="F1973" s="158">
        <v>2.5</v>
      </c>
      <c r="G1973" s="158" t="s">
        <v>15</v>
      </c>
    </row>
    <row r="1974" spans="1:7" ht="32.999496" customHeight="1" x14ac:dyDescent="0.15">
      <c r="A1974" s="158">
        <v>1972.0</v>
      </c>
      <c r="B1974" s="158" t="s">
        <v>8</v>
      </c>
      <c r="C1974" s="158" t="s">
        <f>"张凯毓"</f>
        <v>3627</v>
      </c>
      <c r="D1974" s="158" t="s">
        <f>"15010122122"</f>
        <v>3628</v>
      </c>
      <c r="E1974" s="158">
        <v>51.86</v>
      </c>
      <c r="F1974" s="158"/>
      <c r="G1974" s="158">
        <v>51.86</v>
      </c>
    </row>
    <row r="1975" spans="1:7" ht="32.999496" customHeight="1" x14ac:dyDescent="0.15">
      <c r="A1975" s="158">
        <v>1973.0</v>
      </c>
      <c r="B1975" s="158" t="s">
        <v>8</v>
      </c>
      <c r="C1975" s="158" t="s">
        <f>"苏燕梅"</f>
        <v>3629</v>
      </c>
      <c r="D1975" s="158" t="s">
        <f>"15010122123"</f>
        <v>3630</v>
      </c>
      <c r="E1975" s="158">
        <v>64.11</v>
      </c>
      <c r="F1975" s="158"/>
      <c r="G1975" s="158">
        <v>64.11</v>
      </c>
    </row>
    <row r="1976" spans="1:7" ht="32.999496" customHeight="1" x14ac:dyDescent="0.15">
      <c r="A1976" s="158">
        <v>1974.0</v>
      </c>
      <c r="B1976" s="158" t="s">
        <v>3631</v>
      </c>
      <c r="C1976" s="158" t="s">
        <f>"宋鹏"</f>
        <v>3632</v>
      </c>
      <c r="D1976" s="158" t="s">
        <f>"15010222201"</f>
        <v>3633</v>
      </c>
      <c r="E1976" s="158">
        <v>51.980000000000004</v>
      </c>
      <c r="F1976" s="158"/>
      <c r="G1976" s="158">
        <v>51.980000000000004</v>
      </c>
    </row>
    <row r="1977" spans="1:7" ht="32.999496" customHeight="1" x14ac:dyDescent="0.15">
      <c r="A1977" s="158">
        <v>1975.0</v>
      </c>
      <c r="B1977" s="158" t="s">
        <v>3631</v>
      </c>
      <c r="C1977" s="158" t="s">
        <f>"王雪"</f>
        <v>1366</v>
      </c>
      <c r="D1977" s="158" t="s">
        <f>"15010222202"</f>
        <v>3634</v>
      </c>
      <c r="E1977" s="158">
        <v>58.15</v>
      </c>
      <c r="F1977" s="158">
        <v>2.5</v>
      </c>
      <c r="G1977" s="158">
        <v>60.65</v>
      </c>
    </row>
    <row r="1978" spans="1:7" ht="32.999496" customHeight="1" x14ac:dyDescent="0.15">
      <c r="A1978" s="158">
        <v>1976.0</v>
      </c>
      <c r="B1978" s="158" t="s">
        <v>3631</v>
      </c>
      <c r="C1978" s="158" t="s">
        <f>"郝瑞东"</f>
        <v>3635</v>
      </c>
      <c r="D1978" s="158" t="s">
        <f>"15010222203"</f>
        <v>3636</v>
      </c>
      <c r="E1978" s="158">
        <v>61.04</v>
      </c>
      <c r="F1978" s="158"/>
      <c r="G1978" s="158">
        <v>61.04</v>
      </c>
    </row>
    <row r="1979" spans="1:7" ht="32.999496" customHeight="1" x14ac:dyDescent="0.15">
      <c r="A1979" s="158">
        <v>1977.0</v>
      </c>
      <c r="B1979" s="158" t="s">
        <v>3631</v>
      </c>
      <c r="C1979" s="158" t="s">
        <f>"杨芳"</f>
        <v>3637</v>
      </c>
      <c r="D1979" s="158" t="s">
        <f>"15010222204"</f>
        <v>3638</v>
      </c>
      <c r="E1979" s="158">
        <v>32.08</v>
      </c>
      <c r="F1979" s="158"/>
      <c r="G1979" s="158">
        <v>32.08</v>
      </c>
    </row>
    <row r="1980" spans="1:7" ht="32.999496" customHeight="1" x14ac:dyDescent="0.15">
      <c r="A1980" s="158">
        <v>1978.0</v>
      </c>
      <c r="B1980" s="158" t="s">
        <v>3631</v>
      </c>
      <c r="C1980" s="158" t="s">
        <f>"郝红叶"</f>
        <v>3639</v>
      </c>
      <c r="D1980" s="158" t="s">
        <f>"15010222205"</f>
        <v>3640</v>
      </c>
      <c r="E1980" s="158">
        <v>67.68</v>
      </c>
      <c r="F1980" s="158">
        <v>2.5</v>
      </c>
      <c r="G1980" s="158">
        <v>70.18</v>
      </c>
    </row>
    <row r="1981" spans="1:7" ht="32.999496" customHeight="1" x14ac:dyDescent="0.15">
      <c r="A1981" s="158">
        <v>1979.0</v>
      </c>
      <c r="B1981" s="158" t="s">
        <v>3631</v>
      </c>
      <c r="C1981" s="158" t="s">
        <f>"单学刚"</f>
        <v>3641</v>
      </c>
      <c r="D1981" s="158" t="s">
        <f>"15010222206"</f>
        <v>3642</v>
      </c>
      <c r="E1981" s="158" t="s">
        <v>15</v>
      </c>
      <c r="F1981" s="158"/>
      <c r="G1981" s="158" t="s">
        <v>15</v>
      </c>
    </row>
    <row r="1982" spans="1:7" ht="32.999496" customHeight="1" x14ac:dyDescent="0.15">
      <c r="A1982" s="158">
        <v>1980.0</v>
      </c>
      <c r="B1982" s="158" t="s">
        <v>3631</v>
      </c>
      <c r="C1982" s="158" t="s">
        <f>"侯倩雯"</f>
        <v>3643</v>
      </c>
      <c r="D1982" s="158" t="s">
        <f>"15010222207"</f>
        <v>3644</v>
      </c>
      <c r="E1982" s="158">
        <v>64.3</v>
      </c>
      <c r="F1982" s="158">
        <v>2.5</v>
      </c>
      <c r="G1982" s="158">
        <v>66.8</v>
      </c>
    </row>
    <row r="1983" spans="1:7" ht="32.999496" customHeight="1" x14ac:dyDescent="0.15">
      <c r="A1983" s="158">
        <v>1981.0</v>
      </c>
      <c r="B1983" s="158" t="s">
        <v>3631</v>
      </c>
      <c r="C1983" s="158" t="s">
        <f>"宋佳鑫"</f>
        <v>3645</v>
      </c>
      <c r="D1983" s="158" t="s">
        <f>"15010222208"</f>
        <v>3646</v>
      </c>
      <c r="E1983" s="158">
        <v>47.989999999999995</v>
      </c>
      <c r="F1983" s="158"/>
      <c r="G1983" s="158">
        <v>47.989999999999995</v>
      </c>
    </row>
    <row r="1984" spans="1:7" ht="32.999496" customHeight="1" x14ac:dyDescent="0.15">
      <c r="A1984" s="158">
        <v>1982.0</v>
      </c>
      <c r="B1984" s="158" t="s">
        <v>3631</v>
      </c>
      <c r="C1984" s="158" t="s">
        <f>"刘亦婷"</f>
        <v>3647</v>
      </c>
      <c r="D1984" s="158" t="s">
        <f>"15010222209"</f>
        <v>3648</v>
      </c>
      <c r="E1984" s="158" t="s">
        <v>15</v>
      </c>
      <c r="F1984" s="158"/>
      <c r="G1984" s="158" t="s">
        <v>15</v>
      </c>
    </row>
    <row r="1985" spans="1:7" ht="32.999496" customHeight="1" x14ac:dyDescent="0.15">
      <c r="A1985" s="158">
        <v>1983.0</v>
      </c>
      <c r="B1985" s="158" t="s">
        <v>3631</v>
      </c>
      <c r="C1985" s="158" t="s">
        <f>"雷雄"</f>
        <v>3649</v>
      </c>
      <c r="D1985" s="158" t="s">
        <f>"15010222210"</f>
        <v>3650</v>
      </c>
      <c r="E1985" s="158">
        <v>62.23</v>
      </c>
      <c r="F1985" s="158"/>
      <c r="G1985" s="158">
        <v>62.23</v>
      </c>
    </row>
    <row r="1986" spans="1:7" ht="32.999496" customHeight="1" x14ac:dyDescent="0.15">
      <c r="A1986" s="158">
        <v>1984.0</v>
      </c>
      <c r="B1986" s="158" t="s">
        <v>3631</v>
      </c>
      <c r="C1986" s="158" t="s">
        <f>"田乐"</f>
        <v>3651</v>
      </c>
      <c r="D1986" s="158" t="s">
        <f>"15010222211"</f>
        <v>3652</v>
      </c>
      <c r="E1986" s="158" t="s">
        <v>15</v>
      </c>
      <c r="F1986" s="158"/>
      <c r="G1986" s="158" t="s">
        <v>15</v>
      </c>
    </row>
    <row r="1987" spans="1:7" ht="32.999496" customHeight="1" x14ac:dyDescent="0.15">
      <c r="A1987" s="158">
        <v>1985.0</v>
      </c>
      <c r="B1987" s="158" t="s">
        <v>3631</v>
      </c>
      <c r="C1987" s="158" t="s">
        <f>"蒋峰"</f>
        <v>3653</v>
      </c>
      <c r="D1987" s="158" t="s">
        <f>"15010222212"</f>
        <v>3654</v>
      </c>
      <c r="E1987" s="158" t="s">
        <v>15</v>
      </c>
      <c r="F1987" s="158"/>
      <c r="G1987" s="158" t="s">
        <v>15</v>
      </c>
    </row>
    <row r="1988" spans="1:7" ht="32.999496" customHeight="1" x14ac:dyDescent="0.15">
      <c r="A1988" s="158">
        <v>1986.0</v>
      </c>
      <c r="B1988" s="158" t="s">
        <v>3631</v>
      </c>
      <c r="C1988" s="158" t="s">
        <f>"郭浩"</f>
        <v>2341</v>
      </c>
      <c r="D1988" s="158" t="s">
        <f>"15010222213"</f>
        <v>3655</v>
      </c>
      <c r="E1988" s="158" t="s">
        <v>15</v>
      </c>
      <c r="F1988" s="158"/>
      <c r="G1988" s="158" t="s">
        <v>15</v>
      </c>
    </row>
    <row r="1989" spans="1:7" ht="32.999496" customHeight="1" x14ac:dyDescent="0.15">
      <c r="A1989" s="158">
        <v>1987.0</v>
      </c>
      <c r="B1989" s="158" t="s">
        <v>3631</v>
      </c>
      <c r="C1989" s="158" t="s">
        <f>"牛瑞"</f>
        <v>3656</v>
      </c>
      <c r="D1989" s="158" t="s">
        <f>"15010222214"</f>
        <v>3657</v>
      </c>
      <c r="E1989" s="158">
        <v>66.00999999999999</v>
      </c>
      <c r="F1989" s="158"/>
      <c r="G1989" s="158">
        <v>66.00999999999999</v>
      </c>
    </row>
    <row r="1990" spans="1:7" ht="32.999496" customHeight="1" x14ac:dyDescent="0.15">
      <c r="A1990" s="158">
        <v>1988.0</v>
      </c>
      <c r="B1990" s="158" t="s">
        <v>3631</v>
      </c>
      <c r="C1990" s="158" t="s">
        <f>"张瑞"</f>
        <v>1856</v>
      </c>
      <c r="D1990" s="158" t="s">
        <f>"15010222215"</f>
        <v>3658</v>
      </c>
      <c r="E1990" s="158" t="s">
        <v>15</v>
      </c>
      <c r="F1990" s="158"/>
      <c r="G1990" s="158" t="s">
        <v>15</v>
      </c>
    </row>
    <row r="1991" spans="1:7" ht="32.999496" customHeight="1" x14ac:dyDescent="0.15">
      <c r="A1991" s="158">
        <v>1989.0</v>
      </c>
      <c r="B1991" s="158" t="s">
        <v>3631</v>
      </c>
      <c r="C1991" s="158" t="s">
        <f>"满达"</f>
        <v>3659</v>
      </c>
      <c r="D1991" s="158" t="s">
        <f>"15010222216"</f>
        <v>3660</v>
      </c>
      <c r="E1991" s="158">
        <v>52.19</v>
      </c>
      <c r="F1991" s="158">
        <v>2.5</v>
      </c>
      <c r="G1991" s="158">
        <v>54.69</v>
      </c>
    </row>
    <row r="1992" spans="1:7" ht="32.999496" customHeight="1" x14ac:dyDescent="0.15">
      <c r="A1992" s="158">
        <v>1990.0</v>
      </c>
      <c r="B1992" s="158" t="s">
        <v>3631</v>
      </c>
      <c r="C1992" s="158" t="s">
        <f>"高如滔"</f>
        <v>3661</v>
      </c>
      <c r="D1992" s="158" t="s">
        <f>"15010222217"</f>
        <v>3662</v>
      </c>
      <c r="E1992" s="158" t="s">
        <v>15</v>
      </c>
      <c r="F1992" s="158"/>
      <c r="G1992" s="158" t="s">
        <v>15</v>
      </c>
    </row>
    <row r="1993" spans="1:7" ht="32.999496" customHeight="1" x14ac:dyDescent="0.15">
      <c r="A1993" s="158">
        <v>1991.0</v>
      </c>
      <c r="B1993" s="158" t="s">
        <v>3631</v>
      </c>
      <c r="C1993" s="158" t="s">
        <f>"高璐"</f>
        <v>3663</v>
      </c>
      <c r="D1993" s="158" t="s">
        <f>"15010222218"</f>
        <v>3664</v>
      </c>
      <c r="E1993" s="158">
        <v>58.81</v>
      </c>
      <c r="F1993" s="158"/>
      <c r="G1993" s="158">
        <v>58.81</v>
      </c>
    </row>
    <row r="1994" spans="1:7" ht="32.999496" customHeight="1" x14ac:dyDescent="0.15">
      <c r="A1994" s="158">
        <v>1992.0</v>
      </c>
      <c r="B1994" s="158" t="s">
        <v>3631</v>
      </c>
      <c r="C1994" s="158" t="s">
        <f>"李晨越"</f>
        <v>3665</v>
      </c>
      <c r="D1994" s="158" t="s">
        <f>"15010222219"</f>
        <v>3666</v>
      </c>
      <c r="E1994" s="158">
        <v>63.32</v>
      </c>
      <c r="F1994" s="158"/>
      <c r="G1994" s="158">
        <v>63.32</v>
      </c>
    </row>
    <row r="1995" spans="1:7" ht="32.999496" customHeight="1" x14ac:dyDescent="0.15">
      <c r="A1995" s="158">
        <v>1993.0</v>
      </c>
      <c r="B1995" s="158" t="s">
        <v>3631</v>
      </c>
      <c r="C1995" s="158" t="s">
        <f>"孙天庆"</f>
        <v>3667</v>
      </c>
      <c r="D1995" s="158" t="s">
        <f>"15010222220"</f>
        <v>3668</v>
      </c>
      <c r="E1995" s="158">
        <v>68.50999999999999</v>
      </c>
      <c r="F1995" s="158"/>
      <c r="G1995" s="158">
        <v>68.50999999999999</v>
      </c>
    </row>
    <row r="1996" spans="1:7" ht="32.999496" customHeight="1" x14ac:dyDescent="0.15">
      <c r="A1996" s="158">
        <v>1994.0</v>
      </c>
      <c r="B1996" s="158" t="s">
        <v>3631</v>
      </c>
      <c r="C1996" s="158" t="s">
        <f>"杨宇"</f>
        <v>387</v>
      </c>
      <c r="D1996" s="158" t="s">
        <f>"15010222221"</f>
        <v>3669</v>
      </c>
      <c r="E1996" s="158">
        <v>58.66</v>
      </c>
      <c r="F1996" s="158"/>
      <c r="G1996" s="158">
        <v>58.66</v>
      </c>
    </row>
    <row r="1997" spans="1:7" ht="32.999496" customHeight="1" x14ac:dyDescent="0.15">
      <c r="A1997" s="158">
        <v>1995.0</v>
      </c>
      <c r="B1997" s="158" t="s">
        <v>3631</v>
      </c>
      <c r="C1997" s="158" t="s">
        <f>"边冉"</f>
        <v>3670</v>
      </c>
      <c r="D1997" s="158" t="s">
        <f>"15010222222"</f>
        <v>3671</v>
      </c>
      <c r="E1997" s="158">
        <v>54.57</v>
      </c>
      <c r="F1997" s="158"/>
      <c r="G1997" s="158">
        <v>54.57</v>
      </c>
    </row>
    <row r="1998" spans="1:7" ht="32.999496" customHeight="1" x14ac:dyDescent="0.15">
      <c r="A1998" s="158">
        <v>1996.0</v>
      </c>
      <c r="B1998" s="158" t="s">
        <v>3631</v>
      </c>
      <c r="C1998" s="158" t="s">
        <f>"苗东青"</f>
        <v>3672</v>
      </c>
      <c r="D1998" s="158" t="s">
        <f>"15010222223"</f>
        <v>3673</v>
      </c>
      <c r="E1998" s="158" t="s">
        <v>15</v>
      </c>
      <c r="F1998" s="158"/>
      <c r="G1998" s="158" t="s">
        <v>15</v>
      </c>
    </row>
    <row r="1999" spans="1:7" ht="32.999496" customHeight="1" x14ac:dyDescent="0.15">
      <c r="A1999" s="158">
        <v>1997.0</v>
      </c>
      <c r="B1999" s="158" t="s">
        <v>3631</v>
      </c>
      <c r="C1999" s="158" t="s">
        <f>"韩淑妤"</f>
        <v>3674</v>
      </c>
      <c r="D1999" s="158" t="s">
        <f>"15010222224"</f>
        <v>3675</v>
      </c>
      <c r="E1999" s="158" t="s">
        <v>15</v>
      </c>
      <c r="F1999" s="158"/>
      <c r="G1999" s="158" t="s">
        <v>15</v>
      </c>
    </row>
    <row r="2000" spans="1:7" ht="32.999496" customHeight="1" x14ac:dyDescent="0.15">
      <c r="A2000" s="158">
        <v>1998.0</v>
      </c>
      <c r="B2000" s="158" t="s">
        <v>3631</v>
      </c>
      <c r="C2000" s="158" t="s">
        <f>"杨少博"</f>
        <v>3676</v>
      </c>
      <c r="D2000" s="158" t="s">
        <f>"15010222225"</f>
        <v>3677</v>
      </c>
      <c r="E2000" s="158" t="s">
        <v>15</v>
      </c>
      <c r="F2000" s="158">
        <v>2.5</v>
      </c>
      <c r="G2000" s="158" t="s">
        <v>15</v>
      </c>
    </row>
    <row r="2001" spans="1:7" ht="32.999496" customHeight="1" x14ac:dyDescent="0.15">
      <c r="A2001" s="158">
        <v>1999.0</v>
      </c>
      <c r="B2001" s="158" t="s">
        <v>3631</v>
      </c>
      <c r="C2001" s="158" t="s">
        <f>"张瑞"</f>
        <v>1856</v>
      </c>
      <c r="D2001" s="158" t="s">
        <f>"15010222226"</f>
        <v>3678</v>
      </c>
      <c r="E2001" s="158">
        <v>60.51</v>
      </c>
      <c r="F2001" s="158"/>
      <c r="G2001" s="158">
        <v>60.51</v>
      </c>
    </row>
    <row r="2002" spans="1:7" ht="32.999496" customHeight="1" x14ac:dyDescent="0.15">
      <c r="A2002" s="158">
        <v>2000.0</v>
      </c>
      <c r="B2002" s="158" t="s">
        <v>3631</v>
      </c>
      <c r="C2002" s="158" t="s">
        <f>"张薇"</f>
        <v>3679</v>
      </c>
      <c r="D2002" s="158" t="s">
        <f>"15010222227"</f>
        <v>3680</v>
      </c>
      <c r="E2002" s="158" t="s">
        <v>15</v>
      </c>
      <c r="F2002" s="158"/>
      <c r="G2002" s="158" t="s">
        <v>15</v>
      </c>
    </row>
    <row r="2003" spans="1:7" ht="32.999496" customHeight="1" x14ac:dyDescent="0.15">
      <c r="A2003" s="158">
        <v>2001.0</v>
      </c>
      <c r="B2003" s="158" t="s">
        <v>3631</v>
      </c>
      <c r="C2003" s="158" t="s">
        <f>"高瑞阳"</f>
        <v>3681</v>
      </c>
      <c r="D2003" s="158" t="s">
        <f>"15010222228"</f>
        <v>3682</v>
      </c>
      <c r="E2003" s="158">
        <v>59.72</v>
      </c>
      <c r="F2003" s="158"/>
      <c r="G2003" s="158">
        <v>59.72</v>
      </c>
    </row>
    <row r="2004" spans="1:7" ht="32.999496" customHeight="1" x14ac:dyDescent="0.15">
      <c r="A2004" s="158">
        <v>2002.0</v>
      </c>
      <c r="B2004" s="158" t="s">
        <v>3631</v>
      </c>
      <c r="C2004" s="158" t="s">
        <f>"杨波"</f>
        <v>3163</v>
      </c>
      <c r="D2004" s="158" t="s">
        <f>"15010222229"</f>
        <v>3683</v>
      </c>
      <c r="E2004" s="158" t="s">
        <v>15</v>
      </c>
      <c r="F2004" s="158"/>
      <c r="G2004" s="158" t="s">
        <v>15</v>
      </c>
    </row>
    <row r="2005" spans="1:7" ht="32.999496" customHeight="1" x14ac:dyDescent="0.15">
      <c r="A2005" s="158">
        <v>2003.0</v>
      </c>
      <c r="B2005" s="158" t="s">
        <v>3631</v>
      </c>
      <c r="C2005" s="158" t="s">
        <f>"王子越"</f>
        <v>3684</v>
      </c>
      <c r="D2005" s="158" t="s">
        <f>"15010222230"</f>
        <v>3685</v>
      </c>
      <c r="E2005" s="158">
        <v>53.25</v>
      </c>
      <c r="F2005" s="158"/>
      <c r="G2005" s="158">
        <v>53.25</v>
      </c>
    </row>
    <row r="2006" spans="1:7" ht="32.999496" customHeight="1" x14ac:dyDescent="0.15">
      <c r="A2006" s="158">
        <v>2004.0</v>
      </c>
      <c r="B2006" s="158" t="s">
        <v>3631</v>
      </c>
      <c r="C2006" s="158" t="s">
        <f>"宋宇鹏"</f>
        <v>3686</v>
      </c>
      <c r="D2006" s="158" t="s">
        <f>"15010222301"</f>
        <v>3687</v>
      </c>
      <c r="E2006" s="158" t="s">
        <v>15</v>
      </c>
      <c r="F2006" s="158"/>
      <c r="G2006" s="158" t="s">
        <v>15</v>
      </c>
    </row>
    <row r="2007" spans="1:7" ht="32.999496" customHeight="1" x14ac:dyDescent="0.15">
      <c r="A2007" s="158">
        <v>2005.0</v>
      </c>
      <c r="B2007" s="158" t="s">
        <v>3631</v>
      </c>
      <c r="C2007" s="158" t="s">
        <f>"冯哲"</f>
        <v>3688</v>
      </c>
      <c r="D2007" s="158" t="s">
        <f>"15010222302"</f>
        <v>3689</v>
      </c>
      <c r="E2007" s="158" t="s">
        <v>15</v>
      </c>
      <c r="F2007" s="158"/>
      <c r="G2007" s="158" t="s">
        <v>15</v>
      </c>
    </row>
    <row r="2008" spans="1:7" ht="32.999496" customHeight="1" x14ac:dyDescent="0.15">
      <c r="A2008" s="158">
        <v>2006.0</v>
      </c>
      <c r="B2008" s="158" t="s">
        <v>3631</v>
      </c>
      <c r="C2008" s="158" t="s">
        <f>"杨洁"</f>
        <v>3690</v>
      </c>
      <c r="D2008" s="158" t="s">
        <f>"15010222303"</f>
        <v>3691</v>
      </c>
      <c r="E2008" s="158">
        <v>60.7</v>
      </c>
      <c r="F2008" s="158"/>
      <c r="G2008" s="158">
        <v>60.7</v>
      </c>
    </row>
    <row r="2009" spans="1:7" ht="32.999496" customHeight="1" x14ac:dyDescent="0.15">
      <c r="A2009" s="158">
        <v>2007.0</v>
      </c>
      <c r="B2009" s="158" t="s">
        <v>3631</v>
      </c>
      <c r="C2009" s="158" t="s">
        <f>"马帅"</f>
        <v>3692</v>
      </c>
      <c r="D2009" s="158" t="s">
        <f>"15010222304"</f>
        <v>3693</v>
      </c>
      <c r="E2009" s="158">
        <v>53.870000000000005</v>
      </c>
      <c r="F2009" s="158"/>
      <c r="G2009" s="158">
        <v>53.870000000000005</v>
      </c>
    </row>
    <row r="2010" spans="1:7" ht="32.999496" customHeight="1" x14ac:dyDescent="0.15">
      <c r="A2010" s="158">
        <v>2008.0</v>
      </c>
      <c r="B2010" s="158" t="s">
        <v>3631</v>
      </c>
      <c r="C2010" s="158" t="s">
        <f>"庞宇"</f>
        <v>3694</v>
      </c>
      <c r="D2010" s="158" t="s">
        <f>"15010222305"</f>
        <v>3695</v>
      </c>
      <c r="E2010" s="158" t="s">
        <v>15</v>
      </c>
      <c r="F2010" s="158"/>
      <c r="G2010" s="158" t="s">
        <v>15</v>
      </c>
    </row>
    <row r="2011" spans="1:7" ht="32.999496" customHeight="1" x14ac:dyDescent="0.15">
      <c r="A2011" s="158">
        <v>2009.0</v>
      </c>
      <c r="B2011" s="158" t="s">
        <v>3631</v>
      </c>
      <c r="C2011" s="158" t="s">
        <f>"秦凤"</f>
        <v>3696</v>
      </c>
      <c r="D2011" s="158" t="s">
        <f>"15010222306"</f>
        <v>3697</v>
      </c>
      <c r="E2011" s="158" t="s">
        <v>15</v>
      </c>
      <c r="F2011" s="158"/>
      <c r="G2011" s="158" t="s">
        <v>15</v>
      </c>
    </row>
    <row r="2012" spans="1:7" ht="32.999496" customHeight="1" x14ac:dyDescent="0.15">
      <c r="A2012" s="158">
        <v>2010.0</v>
      </c>
      <c r="B2012" s="158" t="s">
        <v>3631</v>
      </c>
      <c r="C2012" s="158" t="s">
        <f>"陈丽"</f>
        <v>3698</v>
      </c>
      <c r="D2012" s="158" t="s">
        <f>"15010222307"</f>
        <v>3699</v>
      </c>
      <c r="E2012" s="158">
        <v>57.64</v>
      </c>
      <c r="F2012" s="158"/>
      <c r="G2012" s="158">
        <v>57.64</v>
      </c>
    </row>
    <row r="2013" spans="1:7" ht="32.999496" customHeight="1" x14ac:dyDescent="0.15">
      <c r="A2013" s="158">
        <v>2011.0</v>
      </c>
      <c r="B2013" s="158" t="s">
        <v>3631</v>
      </c>
      <c r="C2013" s="158" t="s">
        <f>"秦家木"</f>
        <v>3700</v>
      </c>
      <c r="D2013" s="158" t="s">
        <f>"15010222308"</f>
        <v>3701</v>
      </c>
      <c r="E2013" s="158">
        <v>57.02</v>
      </c>
      <c r="F2013" s="158"/>
      <c r="G2013" s="158">
        <v>57.02</v>
      </c>
    </row>
    <row r="2014" spans="1:7" ht="32.999496" customHeight="1" x14ac:dyDescent="0.15">
      <c r="A2014" s="158">
        <v>2012.0</v>
      </c>
      <c r="B2014" s="158" t="s">
        <v>3631</v>
      </c>
      <c r="C2014" s="158" t="s">
        <f>"乔峤"</f>
        <v>3702</v>
      </c>
      <c r="D2014" s="158" t="s">
        <f>"15010222309"</f>
        <v>3703</v>
      </c>
      <c r="E2014" s="158">
        <v>63.5</v>
      </c>
      <c r="F2014" s="158">
        <v>2.5</v>
      </c>
      <c r="G2014" s="158">
        <v>66</v>
      </c>
    </row>
    <row r="2015" spans="1:7" ht="32.999496" customHeight="1" x14ac:dyDescent="0.15">
      <c r="A2015" s="158">
        <v>2013.0</v>
      </c>
      <c r="B2015" s="158" t="s">
        <v>3631</v>
      </c>
      <c r="C2015" s="158" t="s">
        <f>"刘欣荣"</f>
        <v>3704</v>
      </c>
      <c r="D2015" s="158" t="s">
        <f>"15010222310"</f>
        <v>3705</v>
      </c>
      <c r="E2015" s="158" t="s">
        <v>15</v>
      </c>
      <c r="F2015" s="158"/>
      <c r="G2015" s="158" t="s">
        <v>15</v>
      </c>
    </row>
    <row r="2016" spans="1:7" ht="32.999496" customHeight="1" x14ac:dyDescent="0.15">
      <c r="A2016" s="158">
        <v>2014.0</v>
      </c>
      <c r="B2016" s="158" t="s">
        <v>3631</v>
      </c>
      <c r="C2016" s="158" t="s">
        <f>"刘艳"</f>
        <v>1499</v>
      </c>
      <c r="D2016" s="158" t="s">
        <f>"15010222311"</f>
        <v>3706</v>
      </c>
      <c r="E2016" s="158">
        <v>63.59</v>
      </c>
      <c r="F2016" s="158"/>
      <c r="G2016" s="158">
        <v>63.59</v>
      </c>
    </row>
    <row r="2017" spans="1:7" ht="32.999496" customHeight="1" x14ac:dyDescent="0.15">
      <c r="A2017" s="158">
        <v>2015.0</v>
      </c>
      <c r="B2017" s="158" t="s">
        <v>3631</v>
      </c>
      <c r="C2017" s="158" t="s">
        <f>"王少春"</f>
        <v>3707</v>
      </c>
      <c r="D2017" s="158" t="s">
        <f>"15010222312"</f>
        <v>3708</v>
      </c>
      <c r="E2017" s="158">
        <v>66.05</v>
      </c>
      <c r="F2017" s="158"/>
      <c r="G2017" s="158">
        <v>66.05</v>
      </c>
    </row>
    <row r="2018" spans="1:7" ht="32.999496" customHeight="1" x14ac:dyDescent="0.15">
      <c r="A2018" s="158">
        <v>2016.0</v>
      </c>
      <c r="B2018" s="158" t="s">
        <v>3631</v>
      </c>
      <c r="C2018" s="158" t="s">
        <f>"张峰"</f>
        <v>3709</v>
      </c>
      <c r="D2018" s="158" t="s">
        <f>"15010222313"</f>
        <v>3710</v>
      </c>
      <c r="E2018" s="158">
        <v>56.879999999999995</v>
      </c>
      <c r="F2018" s="158"/>
      <c r="G2018" s="158">
        <v>56.879999999999995</v>
      </c>
    </row>
    <row r="2019" spans="1:7" ht="32.999496" customHeight="1" x14ac:dyDescent="0.15">
      <c r="A2019" s="158">
        <v>2017.0</v>
      </c>
      <c r="B2019" s="158" t="s">
        <v>3631</v>
      </c>
      <c r="C2019" s="158" t="s">
        <f>"郭旭"</f>
        <v>1127</v>
      </c>
      <c r="D2019" s="158" t="s">
        <f>"15010222314"</f>
        <v>3711</v>
      </c>
      <c r="E2019" s="158">
        <v>67.34</v>
      </c>
      <c r="F2019" s="158">
        <v>2.5</v>
      </c>
      <c r="G2019" s="158">
        <v>69.84</v>
      </c>
    </row>
    <row r="2020" spans="1:7" ht="32.999496" customHeight="1" x14ac:dyDescent="0.15">
      <c r="A2020" s="158">
        <v>2018.0</v>
      </c>
      <c r="B2020" s="158" t="s">
        <v>3631</v>
      </c>
      <c r="C2020" s="158" t="s">
        <f>"张智远"</f>
        <v>3712</v>
      </c>
      <c r="D2020" s="158" t="s">
        <f>"15010222315"</f>
        <v>3713</v>
      </c>
      <c r="E2020" s="158" t="s">
        <v>15</v>
      </c>
      <c r="F2020" s="158"/>
      <c r="G2020" s="158" t="s">
        <v>15</v>
      </c>
    </row>
    <row r="2021" spans="1:7" ht="32.999496" customHeight="1" x14ac:dyDescent="0.15">
      <c r="A2021" s="158">
        <v>2019.0</v>
      </c>
      <c r="B2021" s="158" t="s">
        <v>3631</v>
      </c>
      <c r="C2021" s="158" t="s">
        <f>"王庭"</f>
        <v>3714</v>
      </c>
      <c r="D2021" s="158" t="s">
        <f>"15010222316"</f>
        <v>3715</v>
      </c>
      <c r="E2021" s="158">
        <v>52.629999999999995</v>
      </c>
      <c r="F2021" s="158"/>
      <c r="G2021" s="158">
        <v>52.629999999999995</v>
      </c>
    </row>
    <row r="2022" spans="1:7" ht="32.999496" customHeight="1" x14ac:dyDescent="0.15">
      <c r="A2022" s="158">
        <v>2020.0</v>
      </c>
      <c r="B2022" s="158" t="s">
        <v>3631</v>
      </c>
      <c r="C2022" s="158" t="s">
        <f>"马国卿"</f>
        <v>3716</v>
      </c>
      <c r="D2022" s="158" t="s">
        <f>"15010222317"</f>
        <v>3717</v>
      </c>
      <c r="E2022" s="158" t="s">
        <v>15</v>
      </c>
      <c r="F2022" s="158">
        <v>2.5</v>
      </c>
      <c r="G2022" s="158" t="s">
        <v>15</v>
      </c>
    </row>
    <row r="2023" spans="1:7" ht="32.999496" customHeight="1" x14ac:dyDescent="0.15">
      <c r="A2023" s="158">
        <v>2021.0</v>
      </c>
      <c r="B2023" s="158" t="s">
        <v>3631</v>
      </c>
      <c r="C2023" s="158" t="s">
        <f>"石慧龙"</f>
        <v>3718</v>
      </c>
      <c r="D2023" s="158" t="s">
        <f>"15010222318"</f>
        <v>3719</v>
      </c>
      <c r="E2023" s="158">
        <v>62.76</v>
      </c>
      <c r="F2023" s="158"/>
      <c r="G2023" s="158">
        <v>62.76</v>
      </c>
    </row>
    <row r="2024" spans="1:7" ht="32.999496" customHeight="1" x14ac:dyDescent="0.15">
      <c r="A2024" s="158">
        <v>2022.0</v>
      </c>
      <c r="B2024" s="158" t="s">
        <v>3631</v>
      </c>
      <c r="C2024" s="158" t="s">
        <f>"王学萍"</f>
        <v>3720</v>
      </c>
      <c r="D2024" s="158" t="s">
        <f>"15010222319"</f>
        <v>3721</v>
      </c>
      <c r="E2024" s="158">
        <v>54.53</v>
      </c>
      <c r="F2024" s="158"/>
      <c r="G2024" s="158">
        <v>54.53</v>
      </c>
    </row>
    <row r="2025" spans="1:7" ht="32.999496" customHeight="1" x14ac:dyDescent="0.15">
      <c r="A2025" s="158">
        <v>2023.0</v>
      </c>
      <c r="B2025" s="158" t="s">
        <v>3631</v>
      </c>
      <c r="C2025" s="158" t="s">
        <f>"边伟"</f>
        <v>3722</v>
      </c>
      <c r="D2025" s="158" t="s">
        <f>"15010222320"</f>
        <v>3723</v>
      </c>
      <c r="E2025" s="158">
        <v>57.68</v>
      </c>
      <c r="F2025" s="158"/>
      <c r="G2025" s="158">
        <v>57.68</v>
      </c>
    </row>
    <row r="2026" spans="1:7" ht="32.999496" customHeight="1" x14ac:dyDescent="0.15">
      <c r="A2026" s="158">
        <v>2024.0</v>
      </c>
      <c r="B2026" s="158" t="s">
        <v>3631</v>
      </c>
      <c r="C2026" s="158" t="s">
        <f>"云小雨"</f>
        <v>3724</v>
      </c>
      <c r="D2026" s="158" t="s">
        <f>"15010222321"</f>
        <v>3725</v>
      </c>
      <c r="E2026" s="158">
        <v>30.92</v>
      </c>
      <c r="F2026" s="158"/>
      <c r="G2026" s="158">
        <v>30.92</v>
      </c>
    </row>
    <row r="2027" spans="1:7" ht="32.999496" customHeight="1" x14ac:dyDescent="0.15">
      <c r="A2027" s="158">
        <v>2025.0</v>
      </c>
      <c r="B2027" s="158" t="s">
        <v>3631</v>
      </c>
      <c r="C2027" s="158" t="s">
        <f>"郭佳良"</f>
        <v>3726</v>
      </c>
      <c r="D2027" s="158" t="s">
        <f>"15010222322"</f>
        <v>3727</v>
      </c>
      <c r="E2027" s="158" t="s">
        <v>15</v>
      </c>
      <c r="F2027" s="158"/>
      <c r="G2027" s="158" t="s">
        <v>15</v>
      </c>
    </row>
    <row r="2028" spans="1:7" ht="32.999496" customHeight="1" x14ac:dyDescent="0.15">
      <c r="A2028" s="158">
        <v>2026.0</v>
      </c>
      <c r="B2028" s="158" t="s">
        <v>3631</v>
      </c>
      <c r="C2028" s="158" t="s">
        <f>"耿伟"</f>
        <v>3728</v>
      </c>
      <c r="D2028" s="158" t="s">
        <f>"15010222323"</f>
        <v>3729</v>
      </c>
      <c r="E2028" s="158" t="s">
        <v>15</v>
      </c>
      <c r="F2028" s="158"/>
      <c r="G2028" s="158" t="s">
        <v>15</v>
      </c>
    </row>
    <row r="2029" spans="1:7" ht="32.999496" customHeight="1" x14ac:dyDescent="0.15">
      <c r="A2029" s="158">
        <v>2027.0</v>
      </c>
      <c r="B2029" s="158" t="s">
        <v>3631</v>
      </c>
      <c r="C2029" s="158" t="s">
        <f>"高慧军"</f>
        <v>3730</v>
      </c>
      <c r="D2029" s="158" t="s">
        <f>"15010222324"</f>
        <v>3731</v>
      </c>
      <c r="E2029" s="158">
        <v>62.58</v>
      </c>
      <c r="F2029" s="158"/>
      <c r="G2029" s="158">
        <v>62.58</v>
      </c>
    </row>
    <row r="2030" spans="1:7" ht="32.999496" customHeight="1" x14ac:dyDescent="0.15">
      <c r="A2030" s="158">
        <v>2028.0</v>
      </c>
      <c r="B2030" s="158" t="s">
        <v>3631</v>
      </c>
      <c r="C2030" s="158" t="s">
        <f>"吴昊月"</f>
        <v>3732</v>
      </c>
      <c r="D2030" s="158" t="s">
        <f>"15010222325"</f>
        <v>3733</v>
      </c>
      <c r="E2030" s="158">
        <v>63.63</v>
      </c>
      <c r="F2030" s="158"/>
      <c r="G2030" s="158">
        <v>63.63</v>
      </c>
    </row>
    <row r="2031" spans="1:7" ht="32.999496" customHeight="1" x14ac:dyDescent="0.15">
      <c r="A2031" s="158">
        <v>2029.0</v>
      </c>
      <c r="B2031" s="158" t="s">
        <v>3631</v>
      </c>
      <c r="C2031" s="158" t="s">
        <f>"艾春佳"</f>
        <v>3734</v>
      </c>
      <c r="D2031" s="158" t="s">
        <f>"15010222326"</f>
        <v>3735</v>
      </c>
      <c r="E2031" s="158">
        <v>51.09</v>
      </c>
      <c r="F2031" s="158"/>
      <c r="G2031" s="158">
        <v>51.09</v>
      </c>
    </row>
    <row r="2032" spans="1:7" ht="32.999496" customHeight="1" x14ac:dyDescent="0.15">
      <c r="A2032" s="158">
        <v>2030.0</v>
      </c>
      <c r="B2032" s="158" t="s">
        <v>3631</v>
      </c>
      <c r="C2032" s="158" t="s">
        <f>"高彩红"</f>
        <v>3736</v>
      </c>
      <c r="D2032" s="158" t="s">
        <f>"15010222327"</f>
        <v>3737</v>
      </c>
      <c r="E2032" s="158">
        <v>66.77000000000001</v>
      </c>
      <c r="F2032" s="158"/>
      <c r="G2032" s="158">
        <v>66.77000000000001</v>
      </c>
    </row>
    <row r="2033" spans="1:7" ht="32.999496" customHeight="1" x14ac:dyDescent="0.15">
      <c r="A2033" s="158">
        <v>2031.0</v>
      </c>
      <c r="B2033" s="158" t="s">
        <v>3631</v>
      </c>
      <c r="C2033" s="158" t="s">
        <f>"朱彤"</f>
        <v>2311</v>
      </c>
      <c r="D2033" s="158" t="s">
        <f>"15010222328"</f>
        <v>3738</v>
      </c>
      <c r="E2033" s="158">
        <v>59.66</v>
      </c>
      <c r="F2033" s="158"/>
      <c r="G2033" s="158">
        <v>59.66</v>
      </c>
    </row>
    <row r="2034" spans="1:7" ht="32.999496" customHeight="1" x14ac:dyDescent="0.15">
      <c r="A2034" s="158">
        <v>2032.0</v>
      </c>
      <c r="B2034" s="158" t="s">
        <v>3631</v>
      </c>
      <c r="C2034" s="158" t="s">
        <f>"李瑞"</f>
        <v>2317</v>
      </c>
      <c r="D2034" s="158" t="s">
        <f>"15010222329"</f>
        <v>3739</v>
      </c>
      <c r="E2034" s="158">
        <v>54.41</v>
      </c>
      <c r="F2034" s="158"/>
      <c r="G2034" s="158">
        <v>54.41</v>
      </c>
    </row>
    <row r="2035" spans="1:7" ht="32.999496" customHeight="1" x14ac:dyDescent="0.15">
      <c r="A2035" s="158">
        <v>2033.0</v>
      </c>
      <c r="B2035" s="158" t="s">
        <v>3631</v>
      </c>
      <c r="C2035" s="158" t="s">
        <f>"王敏"</f>
        <v>2157</v>
      </c>
      <c r="D2035" s="158" t="s">
        <f>"15010222330"</f>
        <v>3740</v>
      </c>
      <c r="E2035" s="158" t="s">
        <v>15</v>
      </c>
      <c r="F2035" s="158"/>
      <c r="G2035" s="158" t="s">
        <v>15</v>
      </c>
    </row>
    <row r="2036" spans="1:7" ht="32.999496" customHeight="1" x14ac:dyDescent="0.15">
      <c r="A2036" s="158">
        <v>2034.0</v>
      </c>
      <c r="B2036" s="158" t="s">
        <v>3631</v>
      </c>
      <c r="C2036" s="158" t="s">
        <f>"李玉平"</f>
        <v>3741</v>
      </c>
      <c r="D2036" s="158" t="s">
        <f>"15010222401"</f>
        <v>3742</v>
      </c>
      <c r="E2036" s="158">
        <v>55.26</v>
      </c>
      <c r="F2036" s="158"/>
      <c r="G2036" s="158">
        <v>55.26</v>
      </c>
    </row>
    <row r="2037" spans="1:7" ht="32.999496" customHeight="1" x14ac:dyDescent="0.15">
      <c r="A2037" s="158">
        <v>2035.0</v>
      </c>
      <c r="B2037" s="158" t="s">
        <v>3631</v>
      </c>
      <c r="C2037" s="158" t="s">
        <f>"訾小英"</f>
        <v>3743</v>
      </c>
      <c r="D2037" s="158" t="s">
        <f>"15010222402"</f>
        <v>3744</v>
      </c>
      <c r="E2037" s="158">
        <v>54.61</v>
      </c>
      <c r="F2037" s="158"/>
      <c r="G2037" s="158">
        <v>54.61</v>
      </c>
    </row>
    <row r="2038" spans="1:7" ht="32.999496" customHeight="1" x14ac:dyDescent="0.15">
      <c r="A2038" s="158">
        <v>2036.0</v>
      </c>
      <c r="B2038" s="158" t="s">
        <v>3631</v>
      </c>
      <c r="C2038" s="158" t="s">
        <f>"陈龙"</f>
        <v>2143</v>
      </c>
      <c r="D2038" s="158" t="s">
        <f>"15010222403"</f>
        <v>3745</v>
      </c>
      <c r="E2038" s="158">
        <v>53.25</v>
      </c>
      <c r="F2038" s="158"/>
      <c r="G2038" s="158">
        <v>53.25</v>
      </c>
    </row>
    <row r="2039" spans="1:7" ht="32.999496" customHeight="1" x14ac:dyDescent="0.15">
      <c r="A2039" s="158">
        <v>2037.0</v>
      </c>
      <c r="B2039" s="158" t="s">
        <v>3631</v>
      </c>
      <c r="C2039" s="158" t="s">
        <f>"冯旭慧"</f>
        <v>3746</v>
      </c>
      <c r="D2039" s="158" t="s">
        <f>"15010222404"</f>
        <v>3747</v>
      </c>
      <c r="E2039" s="158">
        <v>65.12</v>
      </c>
      <c r="F2039" s="158"/>
      <c r="G2039" s="158">
        <v>65.12</v>
      </c>
    </row>
    <row r="2040" spans="1:7" ht="32.999496" customHeight="1" x14ac:dyDescent="0.15">
      <c r="A2040" s="158">
        <v>2038.0</v>
      </c>
      <c r="B2040" s="158" t="s">
        <v>3631</v>
      </c>
      <c r="C2040" s="158" t="s">
        <f>"王启东"</f>
        <v>3748</v>
      </c>
      <c r="D2040" s="158" t="s">
        <f>"15010222405"</f>
        <v>3749</v>
      </c>
      <c r="E2040" s="158" t="s">
        <v>15</v>
      </c>
      <c r="F2040" s="158"/>
      <c r="G2040" s="158" t="s">
        <v>15</v>
      </c>
    </row>
    <row r="2041" spans="1:7" ht="32.999496" customHeight="1" x14ac:dyDescent="0.15">
      <c r="A2041" s="158">
        <v>2039.0</v>
      </c>
      <c r="B2041" s="158" t="s">
        <v>3631</v>
      </c>
      <c r="C2041" s="158" t="s">
        <f>"杜东"</f>
        <v>3750</v>
      </c>
      <c r="D2041" s="158" t="s">
        <f>"15010222406"</f>
        <v>3751</v>
      </c>
      <c r="E2041" s="158">
        <v>58.68</v>
      </c>
      <c r="F2041" s="158"/>
      <c r="G2041" s="158">
        <v>58.68</v>
      </c>
    </row>
    <row r="2042" spans="1:7" ht="32.999496" customHeight="1" x14ac:dyDescent="0.15">
      <c r="A2042" s="158">
        <v>2040.0</v>
      </c>
      <c r="B2042" s="158" t="s">
        <v>3631</v>
      </c>
      <c r="C2042" s="158" t="s">
        <f>"张弓"</f>
        <v>3752</v>
      </c>
      <c r="D2042" s="158" t="s">
        <f>"15010222407"</f>
        <v>3753</v>
      </c>
      <c r="E2042" s="158">
        <v>40.78</v>
      </c>
      <c r="F2042" s="158"/>
      <c r="G2042" s="158">
        <v>40.78</v>
      </c>
    </row>
    <row r="2043" spans="1:7" ht="32.999496" customHeight="1" x14ac:dyDescent="0.15">
      <c r="A2043" s="158">
        <v>2041.0</v>
      </c>
      <c r="B2043" s="158" t="s">
        <v>3631</v>
      </c>
      <c r="C2043" s="158" t="s">
        <f>"李旭阳"</f>
        <v>3018</v>
      </c>
      <c r="D2043" s="158" t="s">
        <f>"15010222408"</f>
        <v>3754</v>
      </c>
      <c r="E2043" s="158">
        <v>61.29</v>
      </c>
      <c r="F2043" s="158"/>
      <c r="G2043" s="158">
        <v>61.29</v>
      </c>
    </row>
    <row r="2044" spans="1:7" ht="32.999496" customHeight="1" x14ac:dyDescent="0.15">
      <c r="A2044" s="158">
        <v>2042.0</v>
      </c>
      <c r="B2044" s="158" t="s">
        <v>3631</v>
      </c>
      <c r="C2044" s="158" t="s">
        <f>"杜睿蓉"</f>
        <v>3755</v>
      </c>
      <c r="D2044" s="158" t="s">
        <f>"15010222409"</f>
        <v>3756</v>
      </c>
      <c r="E2044" s="158">
        <v>62.53</v>
      </c>
      <c r="F2044" s="158"/>
      <c r="G2044" s="158">
        <v>62.53</v>
      </c>
    </row>
    <row r="2045" spans="1:7" ht="32.999496" customHeight="1" x14ac:dyDescent="0.15">
      <c r="A2045" s="158">
        <v>2043.0</v>
      </c>
      <c r="B2045" s="158" t="s">
        <v>3631</v>
      </c>
      <c r="C2045" s="158" t="s">
        <f>"郝婷"</f>
        <v>3757</v>
      </c>
      <c r="D2045" s="158" t="s">
        <f>"15010222410"</f>
        <v>3758</v>
      </c>
      <c r="E2045" s="158">
        <v>55.55</v>
      </c>
      <c r="F2045" s="158"/>
      <c r="G2045" s="158">
        <v>55.55</v>
      </c>
    </row>
    <row r="2046" spans="1:7" ht="32.999496" customHeight="1" x14ac:dyDescent="0.15">
      <c r="A2046" s="158">
        <v>2044.0</v>
      </c>
      <c r="B2046" s="158" t="s">
        <v>3631</v>
      </c>
      <c r="C2046" s="158" t="s">
        <f>"袁丹"</f>
        <v>2469</v>
      </c>
      <c r="D2046" s="158" t="s">
        <f>"15010222411"</f>
        <v>3759</v>
      </c>
      <c r="E2046" s="158">
        <v>47.480000000000004</v>
      </c>
      <c r="F2046" s="158"/>
      <c r="G2046" s="158">
        <v>47.480000000000004</v>
      </c>
    </row>
    <row r="2047" spans="1:7" ht="32.999496" customHeight="1" x14ac:dyDescent="0.15">
      <c r="A2047" s="158">
        <v>2045.0</v>
      </c>
      <c r="B2047" s="158" t="s">
        <v>3631</v>
      </c>
      <c r="C2047" s="158" t="s">
        <f>"李惠"</f>
        <v>3760</v>
      </c>
      <c r="D2047" s="158" t="s">
        <f>"15010222412"</f>
        <v>3761</v>
      </c>
      <c r="E2047" s="158">
        <v>70.21000000000001</v>
      </c>
      <c r="F2047" s="158"/>
      <c r="G2047" s="158">
        <v>70.21000000000001</v>
      </c>
    </row>
    <row r="2048" spans="1:7" ht="32.999496" customHeight="1" x14ac:dyDescent="0.15">
      <c r="A2048" s="158">
        <v>2046.0</v>
      </c>
      <c r="B2048" s="158" t="s">
        <v>3631</v>
      </c>
      <c r="C2048" s="158" t="s">
        <f>"段圆圆"</f>
        <v>3762</v>
      </c>
      <c r="D2048" s="158" t="s">
        <f>"15010222413"</f>
        <v>3763</v>
      </c>
      <c r="E2048" s="158" t="s">
        <v>15</v>
      </c>
      <c r="F2048" s="158"/>
      <c r="G2048" s="158" t="s">
        <v>15</v>
      </c>
    </row>
    <row r="2049" spans="1:7" ht="32.999496" customHeight="1" x14ac:dyDescent="0.15">
      <c r="A2049" s="158">
        <v>2047.0</v>
      </c>
      <c r="B2049" s="158" t="s">
        <v>3631</v>
      </c>
      <c r="C2049" s="158" t="s">
        <f>"孟慧鹏"</f>
        <v>3764</v>
      </c>
      <c r="D2049" s="158" t="s">
        <f>"15010222414"</f>
        <v>3765</v>
      </c>
      <c r="E2049" s="158" t="s">
        <v>15</v>
      </c>
      <c r="F2049" s="158"/>
      <c r="G2049" s="158" t="s">
        <v>15</v>
      </c>
    </row>
    <row r="2050" spans="1:7" ht="32.999496" customHeight="1" x14ac:dyDescent="0.15">
      <c r="A2050" s="158">
        <v>2048.0</v>
      </c>
      <c r="B2050" s="158" t="s">
        <v>3631</v>
      </c>
      <c r="C2050" s="158" t="s">
        <f>"何婧璞"</f>
        <v>3766</v>
      </c>
      <c r="D2050" s="158" t="s">
        <f>"15010222415"</f>
        <v>3767</v>
      </c>
      <c r="E2050" s="158" t="s">
        <v>15</v>
      </c>
      <c r="F2050" s="158"/>
      <c r="G2050" s="158" t="s">
        <v>15</v>
      </c>
    </row>
    <row r="2051" spans="1:7" ht="32.999496" customHeight="1" x14ac:dyDescent="0.15">
      <c r="A2051" s="158">
        <v>2049.0</v>
      </c>
      <c r="B2051" s="158" t="s">
        <v>3631</v>
      </c>
      <c r="C2051" s="158" t="s">
        <f>"李洁"</f>
        <v>3768</v>
      </c>
      <c r="D2051" s="158" t="s">
        <f>"15010222416"</f>
        <v>3769</v>
      </c>
      <c r="E2051" s="158" t="s">
        <v>15</v>
      </c>
      <c r="F2051" s="158"/>
      <c r="G2051" s="158" t="s">
        <v>15</v>
      </c>
    </row>
    <row r="2052" spans="1:7" ht="32.999496" customHeight="1" x14ac:dyDescent="0.15">
      <c r="A2052" s="158">
        <v>2050.0</v>
      </c>
      <c r="B2052" s="158" t="s">
        <v>3631</v>
      </c>
      <c r="C2052" s="158" t="s">
        <f>"杨彦军"</f>
        <v>3770</v>
      </c>
      <c r="D2052" s="158" t="s">
        <f>"15010222417"</f>
        <v>3771</v>
      </c>
      <c r="E2052" s="158" t="s">
        <v>15</v>
      </c>
      <c r="F2052" s="158"/>
      <c r="G2052" s="158" t="s">
        <v>15</v>
      </c>
    </row>
    <row r="2053" spans="1:7" ht="32.999496" customHeight="1" x14ac:dyDescent="0.15">
      <c r="A2053" s="158">
        <v>2051.0</v>
      </c>
      <c r="B2053" s="158" t="s">
        <v>3631</v>
      </c>
      <c r="C2053" s="158" t="s">
        <f>"王正"</f>
        <v>3772</v>
      </c>
      <c r="D2053" s="158" t="s">
        <f>"15010222418"</f>
        <v>3773</v>
      </c>
      <c r="E2053" s="158">
        <v>58.85</v>
      </c>
      <c r="F2053" s="158"/>
      <c r="G2053" s="158">
        <v>58.85</v>
      </c>
    </row>
    <row r="2054" spans="1:7" ht="32.999496" customHeight="1" x14ac:dyDescent="0.15">
      <c r="A2054" s="158">
        <v>2052.0</v>
      </c>
      <c r="B2054" s="158" t="s">
        <v>3631</v>
      </c>
      <c r="C2054" s="158" t="s">
        <f>"高文霞"</f>
        <v>3774</v>
      </c>
      <c r="D2054" s="158" t="s">
        <f>"15010222419"</f>
        <v>3775</v>
      </c>
      <c r="E2054" s="158">
        <v>53.370000000000005</v>
      </c>
      <c r="F2054" s="158"/>
      <c r="G2054" s="158">
        <v>53.370000000000005</v>
      </c>
    </row>
    <row r="2055" spans="1:7" ht="32.999496" customHeight="1" x14ac:dyDescent="0.15">
      <c r="A2055" s="158">
        <v>2053.0</v>
      </c>
      <c r="B2055" s="158" t="s">
        <v>3631</v>
      </c>
      <c r="C2055" s="158" t="s">
        <f>"张鑫"</f>
        <v>250</v>
      </c>
      <c r="D2055" s="158" t="s">
        <f>"15010222420"</f>
        <v>3776</v>
      </c>
      <c r="E2055" s="158">
        <v>49.3</v>
      </c>
      <c r="F2055" s="158"/>
      <c r="G2055" s="158">
        <v>49.3</v>
      </c>
    </row>
    <row r="2056" spans="1:7" ht="32.999496" customHeight="1" x14ac:dyDescent="0.15">
      <c r="A2056" s="158">
        <v>2054.0</v>
      </c>
      <c r="B2056" s="158" t="s">
        <v>3631</v>
      </c>
      <c r="C2056" s="158" t="s">
        <f>"杜佳龙"</f>
        <v>3777</v>
      </c>
      <c r="D2056" s="158" t="s">
        <f>"15010222421"</f>
        <v>3778</v>
      </c>
      <c r="E2056" s="158">
        <v>45.71</v>
      </c>
      <c r="F2056" s="158"/>
      <c r="G2056" s="158">
        <v>45.71</v>
      </c>
    </row>
    <row r="2057" spans="1:7" ht="32.999496" customHeight="1" x14ac:dyDescent="0.15">
      <c r="A2057" s="158">
        <v>2055.0</v>
      </c>
      <c r="B2057" s="158" t="s">
        <v>3631</v>
      </c>
      <c r="C2057" s="158" t="s">
        <f>"郭伟"</f>
        <v>2630</v>
      </c>
      <c r="D2057" s="158" t="s">
        <f>"15010222422"</f>
        <v>3779</v>
      </c>
      <c r="E2057" s="158" t="s">
        <v>15</v>
      </c>
      <c r="F2057" s="158"/>
      <c r="G2057" s="158" t="s">
        <v>15</v>
      </c>
    </row>
    <row r="2058" spans="1:7" ht="32.999496" customHeight="1" x14ac:dyDescent="0.15">
      <c r="A2058" s="158">
        <v>2056.0</v>
      </c>
      <c r="B2058" s="158" t="s">
        <v>3631</v>
      </c>
      <c r="C2058" s="158" t="s">
        <f>"贺晓丽"</f>
        <v>3780</v>
      </c>
      <c r="D2058" s="158" t="s">
        <f>"15010222423"</f>
        <v>3781</v>
      </c>
      <c r="E2058" s="158">
        <v>58.34</v>
      </c>
      <c r="F2058" s="158"/>
      <c r="G2058" s="158">
        <v>58.34</v>
      </c>
    </row>
    <row r="2059" spans="1:7" ht="32.999496" customHeight="1" x14ac:dyDescent="0.15">
      <c r="A2059" s="158">
        <v>2057.0</v>
      </c>
      <c r="B2059" s="158" t="s">
        <v>3631</v>
      </c>
      <c r="C2059" s="158" t="s">
        <f>"屈媛媛"</f>
        <v>3782</v>
      </c>
      <c r="D2059" s="158" t="s">
        <f>"15010222424"</f>
        <v>3783</v>
      </c>
      <c r="E2059" s="158">
        <v>61.9</v>
      </c>
      <c r="F2059" s="158"/>
      <c r="G2059" s="158">
        <v>61.9</v>
      </c>
    </row>
    <row r="2060" spans="1:7" ht="32.999496" customHeight="1" x14ac:dyDescent="0.15">
      <c r="A2060" s="158">
        <v>2058.0</v>
      </c>
      <c r="B2060" s="158" t="s">
        <v>3631</v>
      </c>
      <c r="C2060" s="158" t="s">
        <f>"朱湘楠"</f>
        <v>3784</v>
      </c>
      <c r="D2060" s="158" t="s">
        <f>"15010222425"</f>
        <v>3785</v>
      </c>
      <c r="E2060" s="158">
        <v>56.66</v>
      </c>
      <c r="F2060" s="158">
        <v>2.5</v>
      </c>
      <c r="G2060" s="158">
        <v>59.16</v>
      </c>
    </row>
    <row r="2061" spans="1:7" ht="32.999496" customHeight="1" x14ac:dyDescent="0.15">
      <c r="A2061" s="158">
        <v>2059.0</v>
      </c>
      <c r="B2061" s="158" t="s">
        <v>3631</v>
      </c>
      <c r="C2061" s="158" t="s">
        <f>"杨晓华"</f>
        <v>3786</v>
      </c>
      <c r="D2061" s="158" t="s">
        <f>"15010222426"</f>
        <v>3787</v>
      </c>
      <c r="E2061" s="158">
        <v>43.239999999999995</v>
      </c>
      <c r="F2061" s="158">
        <v>2.5</v>
      </c>
      <c r="G2061" s="158">
        <v>45.739999999999995</v>
      </c>
    </row>
    <row r="2062" spans="1:7" ht="32.999496" customHeight="1" x14ac:dyDescent="0.15">
      <c r="A2062" s="158">
        <v>2060.0</v>
      </c>
      <c r="B2062" s="158" t="s">
        <v>3631</v>
      </c>
      <c r="C2062" s="158" t="s">
        <f>"康红霞"</f>
        <v>3788</v>
      </c>
      <c r="D2062" s="158" t="s">
        <f>"15010222427"</f>
        <v>3789</v>
      </c>
      <c r="E2062" s="158" t="s">
        <v>15</v>
      </c>
      <c r="F2062" s="158"/>
      <c r="G2062" s="158" t="s">
        <v>15</v>
      </c>
    </row>
    <row r="2063" spans="1:7" ht="32.999496" customHeight="1" x14ac:dyDescent="0.15">
      <c r="A2063" s="158">
        <v>2061.0</v>
      </c>
      <c r="B2063" s="158" t="s">
        <v>3631</v>
      </c>
      <c r="C2063" s="158" t="s">
        <f>"张宪"</f>
        <v>3790</v>
      </c>
      <c r="D2063" s="158" t="s">
        <f>"15010222428"</f>
        <v>3791</v>
      </c>
      <c r="E2063" s="158">
        <v>60.35</v>
      </c>
      <c r="F2063" s="158"/>
      <c r="G2063" s="158">
        <v>60.35</v>
      </c>
    </row>
    <row r="2064" spans="1:7" ht="32.999496" customHeight="1" x14ac:dyDescent="0.15">
      <c r="A2064" s="158">
        <v>2062.0</v>
      </c>
      <c r="B2064" s="158" t="s">
        <v>3631</v>
      </c>
      <c r="C2064" s="158" t="s">
        <f>"吴梦瑶"</f>
        <v>3792</v>
      </c>
      <c r="D2064" s="158" t="s">
        <f>"15010222429"</f>
        <v>3793</v>
      </c>
      <c r="E2064" s="158">
        <v>62.35</v>
      </c>
      <c r="F2064" s="158"/>
      <c r="G2064" s="158">
        <v>62.35</v>
      </c>
    </row>
    <row r="2065" spans="1:7" ht="32.999496" customHeight="1" x14ac:dyDescent="0.15">
      <c r="A2065" s="158">
        <v>2063.0</v>
      </c>
      <c r="B2065" s="158" t="s">
        <v>3631</v>
      </c>
      <c r="C2065" s="158" t="s">
        <f>"苏蒙"</f>
        <v>3794</v>
      </c>
      <c r="D2065" s="158" t="s">
        <f>"15010222430"</f>
        <v>3795</v>
      </c>
      <c r="E2065" s="158">
        <v>49.019999999999996</v>
      </c>
      <c r="F2065" s="158"/>
      <c r="G2065" s="158">
        <v>49.019999999999996</v>
      </c>
    </row>
    <row r="2066" spans="1:7" ht="32.999496" customHeight="1" x14ac:dyDescent="0.15">
      <c r="A2066" s="158">
        <v>2064.0</v>
      </c>
      <c r="B2066" s="158" t="s">
        <v>3631</v>
      </c>
      <c r="C2066" s="158" t="s">
        <f>"娜仁图"</f>
        <v>3796</v>
      </c>
      <c r="D2066" s="158" t="s">
        <f>"15010222501"</f>
        <v>3797</v>
      </c>
      <c r="E2066" s="158">
        <v>65.97999999999999</v>
      </c>
      <c r="F2066" s="158">
        <v>2.5</v>
      </c>
      <c r="G2066" s="158">
        <v>68.47999999999999</v>
      </c>
    </row>
    <row r="2067" spans="1:7" ht="32.999496" customHeight="1" x14ac:dyDescent="0.15">
      <c r="A2067" s="158">
        <v>2065.0</v>
      </c>
      <c r="B2067" s="158" t="s">
        <v>3631</v>
      </c>
      <c r="C2067" s="158" t="s">
        <f>"武吉雅"</f>
        <v>3798</v>
      </c>
      <c r="D2067" s="158" t="s">
        <f>"15010222502"</f>
        <v>3799</v>
      </c>
      <c r="E2067" s="158" t="s">
        <v>15</v>
      </c>
      <c r="F2067" s="158">
        <v>2.5</v>
      </c>
      <c r="G2067" s="158" t="s">
        <v>15</v>
      </c>
    </row>
    <row r="2068" spans="1:7" ht="32.999496" customHeight="1" x14ac:dyDescent="0.15">
      <c r="A2068" s="158">
        <v>2066.0</v>
      </c>
      <c r="B2068" s="158" t="s">
        <v>3631</v>
      </c>
      <c r="C2068" s="158" t="s">
        <f>"白瑞"</f>
        <v>832</v>
      </c>
      <c r="D2068" s="158" t="s">
        <f>"15010222503"</f>
        <v>3800</v>
      </c>
      <c r="E2068" s="158" t="s">
        <v>15</v>
      </c>
      <c r="F2068" s="158"/>
      <c r="G2068" s="158" t="s">
        <v>15</v>
      </c>
    </row>
    <row r="2069" spans="1:7" ht="32.999496" customHeight="1" x14ac:dyDescent="0.15">
      <c r="A2069" s="158">
        <v>2067.0</v>
      </c>
      <c r="B2069" s="158" t="s">
        <v>3631</v>
      </c>
      <c r="C2069" s="158" t="s">
        <f>"李淑敏"</f>
        <v>3801</v>
      </c>
      <c r="D2069" s="158" t="s">
        <f>"15010222504"</f>
        <v>3802</v>
      </c>
      <c r="E2069" s="158">
        <v>67.22</v>
      </c>
      <c r="F2069" s="158"/>
      <c r="G2069" s="158">
        <v>67.22</v>
      </c>
    </row>
    <row r="2070" spans="1:7" ht="32.999496" customHeight="1" x14ac:dyDescent="0.15">
      <c r="A2070" s="158">
        <v>2068.0</v>
      </c>
      <c r="B2070" s="158" t="s">
        <v>3631</v>
      </c>
      <c r="C2070" s="158" t="s">
        <f>"吴燕妮"</f>
        <v>3803</v>
      </c>
      <c r="D2070" s="158" t="s">
        <f>"15010222505"</f>
        <v>3804</v>
      </c>
      <c r="E2070" s="158" t="s">
        <v>15</v>
      </c>
      <c r="F2070" s="158"/>
      <c r="G2070" s="158" t="s">
        <v>15</v>
      </c>
    </row>
    <row r="2071" spans="1:7" ht="32.999496" customHeight="1" x14ac:dyDescent="0.15">
      <c r="A2071" s="158">
        <v>2069.0</v>
      </c>
      <c r="B2071" s="158" t="s">
        <v>3631</v>
      </c>
      <c r="C2071" s="158" t="s">
        <f>"王荣"</f>
        <v>1279</v>
      </c>
      <c r="D2071" s="158" t="s">
        <f>"15010222506"</f>
        <v>3805</v>
      </c>
      <c r="E2071" s="158" t="s">
        <v>15</v>
      </c>
      <c r="F2071" s="158"/>
      <c r="G2071" s="158" t="s">
        <v>15</v>
      </c>
    </row>
    <row r="2072" spans="1:7" ht="32.999496" customHeight="1" x14ac:dyDescent="0.15">
      <c r="A2072" s="158">
        <v>2070.0</v>
      </c>
      <c r="B2072" s="158" t="s">
        <v>3631</v>
      </c>
      <c r="C2072" s="158" t="s">
        <f>"刘媛媛"</f>
        <v>224</v>
      </c>
      <c r="D2072" s="158" t="s">
        <f>"15010222507"</f>
        <v>3806</v>
      </c>
      <c r="E2072" s="158">
        <v>65.18</v>
      </c>
      <c r="F2072" s="158"/>
      <c r="G2072" s="158">
        <v>65.18</v>
      </c>
    </row>
    <row r="2073" spans="1:7" ht="32.999496" customHeight="1" x14ac:dyDescent="0.15">
      <c r="A2073" s="158">
        <v>2071.0</v>
      </c>
      <c r="B2073" s="158" t="s">
        <v>3631</v>
      </c>
      <c r="C2073" s="158" t="s">
        <f>"郭姝廷"</f>
        <v>3807</v>
      </c>
      <c r="D2073" s="158" t="s">
        <f>"15010222508"</f>
        <v>3808</v>
      </c>
      <c r="E2073" s="158" t="s">
        <v>15</v>
      </c>
      <c r="F2073" s="158"/>
      <c r="G2073" s="158" t="s">
        <v>15</v>
      </c>
    </row>
    <row r="2074" spans="1:7" ht="32.999496" customHeight="1" x14ac:dyDescent="0.15">
      <c r="A2074" s="158">
        <v>2072.0</v>
      </c>
      <c r="B2074" s="158" t="s">
        <v>3631</v>
      </c>
      <c r="C2074" s="158" t="s">
        <f>"丁慧"</f>
        <v>3809</v>
      </c>
      <c r="D2074" s="158" t="s">
        <f>"15010222509"</f>
        <v>3810</v>
      </c>
      <c r="E2074" s="158">
        <v>43.68</v>
      </c>
      <c r="F2074" s="158"/>
      <c r="G2074" s="158">
        <v>43.68</v>
      </c>
    </row>
    <row r="2075" spans="1:7" ht="32.999496" customHeight="1" x14ac:dyDescent="0.15">
      <c r="A2075" s="158">
        <v>2073.0</v>
      </c>
      <c r="B2075" s="158" t="s">
        <v>3631</v>
      </c>
      <c r="C2075" s="158" t="s">
        <f>"许扬扬"</f>
        <v>3811</v>
      </c>
      <c r="D2075" s="158" t="s">
        <f>"15010222510"</f>
        <v>3812</v>
      </c>
      <c r="E2075" s="158" t="s">
        <v>15</v>
      </c>
      <c r="F2075" s="158"/>
      <c r="G2075" s="158" t="s">
        <v>15</v>
      </c>
    </row>
    <row r="2076" spans="1:7" ht="32.999496" customHeight="1" x14ac:dyDescent="0.15">
      <c r="A2076" s="158">
        <v>2074.0</v>
      </c>
      <c r="B2076" s="158" t="s">
        <v>3631</v>
      </c>
      <c r="C2076" s="158" t="s">
        <f>"韩梅"</f>
        <v>3813</v>
      </c>
      <c r="D2076" s="158" t="s">
        <f>"15010222511"</f>
        <v>3814</v>
      </c>
      <c r="E2076" s="158">
        <v>29.21</v>
      </c>
      <c r="F2076" s="158"/>
      <c r="G2076" s="158">
        <v>29.21</v>
      </c>
    </row>
    <row r="2077" spans="1:7" ht="32.999496" customHeight="1" x14ac:dyDescent="0.15">
      <c r="A2077" s="158">
        <v>2075.0</v>
      </c>
      <c r="B2077" s="158" t="s">
        <v>3631</v>
      </c>
      <c r="C2077" s="158" t="s">
        <f>"张莉娜"</f>
        <v>3815</v>
      </c>
      <c r="D2077" s="158" t="s">
        <f>"15010222512"</f>
        <v>3816</v>
      </c>
      <c r="E2077" s="158">
        <v>66.86</v>
      </c>
      <c r="F2077" s="158"/>
      <c r="G2077" s="158">
        <v>66.86</v>
      </c>
    </row>
    <row r="2078" spans="1:7" ht="32.999496" customHeight="1" x14ac:dyDescent="0.15">
      <c r="A2078" s="158">
        <v>2076.0</v>
      </c>
      <c r="B2078" s="158" t="s">
        <v>3631</v>
      </c>
      <c r="C2078" s="158" t="s">
        <f>"王芳"</f>
        <v>3817</v>
      </c>
      <c r="D2078" s="158" t="s">
        <f>"15010222513"</f>
        <v>3818</v>
      </c>
      <c r="E2078" s="158">
        <v>52.82</v>
      </c>
      <c r="F2078" s="158"/>
      <c r="G2078" s="158">
        <v>52.82</v>
      </c>
    </row>
    <row r="2079" spans="1:7" ht="32.999496" customHeight="1" x14ac:dyDescent="0.15">
      <c r="A2079" s="158">
        <v>2077.0</v>
      </c>
      <c r="B2079" s="158" t="s">
        <v>3631</v>
      </c>
      <c r="C2079" s="158" t="s">
        <f>"徐磊"</f>
        <v>3819</v>
      </c>
      <c r="D2079" s="158" t="s">
        <f>"15010222514"</f>
        <v>3820</v>
      </c>
      <c r="E2079" s="158" t="s">
        <v>15</v>
      </c>
      <c r="F2079" s="158"/>
      <c r="G2079" s="158" t="s">
        <v>15</v>
      </c>
    </row>
    <row r="2080" spans="1:7" ht="32.999496" customHeight="1" x14ac:dyDescent="0.15">
      <c r="A2080" s="158">
        <v>2078.0</v>
      </c>
      <c r="B2080" s="158" t="s">
        <v>3631</v>
      </c>
      <c r="C2080" s="158" t="s">
        <f>"李雪梅"</f>
        <v>3821</v>
      </c>
      <c r="D2080" s="158" t="s">
        <f>"15010222515"</f>
        <v>3822</v>
      </c>
      <c r="E2080" s="158">
        <v>55.03</v>
      </c>
      <c r="F2080" s="158"/>
      <c r="G2080" s="158">
        <v>55.03</v>
      </c>
    </row>
    <row r="2081" spans="1:7" ht="32.999496" customHeight="1" x14ac:dyDescent="0.15">
      <c r="A2081" s="158">
        <v>2079.0</v>
      </c>
      <c r="B2081" s="158" t="s">
        <v>3631</v>
      </c>
      <c r="C2081" s="158" t="s">
        <f>"郭鹏飞"</f>
        <v>3823</v>
      </c>
      <c r="D2081" s="158" t="s">
        <f>"15010222516"</f>
        <v>3824</v>
      </c>
      <c r="E2081" s="158">
        <v>50.25</v>
      </c>
      <c r="F2081" s="158"/>
      <c r="G2081" s="158">
        <v>50.25</v>
      </c>
    </row>
    <row r="2082" spans="1:7" ht="32.999496" customHeight="1" x14ac:dyDescent="0.15">
      <c r="A2082" s="158">
        <v>2080.0</v>
      </c>
      <c r="B2082" s="158" t="s">
        <v>3631</v>
      </c>
      <c r="C2082" s="158" t="s">
        <f>"塔娜"</f>
        <v>3825</v>
      </c>
      <c r="D2082" s="158" t="s">
        <f>"15010222517"</f>
        <v>3826</v>
      </c>
      <c r="E2082" s="158">
        <v>34.64</v>
      </c>
      <c r="F2082" s="158">
        <v>2.5</v>
      </c>
      <c r="G2082" s="158">
        <v>37.14</v>
      </c>
    </row>
    <row r="2083" spans="1:7" ht="32.999496" customHeight="1" x14ac:dyDescent="0.15">
      <c r="A2083" s="158">
        <v>2081.0</v>
      </c>
      <c r="B2083" s="158" t="s">
        <v>3631</v>
      </c>
      <c r="C2083" s="158" t="s">
        <f>"杨普铭"</f>
        <v>3827</v>
      </c>
      <c r="D2083" s="158" t="s">
        <f>"15010222518"</f>
        <v>3828</v>
      </c>
      <c r="E2083" s="158" t="s">
        <v>15</v>
      </c>
      <c r="F2083" s="158"/>
      <c r="G2083" s="158" t="s">
        <v>15</v>
      </c>
    </row>
    <row r="2084" spans="1:7" ht="32.999496" customHeight="1" x14ac:dyDescent="0.15">
      <c r="A2084" s="158">
        <v>2082.0</v>
      </c>
      <c r="B2084" s="158" t="s">
        <v>3631</v>
      </c>
      <c r="C2084" s="158" t="s">
        <f>"陈彩玲"</f>
        <v>3829</v>
      </c>
      <c r="D2084" s="158" t="s">
        <f>"15010222519"</f>
        <v>3830</v>
      </c>
      <c r="E2084" s="158" t="s">
        <v>15</v>
      </c>
      <c r="F2084" s="158"/>
      <c r="G2084" s="158" t="s">
        <v>15</v>
      </c>
    </row>
    <row r="2085" spans="1:7" ht="32.999496" customHeight="1" x14ac:dyDescent="0.15">
      <c r="A2085" s="158">
        <v>2083.0</v>
      </c>
      <c r="B2085" s="158" t="s">
        <v>3631</v>
      </c>
      <c r="C2085" s="158" t="s">
        <f>"刘二旭"</f>
        <v>3831</v>
      </c>
      <c r="D2085" s="158" t="s">
        <f>"15010222520"</f>
        <v>3832</v>
      </c>
      <c r="E2085" s="158">
        <v>73.28</v>
      </c>
      <c r="F2085" s="158"/>
      <c r="G2085" s="158">
        <v>73.28</v>
      </c>
    </row>
    <row r="2086" spans="1:7" ht="32.999496" customHeight="1" x14ac:dyDescent="0.15">
      <c r="A2086" s="158">
        <v>2084.0</v>
      </c>
      <c r="B2086" s="158" t="s">
        <v>3631</v>
      </c>
      <c r="C2086" s="158" t="s">
        <f>"刘开"</f>
        <v>3833</v>
      </c>
      <c r="D2086" s="158" t="s">
        <f>"15010222521"</f>
        <v>3834</v>
      </c>
      <c r="E2086" s="158">
        <v>58.66</v>
      </c>
      <c r="F2086" s="158"/>
      <c r="G2086" s="158">
        <v>58.66</v>
      </c>
    </row>
    <row r="2087" spans="1:7" ht="32.999496" customHeight="1" x14ac:dyDescent="0.15">
      <c r="A2087" s="158">
        <v>2085.0</v>
      </c>
      <c r="B2087" s="158" t="s">
        <v>3631</v>
      </c>
      <c r="C2087" s="158" t="s">
        <f>"杨杰"</f>
        <v>3485</v>
      </c>
      <c r="D2087" s="158" t="s">
        <f>"15010222522"</f>
        <v>3835</v>
      </c>
      <c r="E2087" s="158">
        <v>33.03</v>
      </c>
      <c r="F2087" s="158"/>
      <c r="G2087" s="158">
        <v>33.03</v>
      </c>
    </row>
    <row r="2088" spans="1:7" ht="32.999496" customHeight="1" x14ac:dyDescent="0.15">
      <c r="A2088" s="158">
        <v>2086.0</v>
      </c>
      <c r="B2088" s="158" t="s">
        <v>3631</v>
      </c>
      <c r="C2088" s="158" t="s">
        <f>"李慧"</f>
        <v>848</v>
      </c>
      <c r="D2088" s="158" t="s">
        <f>"15010222523"</f>
        <v>3836</v>
      </c>
      <c r="E2088" s="158">
        <v>36.47</v>
      </c>
      <c r="F2088" s="158"/>
      <c r="G2088" s="158">
        <v>36.47</v>
      </c>
    </row>
    <row r="2089" spans="1:7" ht="32.999496" customHeight="1" x14ac:dyDescent="0.15">
      <c r="A2089" s="158">
        <v>2087.0</v>
      </c>
      <c r="B2089" s="158" t="s">
        <v>3631</v>
      </c>
      <c r="C2089" s="158" t="s">
        <f>"高鑫"</f>
        <v>1850</v>
      </c>
      <c r="D2089" s="158" t="s">
        <f>"15010222524"</f>
        <v>3837</v>
      </c>
      <c r="E2089" s="158" t="s">
        <v>15</v>
      </c>
      <c r="F2089" s="158"/>
      <c r="G2089" s="158" t="s">
        <v>15</v>
      </c>
    </row>
    <row r="2090" spans="1:7" ht="32.999496" customHeight="1" x14ac:dyDescent="0.15">
      <c r="A2090" s="158">
        <v>2088.0</v>
      </c>
      <c r="B2090" s="158" t="s">
        <v>3631</v>
      </c>
      <c r="C2090" s="158" t="s">
        <f>"柴姝娟"</f>
        <v>3838</v>
      </c>
      <c r="D2090" s="158" t="s">
        <f>"15010222525"</f>
        <v>3839</v>
      </c>
      <c r="E2090" s="158">
        <v>38.75</v>
      </c>
      <c r="F2090" s="158"/>
      <c r="G2090" s="158">
        <v>38.75</v>
      </c>
    </row>
    <row r="2091" spans="1:7" ht="32.999496" customHeight="1" x14ac:dyDescent="0.15">
      <c r="A2091" s="158">
        <v>2089.0</v>
      </c>
      <c r="B2091" s="158" t="s">
        <v>3631</v>
      </c>
      <c r="C2091" s="158" t="s">
        <f>"白鸽"</f>
        <v>3840</v>
      </c>
      <c r="D2091" s="158" t="s">
        <f>"15010222526"</f>
        <v>3841</v>
      </c>
      <c r="E2091" s="158">
        <v>65.67</v>
      </c>
      <c r="F2091" s="158"/>
      <c r="G2091" s="158">
        <v>65.67</v>
      </c>
    </row>
    <row r="2092" spans="1:7" ht="32.999496" customHeight="1" x14ac:dyDescent="0.15">
      <c r="A2092" s="158">
        <v>2090.0</v>
      </c>
      <c r="B2092" s="158" t="s">
        <v>3631</v>
      </c>
      <c r="C2092" s="158" t="s">
        <f>"张赫"</f>
        <v>3842</v>
      </c>
      <c r="D2092" s="158" t="s">
        <f>"15010222527"</f>
        <v>3843</v>
      </c>
      <c r="E2092" s="158">
        <v>65.63</v>
      </c>
      <c r="F2092" s="158"/>
      <c r="G2092" s="158">
        <v>65.63</v>
      </c>
    </row>
    <row r="2093" spans="1:7" ht="32.999496" customHeight="1" x14ac:dyDescent="0.15">
      <c r="A2093" s="158">
        <v>2091.0</v>
      </c>
      <c r="B2093" s="158" t="s">
        <v>3631</v>
      </c>
      <c r="C2093" s="158" t="s">
        <f>"李娜"</f>
        <v>609</v>
      </c>
      <c r="D2093" s="158" t="s">
        <f>"15010222528"</f>
        <v>3844</v>
      </c>
      <c r="E2093" s="158" t="s">
        <v>15</v>
      </c>
      <c r="F2093" s="158"/>
      <c r="G2093" s="158" t="s">
        <v>15</v>
      </c>
    </row>
    <row r="2094" spans="1:7" ht="32.999496" customHeight="1" x14ac:dyDescent="0.15">
      <c r="A2094" s="158">
        <v>2092.0</v>
      </c>
      <c r="B2094" s="158" t="s">
        <v>3631</v>
      </c>
      <c r="C2094" s="158" t="s">
        <f>"白叶平"</f>
        <v>3845</v>
      </c>
      <c r="D2094" s="158" t="s">
        <f>"15010222529"</f>
        <v>3846</v>
      </c>
      <c r="E2094" s="158">
        <v>59.91</v>
      </c>
      <c r="F2094" s="158"/>
      <c r="G2094" s="158">
        <v>59.91</v>
      </c>
    </row>
    <row r="2095" spans="1:7" ht="32.999496" customHeight="1" x14ac:dyDescent="0.15">
      <c r="A2095" s="158">
        <v>2093.0</v>
      </c>
      <c r="B2095" s="158" t="s">
        <v>3631</v>
      </c>
      <c r="C2095" s="158" t="s">
        <f>"邓柯芳"</f>
        <v>3847</v>
      </c>
      <c r="D2095" s="158" t="s">
        <f>"15010222530"</f>
        <v>3848</v>
      </c>
      <c r="E2095" s="158">
        <v>53.989999999999995</v>
      </c>
      <c r="F2095" s="158"/>
      <c r="G2095" s="158">
        <v>53.989999999999995</v>
      </c>
    </row>
    <row r="2096" spans="1:7" ht="32.999496" customHeight="1" x14ac:dyDescent="0.15">
      <c r="A2096" s="158">
        <v>2094.0</v>
      </c>
      <c r="B2096" s="158" t="s">
        <v>3631</v>
      </c>
      <c r="C2096" s="158" t="s">
        <f>"苗荣"</f>
        <v>3849</v>
      </c>
      <c r="D2096" s="158" t="s">
        <f>"15010222601"</f>
        <v>3850</v>
      </c>
      <c r="E2096" s="158">
        <v>59.34</v>
      </c>
      <c r="F2096" s="158"/>
      <c r="G2096" s="158">
        <v>59.34</v>
      </c>
    </row>
    <row r="2097" spans="1:7" ht="32.999496" customHeight="1" x14ac:dyDescent="0.15">
      <c r="A2097" s="158">
        <v>2095.0</v>
      </c>
      <c r="B2097" s="158" t="s">
        <v>3631</v>
      </c>
      <c r="C2097" s="158" t="s">
        <f>"何智"</f>
        <v>3851</v>
      </c>
      <c r="D2097" s="158" t="s">
        <f>"15010222602"</f>
        <v>3852</v>
      </c>
      <c r="E2097" s="158">
        <v>64.74000000000001</v>
      </c>
      <c r="F2097" s="158"/>
      <c r="G2097" s="158">
        <v>64.74000000000001</v>
      </c>
    </row>
    <row r="2098" spans="1:7" ht="32.999496" customHeight="1" x14ac:dyDescent="0.15">
      <c r="A2098" s="158">
        <v>2096.0</v>
      </c>
      <c r="B2098" s="158" t="s">
        <v>3631</v>
      </c>
      <c r="C2098" s="158" t="s">
        <f>"李巨源"</f>
        <v>3853</v>
      </c>
      <c r="D2098" s="158" t="s">
        <f>"15010222603"</f>
        <v>3854</v>
      </c>
      <c r="E2098" s="158">
        <v>58.9</v>
      </c>
      <c r="F2098" s="158"/>
      <c r="G2098" s="158">
        <v>58.9</v>
      </c>
    </row>
    <row r="2099" spans="1:7" ht="32.999496" customHeight="1" x14ac:dyDescent="0.15">
      <c r="A2099" s="158">
        <v>2097.0</v>
      </c>
      <c r="B2099" s="158" t="s">
        <v>3631</v>
      </c>
      <c r="C2099" s="158" t="s">
        <f>"李鑫"</f>
        <v>222</v>
      </c>
      <c r="D2099" s="158" t="s">
        <f>"15010222604"</f>
        <v>3855</v>
      </c>
      <c r="E2099" s="158">
        <v>57.34</v>
      </c>
      <c r="F2099" s="158"/>
      <c r="G2099" s="158">
        <v>57.34</v>
      </c>
    </row>
    <row r="2100" spans="1:7" ht="32.999496" customHeight="1" x14ac:dyDescent="0.15">
      <c r="A2100" s="158">
        <v>2098.0</v>
      </c>
      <c r="B2100" s="158" t="s">
        <v>3631</v>
      </c>
      <c r="C2100" s="158" t="s">
        <f>"李慧"</f>
        <v>848</v>
      </c>
      <c r="D2100" s="158" t="s">
        <f>"15010222605"</f>
        <v>3856</v>
      </c>
      <c r="E2100" s="158">
        <v>66.52000000000001</v>
      </c>
      <c r="F2100" s="158"/>
      <c r="G2100" s="158">
        <v>66.52000000000001</v>
      </c>
    </row>
    <row r="2101" spans="1:7" ht="32.999496" customHeight="1" x14ac:dyDescent="0.15">
      <c r="A2101" s="158">
        <v>2099.0</v>
      </c>
      <c r="B2101" s="158" t="s">
        <v>3631</v>
      </c>
      <c r="C2101" s="158" t="s">
        <f>"张国庆"</f>
        <v>3857</v>
      </c>
      <c r="D2101" s="158" t="s">
        <f>"15010222606"</f>
        <v>3858</v>
      </c>
      <c r="E2101" s="158">
        <v>60.35</v>
      </c>
      <c r="F2101" s="158"/>
      <c r="G2101" s="158">
        <v>60.35</v>
      </c>
    </row>
    <row r="2102" spans="1:7" ht="32.999496" customHeight="1" x14ac:dyDescent="0.15">
      <c r="A2102" s="158">
        <v>2100.0</v>
      </c>
      <c r="B2102" s="158" t="s">
        <v>3631</v>
      </c>
      <c r="C2102" s="158" t="s">
        <f>"杨雪峰"</f>
        <v>603</v>
      </c>
      <c r="D2102" s="158" t="s">
        <f>"15010222607"</f>
        <v>3859</v>
      </c>
      <c r="E2102" s="158">
        <v>49.81</v>
      </c>
      <c r="F2102" s="158"/>
      <c r="G2102" s="158">
        <v>49.81</v>
      </c>
    </row>
    <row r="2103" spans="1:7" ht="32.999496" customHeight="1" x14ac:dyDescent="0.15">
      <c r="A2103" s="158">
        <v>2101.0</v>
      </c>
      <c r="B2103" s="158" t="s">
        <v>3631</v>
      </c>
      <c r="C2103" s="158" t="s">
        <f>"孙建伟"</f>
        <v>3860</v>
      </c>
      <c r="D2103" s="158" t="s">
        <f>"15010222608"</f>
        <v>3861</v>
      </c>
      <c r="E2103" s="158" t="s">
        <v>15</v>
      </c>
      <c r="F2103" s="158"/>
      <c r="G2103" s="158" t="s">
        <v>15</v>
      </c>
    </row>
    <row r="2104" spans="1:7" ht="32.999496" customHeight="1" x14ac:dyDescent="0.15">
      <c r="A2104" s="158">
        <v>2102.0</v>
      </c>
      <c r="B2104" s="158" t="s">
        <v>3631</v>
      </c>
      <c r="C2104" s="158" t="s">
        <f>"白利"</f>
        <v>3862</v>
      </c>
      <c r="D2104" s="158" t="s">
        <f>"15010222609"</f>
        <v>3863</v>
      </c>
      <c r="E2104" s="158" t="s">
        <v>15</v>
      </c>
      <c r="F2104" s="158"/>
      <c r="G2104" s="158" t="s">
        <v>15</v>
      </c>
    </row>
    <row r="2105" spans="1:7" ht="32.999496" customHeight="1" x14ac:dyDescent="0.15">
      <c r="A2105" s="158">
        <v>2103.0</v>
      </c>
      <c r="B2105" s="158" t="s">
        <v>3631</v>
      </c>
      <c r="C2105" s="158" t="s">
        <f>"白亮"</f>
        <v>3864</v>
      </c>
      <c r="D2105" s="158" t="s">
        <f>"15010222610"</f>
        <v>3865</v>
      </c>
      <c r="E2105" s="158">
        <v>56.48</v>
      </c>
      <c r="F2105" s="158"/>
      <c r="G2105" s="158">
        <v>56.48</v>
      </c>
    </row>
    <row r="2106" spans="1:7" ht="32.999496" customHeight="1" x14ac:dyDescent="0.15">
      <c r="A2106" s="158">
        <v>2104.0</v>
      </c>
      <c r="B2106" s="158" t="s">
        <v>3631</v>
      </c>
      <c r="C2106" s="158" t="s">
        <f>"张娜"</f>
        <v>32</v>
      </c>
      <c r="D2106" s="158" t="s">
        <f>"15010222611"</f>
        <v>3866</v>
      </c>
      <c r="E2106" s="158">
        <v>58.75</v>
      </c>
      <c r="F2106" s="158"/>
      <c r="G2106" s="158">
        <v>58.75</v>
      </c>
    </row>
    <row r="2107" spans="1:7" ht="32.999496" customHeight="1" x14ac:dyDescent="0.15">
      <c r="A2107" s="158">
        <v>2105.0</v>
      </c>
      <c r="B2107" s="158" t="s">
        <v>3631</v>
      </c>
      <c r="C2107" s="158" t="s">
        <f>"张慧"</f>
        <v>634</v>
      </c>
      <c r="D2107" s="158" t="s">
        <f>"15010222612"</f>
        <v>3867</v>
      </c>
      <c r="E2107" s="158" t="s">
        <v>15</v>
      </c>
      <c r="F2107" s="158"/>
      <c r="G2107" s="158" t="s">
        <v>15</v>
      </c>
    </row>
    <row r="2108" spans="1:7" ht="32.999496" customHeight="1" x14ac:dyDescent="0.15">
      <c r="A2108" s="158">
        <v>2106.0</v>
      </c>
      <c r="B2108" s="158" t="s">
        <v>3631</v>
      </c>
      <c r="C2108" s="158" t="s">
        <f>"赵星珂"</f>
        <v>3868</v>
      </c>
      <c r="D2108" s="158" t="s">
        <f>"15010222613"</f>
        <v>3869</v>
      </c>
      <c r="E2108" s="158">
        <v>21.41</v>
      </c>
      <c r="F2108" s="158"/>
      <c r="G2108" s="158">
        <v>21.41</v>
      </c>
    </row>
    <row r="2109" spans="1:7" ht="32.999496" customHeight="1" x14ac:dyDescent="0.15">
      <c r="A2109" s="158">
        <v>2107.0</v>
      </c>
      <c r="B2109" s="158" t="s">
        <v>3631</v>
      </c>
      <c r="C2109" s="158" t="s">
        <f>"杨波"</f>
        <v>3163</v>
      </c>
      <c r="D2109" s="158" t="s">
        <f>"15010222614"</f>
        <v>3870</v>
      </c>
      <c r="E2109" s="158" t="s">
        <v>15</v>
      </c>
      <c r="F2109" s="158"/>
      <c r="G2109" s="158" t="s">
        <v>15</v>
      </c>
    </row>
    <row r="2110" spans="1:7" ht="32.999496" customHeight="1" x14ac:dyDescent="0.15">
      <c r="A2110" s="158">
        <v>2108.0</v>
      </c>
      <c r="B2110" s="158" t="s">
        <v>3631</v>
      </c>
      <c r="C2110" s="158" t="s">
        <f>"曹普舜"</f>
        <v>3871</v>
      </c>
      <c r="D2110" s="158" t="s">
        <f>"15010222615"</f>
        <v>3872</v>
      </c>
      <c r="E2110" s="158" t="s">
        <v>15</v>
      </c>
      <c r="F2110" s="158"/>
      <c r="G2110" s="158" t="s">
        <v>15</v>
      </c>
    </row>
    <row r="2111" spans="1:7" ht="32.999496" customHeight="1" x14ac:dyDescent="0.15">
      <c r="A2111" s="158">
        <v>2109.0</v>
      </c>
      <c r="B2111" s="158" t="s">
        <v>3631</v>
      </c>
      <c r="C2111" s="158" t="s">
        <f>"乔晋璞"</f>
        <v>3873</v>
      </c>
      <c r="D2111" s="158" t="s">
        <f>"15010222616"</f>
        <v>3874</v>
      </c>
      <c r="E2111" s="158">
        <v>61.54</v>
      </c>
      <c r="F2111" s="158"/>
      <c r="G2111" s="158">
        <v>61.54</v>
      </c>
    </row>
    <row r="2112" spans="1:7" ht="32.999496" customHeight="1" x14ac:dyDescent="0.15">
      <c r="A2112" s="158">
        <v>2110.0</v>
      </c>
      <c r="B2112" s="158" t="s">
        <v>3631</v>
      </c>
      <c r="C2112" s="158" t="s">
        <f>"温瑞芳"</f>
        <v>3875</v>
      </c>
      <c r="D2112" s="158" t="s">
        <f>"15010222617"</f>
        <v>3876</v>
      </c>
      <c r="E2112" s="158">
        <v>64.36</v>
      </c>
      <c r="F2112" s="158"/>
      <c r="G2112" s="158">
        <v>64.36</v>
      </c>
    </row>
    <row r="2113" spans="1:7" ht="32.999496" customHeight="1" x14ac:dyDescent="0.15">
      <c r="A2113" s="158">
        <v>2111.0</v>
      </c>
      <c r="B2113" s="158" t="s">
        <v>3631</v>
      </c>
      <c r="C2113" s="158" t="s">
        <f>"陈慧帮"</f>
        <v>3877</v>
      </c>
      <c r="D2113" s="158" t="s">
        <f>"15010222618"</f>
        <v>3878</v>
      </c>
      <c r="E2113" s="158">
        <v>66.16</v>
      </c>
      <c r="F2113" s="158"/>
      <c r="G2113" s="158">
        <v>66.16</v>
      </c>
    </row>
    <row r="2114" spans="1:7" ht="32.999496" customHeight="1" x14ac:dyDescent="0.15">
      <c r="A2114" s="158">
        <v>2112.0</v>
      </c>
      <c r="B2114" s="158" t="s">
        <v>3631</v>
      </c>
      <c r="C2114" s="158" t="s">
        <f>"尚红丽"</f>
        <v>3879</v>
      </c>
      <c r="D2114" s="158" t="s">
        <f>"15010222619"</f>
        <v>3880</v>
      </c>
      <c r="E2114" s="158">
        <v>50.480000000000004</v>
      </c>
      <c r="F2114" s="158"/>
      <c r="G2114" s="158">
        <v>50.480000000000004</v>
      </c>
    </row>
    <row r="2115" spans="1:7" ht="32.999496" customHeight="1" x14ac:dyDescent="0.15">
      <c r="A2115" s="158">
        <v>2113.0</v>
      </c>
      <c r="B2115" s="158" t="s">
        <v>3631</v>
      </c>
      <c r="C2115" s="158" t="s">
        <f>"刘晶欣"</f>
        <v>3881</v>
      </c>
      <c r="D2115" s="158" t="s">
        <f>"15010222620"</f>
        <v>3882</v>
      </c>
      <c r="E2115" s="158" t="s">
        <v>15</v>
      </c>
      <c r="F2115" s="158"/>
      <c r="G2115" s="158" t="s">
        <v>15</v>
      </c>
    </row>
    <row r="2116" spans="1:7" ht="32.999496" customHeight="1" x14ac:dyDescent="0.15">
      <c r="A2116" s="158">
        <v>2114.0</v>
      </c>
      <c r="B2116" s="158" t="s">
        <v>3631</v>
      </c>
      <c r="C2116" s="158" t="s">
        <f>"贺蓉"</f>
        <v>3883</v>
      </c>
      <c r="D2116" s="158" t="s">
        <f>"15010222621"</f>
        <v>3884</v>
      </c>
      <c r="E2116" s="158" t="s">
        <v>15</v>
      </c>
      <c r="F2116" s="158"/>
      <c r="G2116" s="158" t="s">
        <v>15</v>
      </c>
    </row>
    <row r="2117" spans="1:7" ht="32.999496" customHeight="1" x14ac:dyDescent="0.15">
      <c r="A2117" s="158">
        <v>2115.0</v>
      </c>
      <c r="B2117" s="158" t="s">
        <v>3631</v>
      </c>
      <c r="C2117" s="158" t="s">
        <f>"郭宏瑞"</f>
        <v>3885</v>
      </c>
      <c r="D2117" s="158" t="s">
        <f>"15010222622"</f>
        <v>3886</v>
      </c>
      <c r="E2117" s="158">
        <v>60.7</v>
      </c>
      <c r="F2117" s="158"/>
      <c r="G2117" s="158">
        <v>60.7</v>
      </c>
    </row>
    <row r="2118" spans="1:7" ht="32.999496" customHeight="1" x14ac:dyDescent="0.15">
      <c r="A2118" s="158">
        <v>2116.0</v>
      </c>
      <c r="B2118" s="158" t="s">
        <v>3631</v>
      </c>
      <c r="C2118" s="158" t="s">
        <f>"田宇"</f>
        <v>3887</v>
      </c>
      <c r="D2118" s="158" t="s">
        <f>"15010222623"</f>
        <v>3888</v>
      </c>
      <c r="E2118" s="158">
        <v>30.9</v>
      </c>
      <c r="F2118" s="158"/>
      <c r="G2118" s="158">
        <v>30.9</v>
      </c>
    </row>
    <row r="2119" spans="1:7" ht="32.999496" customHeight="1" x14ac:dyDescent="0.15">
      <c r="A2119" s="158">
        <v>2117.0</v>
      </c>
      <c r="B2119" s="158" t="s">
        <v>3631</v>
      </c>
      <c r="C2119" s="158" t="s">
        <f>"呼楷波"</f>
        <v>3889</v>
      </c>
      <c r="D2119" s="158" t="s">
        <f>"15010222624"</f>
        <v>3890</v>
      </c>
      <c r="E2119" s="158">
        <v>62.99</v>
      </c>
      <c r="F2119" s="158"/>
      <c r="G2119" s="158">
        <v>62.99</v>
      </c>
    </row>
    <row r="2120" spans="1:7" ht="32.999496" customHeight="1" x14ac:dyDescent="0.15">
      <c r="A2120" s="158">
        <v>2118.0</v>
      </c>
      <c r="B2120" s="158" t="s">
        <v>3631</v>
      </c>
      <c r="C2120" s="158" t="s">
        <f>"杨皓光"</f>
        <v>3891</v>
      </c>
      <c r="D2120" s="158" t="s">
        <f>"15010222625"</f>
        <v>3892</v>
      </c>
      <c r="E2120" s="158">
        <v>51.75</v>
      </c>
      <c r="F2120" s="158">
        <v>2.5</v>
      </c>
      <c r="G2120" s="158">
        <v>54.25</v>
      </c>
    </row>
    <row r="2121" spans="1:7" ht="32.999496" customHeight="1" x14ac:dyDescent="0.15">
      <c r="A2121" s="158">
        <v>2119.0</v>
      </c>
      <c r="B2121" s="158" t="s">
        <v>3631</v>
      </c>
      <c r="C2121" s="158" t="s">
        <f>"温强"</f>
        <v>3893</v>
      </c>
      <c r="D2121" s="158" t="s">
        <f>"15010222626"</f>
        <v>3894</v>
      </c>
      <c r="E2121" s="158">
        <v>49.84</v>
      </c>
      <c r="F2121" s="158"/>
      <c r="G2121" s="158">
        <v>49.84</v>
      </c>
    </row>
    <row r="2122" spans="1:7" ht="32.999496" customHeight="1" x14ac:dyDescent="0.15">
      <c r="A2122" s="158">
        <v>2120.0</v>
      </c>
      <c r="B2122" s="158" t="s">
        <v>3631</v>
      </c>
      <c r="C2122" s="158" t="s">
        <f>"云娜"</f>
        <v>3895</v>
      </c>
      <c r="D2122" s="158" t="s">
        <f>"15010222627"</f>
        <v>3896</v>
      </c>
      <c r="E2122" s="158">
        <v>58.82</v>
      </c>
      <c r="F2122" s="158">
        <v>2.5</v>
      </c>
      <c r="G2122" s="158">
        <v>61.32</v>
      </c>
    </row>
    <row r="2123" spans="1:7" ht="32.999496" customHeight="1" x14ac:dyDescent="0.15">
      <c r="A2123" s="158">
        <v>2121.0</v>
      </c>
      <c r="B2123" s="158" t="s">
        <v>3631</v>
      </c>
      <c r="C2123" s="158" t="s">
        <f>"訾悦"</f>
        <v>3897</v>
      </c>
      <c r="D2123" s="158" t="s">
        <f>"15010222628"</f>
        <v>3898</v>
      </c>
      <c r="E2123" s="158">
        <v>65.37</v>
      </c>
      <c r="F2123" s="158"/>
      <c r="G2123" s="158">
        <v>65.37</v>
      </c>
    </row>
    <row r="2124" spans="1:7" ht="32.999496" customHeight="1" x14ac:dyDescent="0.15">
      <c r="A2124" s="158">
        <v>2122.0</v>
      </c>
      <c r="B2124" s="158" t="s">
        <v>3631</v>
      </c>
      <c r="C2124" s="158" t="s">
        <f>"郝艳"</f>
        <v>3899</v>
      </c>
      <c r="D2124" s="158" t="s">
        <f>"15010222629"</f>
        <v>3900</v>
      </c>
      <c r="E2124" s="158" t="s">
        <v>15</v>
      </c>
      <c r="F2124" s="158"/>
      <c r="G2124" s="158" t="s">
        <v>15</v>
      </c>
    </row>
    <row r="2125" spans="1:7" ht="32.999496" customHeight="1" x14ac:dyDescent="0.15">
      <c r="A2125" s="158">
        <v>2123.0</v>
      </c>
      <c r="B2125" s="158" t="s">
        <v>3631</v>
      </c>
      <c r="C2125" s="158" t="s">
        <f>"杨瑞"</f>
        <v>2380</v>
      </c>
      <c r="D2125" s="158" t="s">
        <f>"15010222630"</f>
        <v>3901</v>
      </c>
      <c r="E2125" s="158">
        <v>55.13</v>
      </c>
      <c r="F2125" s="158"/>
      <c r="G2125" s="158">
        <v>55.13</v>
      </c>
    </row>
    <row r="2126" spans="1:7" ht="32.999496" customHeight="1" x14ac:dyDescent="0.15">
      <c r="A2126" s="158">
        <v>2124.0</v>
      </c>
      <c r="B2126" s="158" t="s">
        <v>3631</v>
      </c>
      <c r="C2126" s="158" t="s">
        <f>"雷庆"</f>
        <v>3902</v>
      </c>
      <c r="D2126" s="158" t="s">
        <f>"15010222701"</f>
        <v>3903</v>
      </c>
      <c r="E2126" s="158">
        <v>59.64</v>
      </c>
      <c r="F2126" s="158"/>
      <c r="G2126" s="158">
        <v>59.64</v>
      </c>
    </row>
    <row r="2127" spans="1:7" ht="32.999496" customHeight="1" x14ac:dyDescent="0.15">
      <c r="A2127" s="158">
        <v>2125.0</v>
      </c>
      <c r="B2127" s="158" t="s">
        <v>3631</v>
      </c>
      <c r="C2127" s="158" t="s">
        <f>"苗艳"</f>
        <v>3904</v>
      </c>
      <c r="D2127" s="158" t="s">
        <f>"15010222702"</f>
        <v>3905</v>
      </c>
      <c r="E2127" s="158">
        <v>65.77000000000001</v>
      </c>
      <c r="F2127" s="158"/>
      <c r="G2127" s="158">
        <v>65.77000000000001</v>
      </c>
    </row>
    <row r="2128" spans="1:7" ht="32.999496" customHeight="1" x14ac:dyDescent="0.15">
      <c r="A2128" s="158">
        <v>2126.0</v>
      </c>
      <c r="B2128" s="158" t="s">
        <v>3631</v>
      </c>
      <c r="C2128" s="158" t="s">
        <f>"李治挺"</f>
        <v>3906</v>
      </c>
      <c r="D2128" s="158" t="s">
        <f>"15010222703"</f>
        <v>3907</v>
      </c>
      <c r="E2128" s="158">
        <v>43.95</v>
      </c>
      <c r="F2128" s="158"/>
      <c r="G2128" s="158">
        <v>43.95</v>
      </c>
    </row>
    <row r="2129" spans="1:7" ht="32.999496" customHeight="1" x14ac:dyDescent="0.15">
      <c r="A2129" s="158">
        <v>2127.0</v>
      </c>
      <c r="B2129" s="158" t="s">
        <v>3631</v>
      </c>
      <c r="C2129" s="158" t="s">
        <f>"刘敏"</f>
        <v>3908</v>
      </c>
      <c r="D2129" s="158" t="s">
        <f>"15010222704"</f>
        <v>3909</v>
      </c>
      <c r="E2129" s="158">
        <v>60.73</v>
      </c>
      <c r="F2129" s="158"/>
      <c r="G2129" s="158">
        <v>60.73</v>
      </c>
    </row>
    <row r="2130" spans="1:7" ht="32.999496" customHeight="1" x14ac:dyDescent="0.15">
      <c r="A2130" s="158">
        <v>2128.0</v>
      </c>
      <c r="B2130" s="158" t="s">
        <v>3631</v>
      </c>
      <c r="C2130" s="158" t="s">
        <f>"刘伟"</f>
        <v>923</v>
      </c>
      <c r="D2130" s="158" t="s">
        <f>"15010222705"</f>
        <v>3910</v>
      </c>
      <c r="E2130" s="158">
        <v>63.75</v>
      </c>
      <c r="F2130" s="158"/>
      <c r="G2130" s="158">
        <v>63.75</v>
      </c>
    </row>
    <row r="2131" spans="1:7" ht="32.999496" customHeight="1" x14ac:dyDescent="0.15">
      <c r="A2131" s="158">
        <v>2129.0</v>
      </c>
      <c r="B2131" s="158" t="s">
        <v>3631</v>
      </c>
      <c r="C2131" s="158" t="s">
        <f>"白璞"</f>
        <v>3911</v>
      </c>
      <c r="D2131" s="158" t="s">
        <f>"15010222706"</f>
        <v>3912</v>
      </c>
      <c r="E2131" s="158" t="s">
        <v>15</v>
      </c>
      <c r="F2131" s="158"/>
      <c r="G2131" s="158" t="s">
        <v>15</v>
      </c>
    </row>
    <row r="2132" spans="1:7" ht="32.999496" customHeight="1" x14ac:dyDescent="0.15">
      <c r="A2132" s="158">
        <v>2130.0</v>
      </c>
      <c r="B2132" s="158" t="s">
        <v>3631</v>
      </c>
      <c r="C2132" s="158" t="s">
        <f>"刘慧"</f>
        <v>430</v>
      </c>
      <c r="D2132" s="158" t="s">
        <f>"15010222707"</f>
        <v>3913</v>
      </c>
      <c r="E2132" s="158">
        <v>67.25</v>
      </c>
      <c r="F2132" s="158"/>
      <c r="G2132" s="158">
        <v>67.25</v>
      </c>
    </row>
    <row r="2133" spans="1:7" ht="32.999496" customHeight="1" x14ac:dyDescent="0.15">
      <c r="A2133" s="158">
        <v>2131.0</v>
      </c>
      <c r="B2133" s="158" t="s">
        <v>3631</v>
      </c>
      <c r="C2133" s="158" t="s">
        <f>"倪静"</f>
        <v>3914</v>
      </c>
      <c r="D2133" s="158" t="s">
        <f>"15010222708"</f>
        <v>3915</v>
      </c>
      <c r="E2133" s="158">
        <v>57.07</v>
      </c>
      <c r="F2133" s="158"/>
      <c r="G2133" s="158">
        <v>57.07</v>
      </c>
    </row>
    <row r="2134" spans="1:7" ht="32.999496" customHeight="1" x14ac:dyDescent="0.15">
      <c r="A2134" s="158">
        <v>2132.0</v>
      </c>
      <c r="B2134" s="158" t="s">
        <v>3631</v>
      </c>
      <c r="C2134" s="158" t="s">
        <f>"赵建刚"</f>
        <v>2219</v>
      </c>
      <c r="D2134" s="158" t="s">
        <f>"15010222709"</f>
        <v>3916</v>
      </c>
      <c r="E2134" s="158" t="s">
        <v>15</v>
      </c>
      <c r="F2134" s="158"/>
      <c r="G2134" s="158" t="s">
        <v>15</v>
      </c>
    </row>
    <row r="2135" spans="1:7" ht="32.999496" customHeight="1" x14ac:dyDescent="0.15">
      <c r="A2135" s="158">
        <v>2133.0</v>
      </c>
      <c r="B2135" s="158" t="s">
        <v>3631</v>
      </c>
      <c r="C2135" s="158" t="s">
        <f>"张荣浩"</f>
        <v>3917</v>
      </c>
      <c r="D2135" s="158" t="s">
        <f>"15010222710"</f>
        <v>3918</v>
      </c>
      <c r="E2135" s="158">
        <v>31.75</v>
      </c>
      <c r="F2135" s="158"/>
      <c r="G2135" s="158">
        <v>31.75</v>
      </c>
    </row>
    <row r="2136" spans="1:7" ht="32.999496" customHeight="1" x14ac:dyDescent="0.15">
      <c r="A2136" s="158">
        <v>2134.0</v>
      </c>
      <c r="B2136" s="158" t="s">
        <v>3631</v>
      </c>
      <c r="C2136" s="158" t="s">
        <f>"王星"</f>
        <v>3919</v>
      </c>
      <c r="D2136" s="158" t="s">
        <f>"15010222711"</f>
        <v>3920</v>
      </c>
      <c r="E2136" s="158">
        <v>51.61</v>
      </c>
      <c r="F2136" s="158"/>
      <c r="G2136" s="158">
        <v>51.61</v>
      </c>
    </row>
    <row r="2137" spans="1:7" ht="32.999496" customHeight="1" x14ac:dyDescent="0.15">
      <c r="A2137" s="158">
        <v>2135.0</v>
      </c>
      <c r="B2137" s="158" t="s">
        <v>3631</v>
      </c>
      <c r="C2137" s="158" t="s">
        <f>"崔晓艳"</f>
        <v>3921</v>
      </c>
      <c r="D2137" s="158" t="s">
        <f>"15010222712"</f>
        <v>3922</v>
      </c>
      <c r="E2137" s="158">
        <v>57.01</v>
      </c>
      <c r="F2137" s="158"/>
      <c r="G2137" s="158">
        <v>57.01</v>
      </c>
    </row>
    <row r="2138" spans="1:7" ht="32.999496" customHeight="1" x14ac:dyDescent="0.15">
      <c r="A2138" s="158">
        <v>2136.0</v>
      </c>
      <c r="B2138" s="158" t="s">
        <v>3631</v>
      </c>
      <c r="C2138" s="158" t="s">
        <f>"兰璐"</f>
        <v>3923</v>
      </c>
      <c r="D2138" s="158" t="s">
        <f>"15010222713"</f>
        <v>3924</v>
      </c>
      <c r="E2138" s="158">
        <v>55.69</v>
      </c>
      <c r="F2138" s="158"/>
      <c r="G2138" s="158">
        <v>55.69</v>
      </c>
    </row>
    <row r="2139" spans="1:7" ht="32.999496" customHeight="1" x14ac:dyDescent="0.15">
      <c r="A2139" s="158">
        <v>2137.0</v>
      </c>
      <c r="B2139" s="158" t="s">
        <v>3631</v>
      </c>
      <c r="C2139" s="158" t="s">
        <f>"莎茹拉"</f>
        <v>3925</v>
      </c>
      <c r="D2139" s="158" t="s">
        <f>"15010222714"</f>
        <v>3926</v>
      </c>
      <c r="E2139" s="158">
        <v>55.43</v>
      </c>
      <c r="F2139" s="158">
        <v>2.5</v>
      </c>
      <c r="G2139" s="158">
        <v>57.93</v>
      </c>
    </row>
    <row r="2140" spans="1:7" ht="32.999496" customHeight="1" x14ac:dyDescent="0.15">
      <c r="A2140" s="158">
        <v>2138.0</v>
      </c>
      <c r="B2140" s="158" t="s">
        <v>3631</v>
      </c>
      <c r="C2140" s="158" t="s">
        <f>"张虎"</f>
        <v>3927</v>
      </c>
      <c r="D2140" s="158" t="s">
        <f>"15010222715"</f>
        <v>3928</v>
      </c>
      <c r="E2140" s="158">
        <v>67.72</v>
      </c>
      <c r="F2140" s="158"/>
      <c r="G2140" s="158">
        <v>67.72</v>
      </c>
    </row>
    <row r="2141" spans="1:7" ht="32.999496" customHeight="1" x14ac:dyDescent="0.15">
      <c r="A2141" s="158">
        <v>2139.0</v>
      </c>
      <c r="B2141" s="158" t="s">
        <v>3631</v>
      </c>
      <c r="C2141" s="158" t="s">
        <f>"白禄源"</f>
        <v>3929</v>
      </c>
      <c r="D2141" s="158" t="s">
        <f>"15010222716"</f>
        <v>3930</v>
      </c>
      <c r="E2141" s="158">
        <v>55.45</v>
      </c>
      <c r="F2141" s="158"/>
      <c r="G2141" s="158">
        <v>55.45</v>
      </c>
    </row>
    <row r="2142" spans="1:7" ht="32.999496" customHeight="1" x14ac:dyDescent="0.15">
      <c r="A2142" s="158">
        <v>2140.0</v>
      </c>
      <c r="B2142" s="158" t="s">
        <v>3631</v>
      </c>
      <c r="C2142" s="158" t="s">
        <f>"吕博一"</f>
        <v>3931</v>
      </c>
      <c r="D2142" s="158" t="s">
        <f>"15010222717"</f>
        <v>3932</v>
      </c>
      <c r="E2142" s="158">
        <v>54.36</v>
      </c>
      <c r="F2142" s="158"/>
      <c r="G2142" s="158">
        <v>54.36</v>
      </c>
    </row>
    <row r="2143" spans="1:7" ht="32.999496" customHeight="1" x14ac:dyDescent="0.15">
      <c r="A2143" s="158">
        <v>2141.0</v>
      </c>
      <c r="B2143" s="158" t="s">
        <v>3631</v>
      </c>
      <c r="C2143" s="158" t="s">
        <f>"蒙娜"</f>
        <v>3933</v>
      </c>
      <c r="D2143" s="158" t="s">
        <f>"15010222718"</f>
        <v>3934</v>
      </c>
      <c r="E2143" s="158" t="s">
        <v>15</v>
      </c>
      <c r="F2143" s="158"/>
      <c r="G2143" s="158" t="s">
        <v>15</v>
      </c>
    </row>
    <row r="2144" spans="1:7" ht="32.999496" customHeight="1" x14ac:dyDescent="0.15">
      <c r="A2144" s="158">
        <v>2142.0</v>
      </c>
      <c r="B2144" s="158" t="s">
        <v>3631</v>
      </c>
      <c r="C2144" s="158" t="s">
        <f>"孟宇星"</f>
        <v>3935</v>
      </c>
      <c r="D2144" s="158" t="s">
        <f>"15010222719"</f>
        <v>3936</v>
      </c>
      <c r="E2144" s="158">
        <v>60.1</v>
      </c>
      <c r="F2144" s="158"/>
      <c r="G2144" s="158">
        <v>60.1</v>
      </c>
    </row>
    <row r="2145" spans="1:7" ht="32.999496" customHeight="1" x14ac:dyDescent="0.15">
      <c r="A2145" s="158">
        <v>2143.0</v>
      </c>
      <c r="B2145" s="158" t="s">
        <v>3631</v>
      </c>
      <c r="C2145" s="158" t="s">
        <f>"张建新"</f>
        <v>3937</v>
      </c>
      <c r="D2145" s="158" t="s">
        <f>"15010222720"</f>
        <v>3938</v>
      </c>
      <c r="E2145" s="158" t="s">
        <v>15</v>
      </c>
      <c r="F2145" s="158"/>
      <c r="G2145" s="158" t="s">
        <v>15</v>
      </c>
    </row>
    <row r="2146" spans="1:7" ht="32.999496" customHeight="1" x14ac:dyDescent="0.15">
      <c r="A2146" s="158">
        <v>2144.0</v>
      </c>
      <c r="B2146" s="158" t="s">
        <v>3631</v>
      </c>
      <c r="C2146" s="158" t="s">
        <f>"袁彩丽"</f>
        <v>3939</v>
      </c>
      <c r="D2146" s="158" t="s">
        <f>"15010222721"</f>
        <v>3940</v>
      </c>
      <c r="E2146" s="158">
        <v>56.74</v>
      </c>
      <c r="F2146" s="158"/>
      <c r="G2146" s="158">
        <v>56.74</v>
      </c>
    </row>
    <row r="2147" spans="1:7" ht="32.999496" customHeight="1" x14ac:dyDescent="0.15">
      <c r="A2147" s="158">
        <v>2145.0</v>
      </c>
      <c r="B2147" s="158" t="s">
        <v>3631</v>
      </c>
      <c r="C2147" s="158" t="s">
        <f>"訾海英"</f>
        <v>3941</v>
      </c>
      <c r="D2147" s="158" t="s">
        <f>"15010222722"</f>
        <v>3942</v>
      </c>
      <c r="E2147" s="158">
        <v>49.010000000000005</v>
      </c>
      <c r="F2147" s="158"/>
      <c r="G2147" s="158">
        <v>49.010000000000005</v>
      </c>
    </row>
    <row r="2148" spans="1:7" ht="32.999496" customHeight="1" x14ac:dyDescent="0.15">
      <c r="A2148" s="158">
        <v>2146.0</v>
      </c>
      <c r="B2148" s="158" t="s">
        <v>3631</v>
      </c>
      <c r="C2148" s="158" t="s">
        <f>"杨阳"</f>
        <v>943</v>
      </c>
      <c r="D2148" s="158" t="s">
        <f>"15010222723"</f>
        <v>3943</v>
      </c>
      <c r="E2148" s="158">
        <v>52.59</v>
      </c>
      <c r="F2148" s="158"/>
      <c r="G2148" s="158">
        <v>52.59</v>
      </c>
    </row>
    <row r="2149" spans="1:7" ht="32.999496" customHeight="1" x14ac:dyDescent="0.15">
      <c r="A2149" s="158">
        <v>2147.0</v>
      </c>
      <c r="B2149" s="158" t="s">
        <v>3631</v>
      </c>
      <c r="C2149" s="158" t="s">
        <f>"梁胜凯"</f>
        <v>3944</v>
      </c>
      <c r="D2149" s="158" t="s">
        <f>"15010222724"</f>
        <v>3945</v>
      </c>
      <c r="E2149" s="158">
        <v>61.89</v>
      </c>
      <c r="F2149" s="158"/>
      <c r="G2149" s="158">
        <v>61.89</v>
      </c>
    </row>
    <row r="2150" spans="1:7" ht="32.999496" customHeight="1" x14ac:dyDescent="0.15">
      <c r="A2150" s="158">
        <v>2148.0</v>
      </c>
      <c r="B2150" s="158" t="s">
        <v>3631</v>
      </c>
      <c r="C2150" s="158" t="s">
        <f>"焦禾"</f>
        <v>3946</v>
      </c>
      <c r="D2150" s="158" t="s">
        <f>"15010222725"</f>
        <v>3947</v>
      </c>
      <c r="E2150" s="158">
        <v>64.03</v>
      </c>
      <c r="F2150" s="158"/>
      <c r="G2150" s="158">
        <v>64.03</v>
      </c>
    </row>
    <row r="2151" spans="1:7" ht="32.999496" customHeight="1" x14ac:dyDescent="0.15">
      <c r="A2151" s="158">
        <v>2149.0</v>
      </c>
      <c r="B2151" s="158" t="s">
        <v>3631</v>
      </c>
      <c r="C2151" s="158" t="s">
        <f>"杨瑞"</f>
        <v>2380</v>
      </c>
      <c r="D2151" s="158" t="s">
        <f>"15010222726"</f>
        <v>3948</v>
      </c>
      <c r="E2151" s="158" t="s">
        <v>15</v>
      </c>
      <c r="F2151" s="158"/>
      <c r="G2151" s="158" t="s">
        <v>15</v>
      </c>
    </row>
    <row r="2152" spans="1:7" ht="32.999496" customHeight="1" x14ac:dyDescent="0.15">
      <c r="A2152" s="158">
        <v>2150.0</v>
      </c>
      <c r="B2152" s="158" t="s">
        <v>3631</v>
      </c>
      <c r="C2152" s="158" t="s">
        <f>"刘奕婷"</f>
        <v>3949</v>
      </c>
      <c r="D2152" s="158" t="s">
        <f>"15010222727"</f>
        <v>3950</v>
      </c>
      <c r="E2152" s="158" t="s">
        <v>15</v>
      </c>
      <c r="F2152" s="158"/>
      <c r="G2152" s="158" t="s">
        <v>15</v>
      </c>
    </row>
    <row r="2153" spans="1:7" ht="32.999496" customHeight="1" x14ac:dyDescent="0.15">
      <c r="A2153" s="158">
        <v>2151.0</v>
      </c>
      <c r="B2153" s="158" t="s">
        <v>3631</v>
      </c>
      <c r="C2153" s="158" t="s">
        <f>"王雪婕"</f>
        <v>3951</v>
      </c>
      <c r="D2153" s="158" t="s">
        <f>"15010222728"</f>
        <v>3952</v>
      </c>
      <c r="E2153" s="158" t="s">
        <v>15</v>
      </c>
      <c r="F2153" s="158"/>
      <c r="G2153" s="158" t="s">
        <v>15</v>
      </c>
    </row>
    <row r="2154" spans="1:7" ht="32.999496" customHeight="1" x14ac:dyDescent="0.15">
      <c r="A2154" s="158">
        <v>2152.0</v>
      </c>
      <c r="B2154" s="158" t="s">
        <v>3631</v>
      </c>
      <c r="C2154" s="158" t="s">
        <f>"杨慧"</f>
        <v>491</v>
      </c>
      <c r="D2154" s="158" t="s">
        <f>"15010222729"</f>
        <v>3953</v>
      </c>
      <c r="E2154" s="158">
        <v>46.06</v>
      </c>
      <c r="F2154" s="158"/>
      <c r="G2154" s="158">
        <v>46.06</v>
      </c>
    </row>
    <row r="2155" spans="1:7" ht="32.999496" customHeight="1" x14ac:dyDescent="0.15">
      <c r="A2155" s="158">
        <v>2153.0</v>
      </c>
      <c r="B2155" s="158" t="s">
        <v>3631</v>
      </c>
      <c r="C2155" s="158" t="s">
        <f>"刘秉昕"</f>
        <v>1866</v>
      </c>
      <c r="D2155" s="158" t="s">
        <f>"15010222730"</f>
        <v>3954</v>
      </c>
      <c r="E2155" s="158" t="s">
        <v>15</v>
      </c>
      <c r="F2155" s="158"/>
      <c r="G2155" s="158" t="s">
        <v>15</v>
      </c>
    </row>
    <row r="2156" spans="1:7" ht="32.999496" customHeight="1" x14ac:dyDescent="0.15">
      <c r="A2156" s="158">
        <v>2154.0</v>
      </c>
      <c r="B2156" s="158" t="s">
        <v>3631</v>
      </c>
      <c r="C2156" s="158" t="s">
        <f>"马倩"</f>
        <v>3955</v>
      </c>
      <c r="D2156" s="158" t="s">
        <f>"15010222801"</f>
        <v>3956</v>
      </c>
      <c r="E2156" s="158">
        <v>62.01</v>
      </c>
      <c r="F2156" s="158"/>
      <c r="G2156" s="158">
        <v>62.01</v>
      </c>
    </row>
    <row r="2157" spans="1:7" ht="32.999496" customHeight="1" x14ac:dyDescent="0.15">
      <c r="A2157" s="158">
        <v>2155.0</v>
      </c>
      <c r="B2157" s="158" t="s">
        <v>3631</v>
      </c>
      <c r="C2157" s="158" t="s">
        <f>"杜春瑶"</f>
        <v>3957</v>
      </c>
      <c r="D2157" s="158" t="s">
        <f>"15010222802"</f>
        <v>3958</v>
      </c>
      <c r="E2157" s="158" t="s">
        <v>15</v>
      </c>
      <c r="F2157" s="158"/>
      <c r="G2157" s="158" t="s">
        <v>15</v>
      </c>
    </row>
    <row r="2158" spans="1:7" ht="32.999496" customHeight="1" x14ac:dyDescent="0.15">
      <c r="A2158" s="158">
        <v>2156.0</v>
      </c>
      <c r="B2158" s="158" t="s">
        <v>3631</v>
      </c>
      <c r="C2158" s="158" t="s">
        <f>"王建"</f>
        <v>1861</v>
      </c>
      <c r="D2158" s="158" t="s">
        <f>"15010222803"</f>
        <v>3959</v>
      </c>
      <c r="E2158" s="158" t="s">
        <v>15</v>
      </c>
      <c r="F2158" s="158"/>
      <c r="G2158" s="158" t="s">
        <v>15</v>
      </c>
    </row>
    <row r="2159" spans="1:7" ht="32.999496" customHeight="1" x14ac:dyDescent="0.15">
      <c r="A2159" s="158">
        <v>2157.0</v>
      </c>
      <c r="B2159" s="158" t="s">
        <v>3631</v>
      </c>
      <c r="C2159" s="158" t="s">
        <f>"张阳"</f>
        <v>3960</v>
      </c>
      <c r="D2159" s="158" t="s">
        <f>"15010222804"</f>
        <v>3961</v>
      </c>
      <c r="E2159" s="158" t="s">
        <v>15</v>
      </c>
      <c r="F2159" s="158"/>
      <c r="G2159" s="158" t="s">
        <v>15</v>
      </c>
    </row>
    <row r="2160" spans="1:7" ht="32.999496" customHeight="1" x14ac:dyDescent="0.15">
      <c r="A2160" s="158">
        <v>2158.0</v>
      </c>
      <c r="B2160" s="158" t="s">
        <v>3631</v>
      </c>
      <c r="C2160" s="158" t="s">
        <f>"薛予嘉"</f>
        <v>3962</v>
      </c>
      <c r="D2160" s="158" t="s">
        <f>"15010222805"</f>
        <v>3963</v>
      </c>
      <c r="E2160" s="158" t="s">
        <v>15</v>
      </c>
      <c r="F2160" s="158"/>
      <c r="G2160" s="158" t="s">
        <v>15</v>
      </c>
    </row>
    <row r="2161" spans="1:7" ht="32.999496" customHeight="1" x14ac:dyDescent="0.15">
      <c r="A2161" s="158">
        <v>2159.0</v>
      </c>
      <c r="B2161" s="158" t="s">
        <v>3631</v>
      </c>
      <c r="C2161" s="158" t="s">
        <f>"陈瑞"</f>
        <v>3209</v>
      </c>
      <c r="D2161" s="158" t="s">
        <f>"15010222806"</f>
        <v>3964</v>
      </c>
      <c r="E2161" s="158">
        <v>52.75</v>
      </c>
      <c r="F2161" s="158"/>
      <c r="G2161" s="158">
        <v>52.75</v>
      </c>
    </row>
    <row r="2162" spans="1:7" ht="32.999496" customHeight="1" x14ac:dyDescent="0.15">
      <c r="A2162" s="158">
        <v>2160.0</v>
      </c>
      <c r="B2162" s="158" t="s">
        <v>3631</v>
      </c>
      <c r="C2162" s="158" t="s">
        <f>"薛康慧"</f>
        <v>3965</v>
      </c>
      <c r="D2162" s="158" t="s">
        <f>"15010222807"</f>
        <v>3966</v>
      </c>
      <c r="E2162" s="158" t="s">
        <v>15</v>
      </c>
      <c r="F2162" s="158"/>
      <c r="G2162" s="158" t="s">
        <v>15</v>
      </c>
    </row>
    <row r="2163" spans="1:7" ht="32.999496" customHeight="1" x14ac:dyDescent="0.15">
      <c r="A2163" s="158">
        <v>2161.0</v>
      </c>
      <c r="B2163" s="158" t="s">
        <v>3631</v>
      </c>
      <c r="C2163" s="158" t="s">
        <f>"杨睿敏"</f>
        <v>3967</v>
      </c>
      <c r="D2163" s="158" t="s">
        <f>"15010222808"</f>
        <v>3968</v>
      </c>
      <c r="E2163" s="158" t="s">
        <v>15</v>
      </c>
      <c r="F2163" s="158"/>
      <c r="G2163" s="158" t="s">
        <v>15</v>
      </c>
    </row>
    <row r="2164" spans="1:7" ht="32.999496" customHeight="1" x14ac:dyDescent="0.15">
      <c r="A2164" s="158">
        <v>2162.0</v>
      </c>
      <c r="B2164" s="158" t="s">
        <v>3631</v>
      </c>
      <c r="C2164" s="158" t="s">
        <f>"冯海贝"</f>
        <v>3969</v>
      </c>
      <c r="D2164" s="158" t="s">
        <f>"15010222809"</f>
        <v>3970</v>
      </c>
      <c r="E2164" s="158">
        <v>74.68</v>
      </c>
      <c r="F2164" s="158"/>
      <c r="G2164" s="158">
        <v>74.68</v>
      </c>
    </row>
    <row r="2165" spans="1:7" ht="32.999496" customHeight="1" x14ac:dyDescent="0.15">
      <c r="A2165" s="158">
        <v>2163.0</v>
      </c>
      <c r="B2165" s="158" t="s">
        <v>3631</v>
      </c>
      <c r="C2165" s="158" t="s">
        <f>"张杰"</f>
        <v>3971</v>
      </c>
      <c r="D2165" s="158" t="s">
        <f>"15010222810"</f>
        <v>3972</v>
      </c>
      <c r="E2165" s="158" t="s">
        <v>15</v>
      </c>
      <c r="F2165" s="158"/>
      <c r="G2165" s="158" t="s">
        <v>15</v>
      </c>
    </row>
    <row r="2166" spans="1:7" ht="32.999496" customHeight="1" x14ac:dyDescent="0.15">
      <c r="A2166" s="158">
        <v>2164.0</v>
      </c>
      <c r="B2166" s="158" t="s">
        <v>3631</v>
      </c>
      <c r="C2166" s="158" t="s">
        <f>"陈梅"</f>
        <v>3973</v>
      </c>
      <c r="D2166" s="158" t="s">
        <f>"15010222811"</f>
        <v>3974</v>
      </c>
      <c r="E2166" s="158">
        <v>56.88</v>
      </c>
      <c r="F2166" s="158"/>
      <c r="G2166" s="158">
        <v>56.88</v>
      </c>
    </row>
    <row r="2167" spans="1:7" ht="32.999496" customHeight="1" x14ac:dyDescent="0.15">
      <c r="A2167" s="158">
        <v>2165.0</v>
      </c>
      <c r="B2167" s="158" t="s">
        <v>3631</v>
      </c>
      <c r="C2167" s="158" t="s">
        <f>"刘炎恒"</f>
        <v>3975</v>
      </c>
      <c r="D2167" s="158" t="s">
        <f>"15010222812"</f>
        <v>3976</v>
      </c>
      <c r="E2167" s="158" t="s">
        <v>15</v>
      </c>
      <c r="F2167" s="158"/>
      <c r="G2167" s="158" t="s">
        <v>15</v>
      </c>
    </row>
    <row r="2168" spans="1:7" ht="32.999496" customHeight="1" x14ac:dyDescent="0.15">
      <c r="A2168" s="158">
        <v>2166.0</v>
      </c>
      <c r="B2168" s="158" t="s">
        <v>3631</v>
      </c>
      <c r="C2168" s="158" t="s">
        <f>"李丽"</f>
        <v>3977</v>
      </c>
      <c r="D2168" s="158" t="s">
        <f>"15010222813"</f>
        <v>3978</v>
      </c>
      <c r="E2168" s="158">
        <v>51.29</v>
      </c>
      <c r="F2168" s="158"/>
      <c r="G2168" s="158">
        <v>51.29</v>
      </c>
    </row>
    <row r="2169" spans="1:7" ht="32.999496" customHeight="1" x14ac:dyDescent="0.15">
      <c r="A2169" s="158">
        <v>2167.0</v>
      </c>
      <c r="B2169" s="158" t="s">
        <v>3631</v>
      </c>
      <c r="C2169" s="158" t="s">
        <f>"白杰"</f>
        <v>3979</v>
      </c>
      <c r="D2169" s="158" t="s">
        <f>"15010222814"</f>
        <v>3980</v>
      </c>
      <c r="E2169" s="158">
        <v>53.739999999999995</v>
      </c>
      <c r="F2169" s="158"/>
      <c r="G2169" s="158">
        <v>53.739999999999995</v>
      </c>
    </row>
    <row r="2170" spans="1:7" ht="32.999496" customHeight="1" x14ac:dyDescent="0.15">
      <c r="A2170" s="158">
        <v>2168.0</v>
      </c>
      <c r="B2170" s="158" t="s">
        <v>3631</v>
      </c>
      <c r="C2170" s="158" t="s">
        <f>"王世玉"</f>
        <v>3981</v>
      </c>
      <c r="D2170" s="158" t="s">
        <f>"15010222815"</f>
        <v>3982</v>
      </c>
      <c r="E2170" s="158">
        <v>59.84</v>
      </c>
      <c r="F2170" s="158"/>
      <c r="G2170" s="158">
        <v>59.84</v>
      </c>
    </row>
    <row r="2171" spans="1:7" ht="32.999496" customHeight="1" x14ac:dyDescent="0.15">
      <c r="A2171" s="158">
        <v>2169.0</v>
      </c>
      <c r="B2171" s="158" t="s">
        <v>3631</v>
      </c>
      <c r="C2171" s="158" t="s">
        <f>"唐睿宣"</f>
        <v>3983</v>
      </c>
      <c r="D2171" s="158" t="s">
        <f>"15010222816"</f>
        <v>3984</v>
      </c>
      <c r="E2171" s="158" t="s">
        <v>15</v>
      </c>
      <c r="F2171" s="158"/>
      <c r="G2171" s="158" t="s">
        <v>15</v>
      </c>
    </row>
    <row r="2172" spans="1:7" ht="32.999496" customHeight="1" x14ac:dyDescent="0.15">
      <c r="A2172" s="158">
        <v>2170.0</v>
      </c>
      <c r="B2172" s="158" t="s">
        <v>3631</v>
      </c>
      <c r="C2172" s="158" t="s">
        <f>"薛琛惠"</f>
        <v>3985</v>
      </c>
      <c r="D2172" s="158" t="s">
        <f>"15010222817"</f>
        <v>3986</v>
      </c>
      <c r="E2172" s="158">
        <v>57.8</v>
      </c>
      <c r="F2172" s="158"/>
      <c r="G2172" s="158">
        <v>57.8</v>
      </c>
    </row>
    <row r="2173" spans="1:7" ht="32.999496" customHeight="1" x14ac:dyDescent="0.15">
      <c r="A2173" s="158">
        <v>2171.0</v>
      </c>
      <c r="B2173" s="158" t="s">
        <v>3631</v>
      </c>
      <c r="C2173" s="158" t="s">
        <f>"张帅"</f>
        <v>90</v>
      </c>
      <c r="D2173" s="158" t="s">
        <f>"15010222818"</f>
        <v>3987</v>
      </c>
      <c r="E2173" s="158">
        <v>66.83</v>
      </c>
      <c r="F2173" s="158"/>
      <c r="G2173" s="158">
        <v>66.83</v>
      </c>
    </row>
    <row r="2174" spans="1:7" ht="32.999496" customHeight="1" x14ac:dyDescent="0.15">
      <c r="A2174" s="158">
        <v>2172.0</v>
      </c>
      <c r="B2174" s="158" t="s">
        <v>3631</v>
      </c>
      <c r="C2174" s="158" t="s">
        <f>"杨磊"</f>
        <v>2083</v>
      </c>
      <c r="D2174" s="158" t="s">
        <f>"15010222819"</f>
        <v>3988</v>
      </c>
      <c r="E2174" s="158">
        <v>60.09</v>
      </c>
      <c r="F2174" s="158"/>
      <c r="G2174" s="158">
        <v>60.09</v>
      </c>
    </row>
    <row r="2175" spans="1:7" ht="32.999496" customHeight="1" x14ac:dyDescent="0.15">
      <c r="A2175" s="158">
        <v>2173.0</v>
      </c>
      <c r="B2175" s="158" t="s">
        <v>3631</v>
      </c>
      <c r="C2175" s="158" t="s">
        <f>"王慧"</f>
        <v>180</v>
      </c>
      <c r="D2175" s="158" t="s">
        <f>"15010222820"</f>
        <v>3989</v>
      </c>
      <c r="E2175" s="158" t="s">
        <v>15</v>
      </c>
      <c r="F2175" s="158"/>
      <c r="G2175" s="158" t="s">
        <v>15</v>
      </c>
    </row>
    <row r="2176" spans="1:7" ht="32.999496" customHeight="1" x14ac:dyDescent="0.15">
      <c r="A2176" s="158">
        <v>2174.0</v>
      </c>
      <c r="B2176" s="158" t="s">
        <v>3631</v>
      </c>
      <c r="C2176" s="158" t="s">
        <f>"王碧莹"</f>
        <v>3990</v>
      </c>
      <c r="D2176" s="158" t="s">
        <f>"15010222821"</f>
        <v>3991</v>
      </c>
      <c r="E2176" s="158" t="s">
        <v>15</v>
      </c>
      <c r="F2176" s="158"/>
      <c r="G2176" s="158" t="s">
        <v>15</v>
      </c>
    </row>
    <row r="2177" spans="1:7" ht="32.999496" customHeight="1" x14ac:dyDescent="0.15">
      <c r="A2177" s="158">
        <v>2175.0</v>
      </c>
      <c r="B2177" s="158" t="s">
        <v>3631</v>
      </c>
      <c r="C2177" s="158" t="s">
        <f>"郝玉芳"</f>
        <v>3992</v>
      </c>
      <c r="D2177" s="158" t="s">
        <f>"15010222822"</f>
        <v>3993</v>
      </c>
      <c r="E2177" s="158">
        <v>51.1</v>
      </c>
      <c r="F2177" s="158"/>
      <c r="G2177" s="158">
        <v>51.1</v>
      </c>
    </row>
    <row r="2178" spans="1:7" ht="32.999496" customHeight="1" x14ac:dyDescent="0.15">
      <c r="A2178" s="158">
        <v>2176.0</v>
      </c>
      <c r="B2178" s="158" t="s">
        <v>3631</v>
      </c>
      <c r="C2178" s="158" t="s">
        <f>"王娜"</f>
        <v>106</v>
      </c>
      <c r="D2178" s="158" t="s">
        <f>"15010222823"</f>
        <v>3994</v>
      </c>
      <c r="E2178" s="158">
        <v>55.19</v>
      </c>
      <c r="F2178" s="158"/>
      <c r="G2178" s="158">
        <v>55.19</v>
      </c>
    </row>
    <row r="2179" spans="1:7" ht="32.999496" customHeight="1" x14ac:dyDescent="0.15">
      <c r="A2179" s="158">
        <v>2177.0</v>
      </c>
      <c r="B2179" s="158" t="s">
        <v>3631</v>
      </c>
      <c r="C2179" s="158" t="s">
        <f>"白彩红"</f>
        <v>3995</v>
      </c>
      <c r="D2179" s="158" t="s">
        <f>"15010222824"</f>
        <v>3996</v>
      </c>
      <c r="E2179" s="158">
        <v>40.79</v>
      </c>
      <c r="F2179" s="158"/>
      <c r="G2179" s="158">
        <v>40.79</v>
      </c>
    </row>
    <row r="2180" spans="1:7" ht="32.999496" customHeight="1" x14ac:dyDescent="0.15">
      <c r="A2180" s="158">
        <v>2178.0</v>
      </c>
      <c r="B2180" s="158" t="s">
        <v>3631</v>
      </c>
      <c r="C2180" s="158" t="s">
        <f>"白雨娇"</f>
        <v>3997</v>
      </c>
      <c r="D2180" s="158" t="s">
        <f>"15010222825"</f>
        <v>3998</v>
      </c>
      <c r="E2180" s="158" t="s">
        <v>15</v>
      </c>
      <c r="F2180" s="158"/>
      <c r="G2180" s="158" t="s">
        <v>15</v>
      </c>
    </row>
    <row r="2181" spans="1:7" ht="32.999496" customHeight="1" x14ac:dyDescent="0.15">
      <c r="A2181" s="158">
        <v>2179.0</v>
      </c>
      <c r="B2181" s="158" t="s">
        <v>3631</v>
      </c>
      <c r="C2181" s="158" t="s">
        <f>"杜逸群"</f>
        <v>3999</v>
      </c>
      <c r="D2181" s="158" t="s">
        <f>"15010222826"</f>
        <v>4000</v>
      </c>
      <c r="E2181" s="158">
        <v>25.36</v>
      </c>
      <c r="F2181" s="158">
        <v>2.5</v>
      </c>
      <c r="G2181" s="158">
        <v>27.86</v>
      </c>
    </row>
    <row r="2182" spans="1:7" ht="32.999496" customHeight="1" x14ac:dyDescent="0.15">
      <c r="A2182" s="158">
        <v>2180.0</v>
      </c>
      <c r="B2182" s="158" t="s">
        <v>3631</v>
      </c>
      <c r="C2182" s="158" t="s">
        <f>"王正浩"</f>
        <v>4001</v>
      </c>
      <c r="D2182" s="158" t="s">
        <f>"15010222827"</f>
        <v>4002</v>
      </c>
      <c r="E2182" s="158" t="s">
        <v>15</v>
      </c>
      <c r="F2182" s="158"/>
      <c r="G2182" s="158" t="s">
        <v>15</v>
      </c>
    </row>
    <row r="2183" spans="1:7" ht="32.999496" customHeight="1" x14ac:dyDescent="0.15">
      <c r="A2183" s="158">
        <v>2181.0</v>
      </c>
      <c r="B2183" s="158" t="s">
        <v>3631</v>
      </c>
      <c r="C2183" s="158" t="s">
        <f>"高晔"</f>
        <v>4003</v>
      </c>
      <c r="D2183" s="158" t="s">
        <f>"15010222828"</f>
        <v>4004</v>
      </c>
      <c r="E2183" s="158">
        <v>45.61</v>
      </c>
      <c r="F2183" s="158"/>
      <c r="G2183" s="158">
        <v>45.61</v>
      </c>
    </row>
    <row r="2184" spans="1:7" ht="32.999496" customHeight="1" x14ac:dyDescent="0.15">
      <c r="A2184" s="158">
        <v>2182.0</v>
      </c>
      <c r="B2184" s="158" t="s">
        <v>3631</v>
      </c>
      <c r="C2184" s="158" t="s">
        <f>"王荣荣"</f>
        <v>4005</v>
      </c>
      <c r="D2184" s="158" t="s">
        <f>"15010222829"</f>
        <v>4006</v>
      </c>
      <c r="E2184" s="158">
        <v>56.120000000000005</v>
      </c>
      <c r="F2184" s="158"/>
      <c r="G2184" s="158">
        <v>56.120000000000005</v>
      </c>
    </row>
    <row r="2185" spans="1:7" ht="32.999496" customHeight="1" x14ac:dyDescent="0.15">
      <c r="A2185" s="158">
        <v>2183.0</v>
      </c>
      <c r="B2185" s="158" t="s">
        <v>3631</v>
      </c>
      <c r="C2185" s="158" t="s">
        <f>"赵雨蒙"</f>
        <v>4007</v>
      </c>
      <c r="D2185" s="158" t="s">
        <f>"15010222830"</f>
        <v>4008</v>
      </c>
      <c r="E2185" s="158">
        <v>58.21</v>
      </c>
      <c r="F2185" s="158"/>
      <c r="G2185" s="158">
        <v>58.21</v>
      </c>
    </row>
    <row r="2186" spans="1:7" ht="32.999496" customHeight="1" x14ac:dyDescent="0.15">
      <c r="A2186" s="158">
        <v>2184.0</v>
      </c>
      <c r="B2186" s="158" t="s">
        <v>3631</v>
      </c>
      <c r="C2186" s="158" t="s">
        <f>"刘俊"</f>
        <v>4009</v>
      </c>
      <c r="D2186" s="158" t="s">
        <f>"15010222901"</f>
        <v>4010</v>
      </c>
      <c r="E2186" s="158" t="s">
        <v>15</v>
      </c>
      <c r="F2186" s="158"/>
      <c r="G2186" s="158" t="s">
        <v>15</v>
      </c>
    </row>
    <row r="2187" spans="1:7" ht="32.999496" customHeight="1" x14ac:dyDescent="0.15">
      <c r="A2187" s="158">
        <v>2185.0</v>
      </c>
      <c r="B2187" s="158" t="s">
        <v>3631</v>
      </c>
      <c r="C2187" s="158" t="s">
        <f>"张艳芳"</f>
        <v>4011</v>
      </c>
      <c r="D2187" s="158" t="s">
        <f>"15010222902"</f>
        <v>4012</v>
      </c>
      <c r="E2187" s="158" t="s">
        <v>15</v>
      </c>
      <c r="F2187" s="158"/>
      <c r="G2187" s="158" t="s">
        <v>15</v>
      </c>
    </row>
    <row r="2188" spans="1:7" ht="32.999496" customHeight="1" x14ac:dyDescent="0.15">
      <c r="A2188" s="158">
        <v>2186.0</v>
      </c>
      <c r="B2188" s="158" t="s">
        <v>3631</v>
      </c>
      <c r="C2188" s="158" t="s">
        <f>"乔栋"</f>
        <v>4013</v>
      </c>
      <c r="D2188" s="158" t="s">
        <f>"15010222903"</f>
        <v>4014</v>
      </c>
      <c r="E2188" s="158">
        <v>72.89</v>
      </c>
      <c r="F2188" s="158"/>
      <c r="G2188" s="158">
        <v>72.89</v>
      </c>
    </row>
    <row r="2189" spans="1:7" ht="32.999496" customHeight="1" x14ac:dyDescent="0.15">
      <c r="A2189" s="158">
        <v>2187.0</v>
      </c>
      <c r="B2189" s="158" t="s">
        <v>3631</v>
      </c>
      <c r="C2189" s="158" t="s">
        <f>"杨红艳"</f>
        <v>4015</v>
      </c>
      <c r="D2189" s="158" t="s">
        <f>"15010222904"</f>
        <v>4016</v>
      </c>
      <c r="E2189" s="158">
        <v>50.989999999999995</v>
      </c>
      <c r="F2189" s="158"/>
      <c r="G2189" s="158">
        <v>50.989999999999995</v>
      </c>
    </row>
    <row r="2190" spans="1:7" ht="32.999496" customHeight="1" x14ac:dyDescent="0.15">
      <c r="A2190" s="158">
        <v>2188.0</v>
      </c>
      <c r="B2190" s="158" t="s">
        <v>3631</v>
      </c>
      <c r="C2190" s="158" t="s">
        <f>"张瑞"</f>
        <v>1856</v>
      </c>
      <c r="D2190" s="158" t="s">
        <f>"15010222905"</f>
        <v>4017</v>
      </c>
      <c r="E2190" s="158">
        <v>43.489999999999995</v>
      </c>
      <c r="F2190" s="158"/>
      <c r="G2190" s="158">
        <v>43.489999999999995</v>
      </c>
    </row>
    <row r="2191" spans="1:7" ht="32.999496" customHeight="1" x14ac:dyDescent="0.15">
      <c r="A2191" s="158">
        <v>2189.0</v>
      </c>
      <c r="B2191" s="158" t="s">
        <v>3631</v>
      </c>
      <c r="C2191" s="158" t="s">
        <f>"方慧"</f>
        <v>201</v>
      </c>
      <c r="D2191" s="158" t="s">
        <f>"15010222906"</f>
        <v>4018</v>
      </c>
      <c r="E2191" s="158">
        <v>48.07</v>
      </c>
      <c r="F2191" s="158"/>
      <c r="G2191" s="158">
        <v>48.07</v>
      </c>
    </row>
    <row r="2192" spans="1:7" ht="32.999496" customHeight="1" x14ac:dyDescent="0.15">
      <c r="A2192" s="158">
        <v>2190.0</v>
      </c>
      <c r="B2192" s="158" t="s">
        <v>3631</v>
      </c>
      <c r="C2192" s="158" t="s">
        <f>"王东"</f>
        <v>2847</v>
      </c>
      <c r="D2192" s="158" t="s">
        <f>"15010222907"</f>
        <v>4019</v>
      </c>
      <c r="E2192" s="158" t="s">
        <v>15</v>
      </c>
      <c r="F2192" s="158"/>
      <c r="G2192" s="158" t="s">
        <v>15</v>
      </c>
    </row>
    <row r="2193" spans="1:7" ht="32.999496" customHeight="1" x14ac:dyDescent="0.15">
      <c r="A2193" s="158">
        <v>2191.0</v>
      </c>
      <c r="B2193" s="158" t="s">
        <v>3631</v>
      </c>
      <c r="C2193" s="158" t="s">
        <f>"杨莉霞"</f>
        <v>4020</v>
      </c>
      <c r="D2193" s="158" t="s">
        <f>"15010222908"</f>
        <v>4021</v>
      </c>
      <c r="E2193" s="158">
        <v>48.97</v>
      </c>
      <c r="F2193" s="158"/>
      <c r="G2193" s="158">
        <v>48.97</v>
      </c>
    </row>
    <row r="2194" spans="1:7" ht="32.999496" customHeight="1" x14ac:dyDescent="0.15">
      <c r="A2194" s="158">
        <v>2192.0</v>
      </c>
      <c r="B2194" s="158" t="s">
        <v>3631</v>
      </c>
      <c r="C2194" s="158" t="s">
        <f>"贾军霞"</f>
        <v>4022</v>
      </c>
      <c r="D2194" s="158" t="s">
        <f>"15010222909"</f>
        <v>4023</v>
      </c>
      <c r="E2194" s="158">
        <v>41.620000000000005</v>
      </c>
      <c r="F2194" s="158"/>
      <c r="G2194" s="158">
        <v>41.620000000000005</v>
      </c>
    </row>
    <row r="2195" spans="1:7" ht="32.999496" customHeight="1" x14ac:dyDescent="0.15">
      <c r="A2195" s="158">
        <v>2193.0</v>
      </c>
      <c r="B2195" s="158" t="s">
        <v>3631</v>
      </c>
      <c r="C2195" s="158" t="s">
        <f>"高燕"</f>
        <v>1594</v>
      </c>
      <c r="D2195" s="158" t="s">
        <f>"15010222910"</f>
        <v>4024</v>
      </c>
      <c r="E2195" s="158">
        <v>60.9</v>
      </c>
      <c r="F2195" s="158"/>
      <c r="G2195" s="158">
        <v>60.9</v>
      </c>
    </row>
    <row r="2196" spans="1:7" ht="32.999496" customHeight="1" x14ac:dyDescent="0.15">
      <c r="A2196" s="158">
        <v>2194.0</v>
      </c>
      <c r="B2196" s="158" t="s">
        <v>3631</v>
      </c>
      <c r="C2196" s="158" t="s">
        <f>"马慧"</f>
        <v>1129</v>
      </c>
      <c r="D2196" s="158" t="s">
        <f>"15010222911"</f>
        <v>4025</v>
      </c>
      <c r="E2196" s="158">
        <v>59.97</v>
      </c>
      <c r="F2196" s="158">
        <v>2.5</v>
      </c>
      <c r="G2196" s="158">
        <v>62.47</v>
      </c>
    </row>
    <row r="2197" spans="1:7" ht="32.999496" customHeight="1" x14ac:dyDescent="0.15">
      <c r="A2197" s="158">
        <v>2195.0</v>
      </c>
      <c r="B2197" s="158" t="s">
        <v>3631</v>
      </c>
      <c r="C2197" s="158" t="s">
        <f>"杨平"</f>
        <v>4026</v>
      </c>
      <c r="D2197" s="158" t="s">
        <f>"15010222912"</f>
        <v>4027</v>
      </c>
      <c r="E2197" s="158">
        <v>58.35</v>
      </c>
      <c r="F2197" s="158"/>
      <c r="G2197" s="158">
        <v>58.35</v>
      </c>
    </row>
    <row r="2198" spans="1:7" ht="32.999496" customHeight="1" x14ac:dyDescent="0.15">
      <c r="A2198" s="158">
        <v>2196.0</v>
      </c>
      <c r="B2198" s="158" t="s">
        <v>3631</v>
      </c>
      <c r="C2198" s="158" t="s">
        <f>"王晶"</f>
        <v>4028</v>
      </c>
      <c r="D2198" s="158" t="s">
        <f>"15010222913"</f>
        <v>4029</v>
      </c>
      <c r="E2198" s="158" t="s">
        <v>15</v>
      </c>
      <c r="F2198" s="158"/>
      <c r="G2198" s="158" t="s">
        <v>15</v>
      </c>
    </row>
    <row r="2199" spans="1:7" ht="32.999496" customHeight="1" x14ac:dyDescent="0.15">
      <c r="A2199" s="158">
        <v>2197.0</v>
      </c>
      <c r="B2199" s="158" t="s">
        <v>3631</v>
      </c>
      <c r="C2199" s="158" t="s">
        <f>"王莎"</f>
        <v>4030</v>
      </c>
      <c r="D2199" s="158" t="s">
        <f>"15010222914"</f>
        <v>4031</v>
      </c>
      <c r="E2199" s="158" t="s">
        <v>15</v>
      </c>
      <c r="F2199" s="158"/>
      <c r="G2199" s="158" t="s">
        <v>15</v>
      </c>
    </row>
    <row r="2200" spans="1:7" ht="32.999496" customHeight="1" x14ac:dyDescent="0.15">
      <c r="A2200" s="158">
        <v>2198.0</v>
      </c>
      <c r="B2200" s="158" t="s">
        <v>3631</v>
      </c>
      <c r="C2200" s="158" t="s">
        <f>"郭利伟"</f>
        <v>4032</v>
      </c>
      <c r="D2200" s="158" t="s">
        <f>"15010222915"</f>
        <v>4033</v>
      </c>
      <c r="E2200" s="158">
        <v>46.16</v>
      </c>
      <c r="F2200" s="158"/>
      <c r="G2200" s="158">
        <v>46.16</v>
      </c>
    </row>
    <row r="2201" spans="1:7" ht="32.999496" customHeight="1" x14ac:dyDescent="0.15">
      <c r="A2201" s="158">
        <v>2199.0</v>
      </c>
      <c r="B2201" s="158" t="s">
        <v>3631</v>
      </c>
      <c r="C2201" s="158" t="s">
        <f>"刘慧"</f>
        <v>430</v>
      </c>
      <c r="D2201" s="158" t="s">
        <f>"15010222916"</f>
        <v>4034</v>
      </c>
      <c r="E2201" s="158" t="s">
        <v>15</v>
      </c>
      <c r="F2201" s="158"/>
      <c r="G2201" s="158" t="s">
        <v>15</v>
      </c>
    </row>
    <row r="2202" spans="1:7" ht="32.999496" customHeight="1" x14ac:dyDescent="0.15">
      <c r="A2202" s="158">
        <v>2200.0</v>
      </c>
      <c r="B2202" s="158" t="s">
        <v>3631</v>
      </c>
      <c r="C2202" s="158" t="s">
        <f>"张宏宇"</f>
        <v>4035</v>
      </c>
      <c r="D2202" s="158" t="s">
        <f>"15010222917"</f>
        <v>4036</v>
      </c>
      <c r="E2202" s="158" t="s">
        <v>15</v>
      </c>
      <c r="F2202" s="158"/>
      <c r="G2202" s="158" t="s">
        <v>15</v>
      </c>
    </row>
    <row r="2203" spans="1:7" ht="32.999496" customHeight="1" x14ac:dyDescent="0.15">
      <c r="A2203" s="158">
        <v>2201.0</v>
      </c>
      <c r="B2203" s="158" t="s">
        <v>4037</v>
      </c>
      <c r="C2203" s="158" t="s">
        <f>"冬梅"</f>
        <v>4038</v>
      </c>
      <c r="D2203" s="158" t="s">
        <f>"15010323001"</f>
        <v>4039</v>
      </c>
      <c r="E2203" s="158">
        <v>53.42</v>
      </c>
      <c r="F2203" s="158">
        <v>2.5</v>
      </c>
      <c r="G2203" s="158">
        <v>55.92</v>
      </c>
    </row>
    <row r="2204" spans="1:7" ht="32.999496" customHeight="1" x14ac:dyDescent="0.15">
      <c r="A2204" s="158">
        <v>2202.0</v>
      </c>
      <c r="B2204" s="158" t="s">
        <v>4037</v>
      </c>
      <c r="C2204" s="158" t="s">
        <f>"南丁"</f>
        <v>2036</v>
      </c>
      <c r="D2204" s="158" t="s">
        <f>"15010323002"</f>
        <v>4040</v>
      </c>
      <c r="E2204" s="158">
        <v>57.980000000000004</v>
      </c>
      <c r="F2204" s="158">
        <v>2.5</v>
      </c>
      <c r="G2204" s="158">
        <v>60.480000000000004</v>
      </c>
    </row>
    <row r="2205" spans="1:7" ht="32.999496" customHeight="1" x14ac:dyDescent="0.15">
      <c r="A2205" s="158">
        <v>2203.0</v>
      </c>
      <c r="B2205" s="158" t="s">
        <v>4037</v>
      </c>
      <c r="C2205" s="158" t="s">
        <f>"莫庆"</f>
        <v>4041</v>
      </c>
      <c r="D2205" s="158" t="s">
        <f>"15010323003"</f>
        <v>4042</v>
      </c>
      <c r="E2205" s="158">
        <v>59.39</v>
      </c>
      <c r="F2205" s="158">
        <v>2.5</v>
      </c>
      <c r="G2205" s="158">
        <v>61.89</v>
      </c>
    </row>
    <row r="2206" spans="1:7" ht="32.999496" customHeight="1" x14ac:dyDescent="0.15">
      <c r="A2206" s="158">
        <v>2204.0</v>
      </c>
      <c r="B2206" s="158" t="s">
        <v>4037</v>
      </c>
      <c r="C2206" s="158" t="s">
        <f>"达尼斯"</f>
        <v>4043</v>
      </c>
      <c r="D2206" s="158" t="s">
        <f>"15010323004"</f>
        <v>4044</v>
      </c>
      <c r="E2206" s="158">
        <v>51.03</v>
      </c>
      <c r="F2206" s="158">
        <v>2.5</v>
      </c>
      <c r="G2206" s="158">
        <v>53.53</v>
      </c>
    </row>
    <row r="2207" spans="1:7" ht="32.999496" customHeight="1" x14ac:dyDescent="0.15">
      <c r="A2207" s="158">
        <v>2205.0</v>
      </c>
      <c r="B2207" s="158" t="s">
        <v>4037</v>
      </c>
      <c r="C2207" s="158" t="s">
        <f>"苏日娜"</f>
        <v>1265</v>
      </c>
      <c r="D2207" s="158" t="s">
        <f>"15010323005"</f>
        <v>4045</v>
      </c>
      <c r="E2207" s="158">
        <v>61.77</v>
      </c>
      <c r="F2207" s="158">
        <v>2.5</v>
      </c>
      <c r="G2207" s="158">
        <v>64.27000000000001</v>
      </c>
    </row>
    <row r="2208" spans="1:7" ht="32.999496" customHeight="1" x14ac:dyDescent="0.15">
      <c r="A2208" s="158">
        <v>2206.0</v>
      </c>
      <c r="B2208" s="158" t="s">
        <v>4037</v>
      </c>
      <c r="C2208" s="158" t="s">
        <f>"乌兰格日乐"</f>
        <v>4046</v>
      </c>
      <c r="D2208" s="158" t="s">
        <f>"15010323006"</f>
        <v>4047</v>
      </c>
      <c r="E2208" s="158" t="s">
        <v>15</v>
      </c>
      <c r="F2208" s="158">
        <v>2.5</v>
      </c>
      <c r="G2208" s="158" t="s">
        <v>15</v>
      </c>
    </row>
    <row r="2209" spans="1:7" ht="32.999496" customHeight="1" x14ac:dyDescent="0.15">
      <c r="A2209" s="158">
        <v>2207.0</v>
      </c>
      <c r="B2209" s="158" t="s">
        <v>4037</v>
      </c>
      <c r="C2209" s="158" t="s">
        <f>"阿妮苏"</f>
        <v>4048</v>
      </c>
      <c r="D2209" s="158" t="s">
        <f>"15010323007"</f>
        <v>4049</v>
      </c>
      <c r="E2209" s="158">
        <v>55.57</v>
      </c>
      <c r="F2209" s="158">
        <v>2.5</v>
      </c>
      <c r="G2209" s="158">
        <v>58.07</v>
      </c>
    </row>
    <row r="2210" spans="1:7" ht="32.999496" customHeight="1" x14ac:dyDescent="0.15">
      <c r="A2210" s="158">
        <v>2208.0</v>
      </c>
      <c r="B2210" s="158" t="s">
        <v>4037</v>
      </c>
      <c r="C2210" s="158" t="s">
        <f>"南定"</f>
        <v>4050</v>
      </c>
      <c r="D2210" s="158" t="s">
        <f>"15010323008"</f>
        <v>4051</v>
      </c>
      <c r="E2210" s="158">
        <v>53.11</v>
      </c>
      <c r="F2210" s="158">
        <v>2.5</v>
      </c>
      <c r="G2210" s="158">
        <v>55.61</v>
      </c>
    </row>
    <row r="2211" spans="1:7" ht="32.999496" customHeight="1" x14ac:dyDescent="0.15">
      <c r="A2211" s="158">
        <v>2209.0</v>
      </c>
      <c r="B2211" s="158" t="s">
        <v>4037</v>
      </c>
      <c r="C2211" s="158" t="s">
        <f>"满都拉"</f>
        <v>4052</v>
      </c>
      <c r="D2211" s="158" t="s">
        <f>"15010323009"</f>
        <v>4053</v>
      </c>
      <c r="E2211" s="158">
        <v>50.72</v>
      </c>
      <c r="F2211" s="158">
        <v>2.5</v>
      </c>
      <c r="G2211" s="158">
        <v>53.22</v>
      </c>
    </row>
    <row r="2212" spans="1:7" ht="32.999496" customHeight="1" x14ac:dyDescent="0.15">
      <c r="A2212" s="158">
        <v>2210.0</v>
      </c>
      <c r="B2212" s="158" t="s">
        <v>4037</v>
      </c>
      <c r="C2212" s="158" t="s">
        <f>"国庆"</f>
        <v>4054</v>
      </c>
      <c r="D2212" s="158" t="s">
        <f>"15010323010"</f>
        <v>4055</v>
      </c>
      <c r="E2212" s="158">
        <v>34.65</v>
      </c>
      <c r="F2212" s="158">
        <v>2.5</v>
      </c>
      <c r="G2212" s="158">
        <v>37.15</v>
      </c>
    </row>
    <row r="2213" spans="1:7" ht="32.999496" customHeight="1" x14ac:dyDescent="0.15">
      <c r="A2213" s="158">
        <v>2211.0</v>
      </c>
      <c r="B2213" s="158" t="s">
        <v>4037</v>
      </c>
      <c r="C2213" s="158" t="s">
        <f>"仁庆苏娃"</f>
        <v>4056</v>
      </c>
      <c r="D2213" s="158" t="s">
        <f>"15010323011"</f>
        <v>4057</v>
      </c>
      <c r="E2213" s="158">
        <v>53.769999999999996</v>
      </c>
      <c r="F2213" s="158">
        <v>2.5</v>
      </c>
      <c r="G2213" s="158">
        <v>56.269999999999996</v>
      </c>
    </row>
    <row r="2214" spans="1:7" ht="32.999496" customHeight="1" x14ac:dyDescent="0.15">
      <c r="A2214" s="158">
        <v>2212.0</v>
      </c>
      <c r="B2214" s="158" t="s">
        <v>4037</v>
      </c>
      <c r="C2214" s="158" t="s">
        <f>"白图娅"</f>
        <v>4058</v>
      </c>
      <c r="D2214" s="158" t="s">
        <f>"15010323012"</f>
        <v>4059</v>
      </c>
      <c r="E2214" s="158">
        <v>58.78</v>
      </c>
      <c r="F2214" s="158">
        <v>2.5</v>
      </c>
      <c r="G2214" s="158">
        <v>61.28</v>
      </c>
    </row>
    <row r="2215" spans="1:7" ht="32.999496" customHeight="1" x14ac:dyDescent="0.15">
      <c r="A2215" s="158">
        <v>2213.0</v>
      </c>
      <c r="B2215" s="158" t="s">
        <v>4037</v>
      </c>
      <c r="C2215" s="158" t="s">
        <f>"乌日娜"</f>
        <v>1981</v>
      </c>
      <c r="D2215" s="158" t="s">
        <f>"15010323013"</f>
        <v>4060</v>
      </c>
      <c r="E2215" s="158">
        <v>40.41</v>
      </c>
      <c r="F2215" s="158">
        <v>2.5</v>
      </c>
      <c r="G2215" s="158">
        <v>42.91</v>
      </c>
    </row>
    <row r="2216" spans="1:7" ht="32.999496" customHeight="1" x14ac:dyDescent="0.15">
      <c r="A2216" s="158">
        <v>2214.0</v>
      </c>
      <c r="B2216" s="158" t="s">
        <v>4037</v>
      </c>
      <c r="C2216" s="158" t="s">
        <f>"阿雅拉贡"</f>
        <v>4061</v>
      </c>
      <c r="D2216" s="158" t="s">
        <f>"15010323014"</f>
        <v>4062</v>
      </c>
      <c r="E2216" s="158" t="s">
        <v>15</v>
      </c>
      <c r="F2216" s="158">
        <v>2.5</v>
      </c>
      <c r="G2216" s="158" t="s">
        <v>15</v>
      </c>
    </row>
    <row r="2217" spans="1:7" ht="32.999496" customHeight="1" x14ac:dyDescent="0.15">
      <c r="A2217" s="158">
        <v>2215.0</v>
      </c>
      <c r="B2217" s="158" t="s">
        <v>4037</v>
      </c>
      <c r="C2217" s="158" t="s">
        <f>"胡吉力图"</f>
        <v>4063</v>
      </c>
      <c r="D2217" s="158" t="s">
        <f>"15010323015"</f>
        <v>4064</v>
      </c>
      <c r="E2217" s="158" t="s">
        <v>15</v>
      </c>
      <c r="F2217" s="158">
        <v>2.5</v>
      </c>
      <c r="G2217" s="158" t="s">
        <v>15</v>
      </c>
    </row>
    <row r="2218" spans="1:7" ht="32.999496" customHeight="1" x14ac:dyDescent="0.15">
      <c r="A2218" s="158">
        <v>2216.0</v>
      </c>
      <c r="B2218" s="158" t="s">
        <v>4037</v>
      </c>
      <c r="C2218" s="158" t="s">
        <f>"阿毕雅斯"</f>
        <v>4065</v>
      </c>
      <c r="D2218" s="158" t="s">
        <f>"15010323016"</f>
        <v>4066</v>
      </c>
      <c r="E2218" s="158" t="s">
        <v>15</v>
      </c>
      <c r="F2218" s="158">
        <v>2.5</v>
      </c>
      <c r="G2218" s="158" t="s">
        <v>15</v>
      </c>
    </row>
    <row r="2219" spans="1:7" ht="32.999496" customHeight="1" x14ac:dyDescent="0.15">
      <c r="A2219" s="158">
        <v>2217.0</v>
      </c>
      <c r="B2219" s="158" t="s">
        <v>4037</v>
      </c>
      <c r="C2219" s="158" t="s">
        <f>"米德格"</f>
        <v>4067</v>
      </c>
      <c r="D2219" s="158" t="s">
        <f>"15010323017"</f>
        <v>4068</v>
      </c>
      <c r="E2219" s="158">
        <v>55.07</v>
      </c>
      <c r="F2219" s="158">
        <v>2.5</v>
      </c>
      <c r="G2219" s="158">
        <v>57.57</v>
      </c>
    </row>
    <row r="2220" spans="1:7" ht="32.999496" customHeight="1" x14ac:dyDescent="0.15">
      <c r="A2220" s="158">
        <v>2218.0</v>
      </c>
      <c r="B2220" s="158" t="s">
        <v>4037</v>
      </c>
      <c r="C2220" s="158" t="s">
        <f>"张亚论"</f>
        <v>4069</v>
      </c>
      <c r="D2220" s="158" t="s">
        <f>"15010323018"</f>
        <v>4070</v>
      </c>
      <c r="E2220" s="158">
        <v>48.57</v>
      </c>
      <c r="F2220" s="158">
        <v>2.5</v>
      </c>
      <c r="G2220" s="158">
        <v>51.07</v>
      </c>
    </row>
    <row r="2221" spans="1:7" ht="32.999496" customHeight="1" x14ac:dyDescent="0.15">
      <c r="A2221" s="158">
        <v>2219.0</v>
      </c>
      <c r="B2221" s="158" t="s">
        <v>4037</v>
      </c>
      <c r="C2221" s="158" t="s">
        <f>"特日格乐"</f>
        <v>4071</v>
      </c>
      <c r="D2221" s="158" t="s">
        <f>"15010323019"</f>
        <v>4072</v>
      </c>
      <c r="E2221" s="158">
        <v>41.36</v>
      </c>
      <c r="F2221" s="158">
        <v>2.5</v>
      </c>
      <c r="G2221" s="158">
        <v>43.86</v>
      </c>
    </row>
    <row r="2222" spans="1:7" ht="32.999496" customHeight="1" x14ac:dyDescent="0.15">
      <c r="A2222" s="158">
        <v>2220.0</v>
      </c>
      <c r="B2222" s="158" t="s">
        <v>4037</v>
      </c>
      <c r="C2222" s="158" t="s">
        <f>"鄂奈日乐图"</f>
        <v>4073</v>
      </c>
      <c r="D2222" s="158" t="s">
        <f>"15010323020"</f>
        <v>4074</v>
      </c>
      <c r="E2222" s="158">
        <v>45.79</v>
      </c>
      <c r="F2222" s="158">
        <v>2.5</v>
      </c>
      <c r="G2222" s="158">
        <v>48.29</v>
      </c>
    </row>
    <row r="2223" spans="1:7" ht="32.999496" customHeight="1" x14ac:dyDescent="0.15">
      <c r="A2223" s="158">
        <v>2221.0</v>
      </c>
      <c r="B2223" s="158" t="s">
        <v>4037</v>
      </c>
      <c r="C2223" s="158" t="s">
        <f>"塞汉娜"</f>
        <v>4075</v>
      </c>
      <c r="D2223" s="158" t="s">
        <f>"15010323021"</f>
        <v>4076</v>
      </c>
      <c r="E2223" s="158">
        <v>53.4</v>
      </c>
      <c r="F2223" s="158">
        <v>2.5</v>
      </c>
      <c r="G2223" s="158">
        <v>55.9</v>
      </c>
    </row>
    <row r="2224" spans="1:7" ht="32.999496" customHeight="1" x14ac:dyDescent="0.15">
      <c r="A2224" s="158">
        <v>2222.0</v>
      </c>
      <c r="B2224" s="158" t="s">
        <v>4037</v>
      </c>
      <c r="C2224" s="158" t="s">
        <f>"陶娜尔"</f>
        <v>4077</v>
      </c>
      <c r="D2224" s="158" t="s">
        <f>"15010323022"</f>
        <v>4078</v>
      </c>
      <c r="E2224" s="158">
        <v>48.97</v>
      </c>
      <c r="F2224" s="158">
        <v>2.5</v>
      </c>
      <c r="G2224" s="158">
        <v>51.47</v>
      </c>
    </row>
    <row r="2225" spans="1:7" ht="32.999496" customHeight="1" x14ac:dyDescent="0.15">
      <c r="A2225" s="158">
        <v>2223.0</v>
      </c>
      <c r="B2225" s="158" t="s">
        <v>4037</v>
      </c>
      <c r="C2225" s="158" t="s">
        <f>"乌力恒"</f>
        <v>4079</v>
      </c>
      <c r="D2225" s="158" t="s">
        <f>"15010323023"</f>
        <v>4080</v>
      </c>
      <c r="E2225" s="158">
        <v>47.57</v>
      </c>
      <c r="F2225" s="158">
        <v>2.5</v>
      </c>
      <c r="G2225" s="158">
        <v>50.07</v>
      </c>
    </row>
    <row r="2226" spans="1:7" ht="32.999496" customHeight="1" x14ac:dyDescent="0.15">
      <c r="A2226" s="158">
        <v>2224.0</v>
      </c>
      <c r="B2226" s="158" t="s">
        <v>4037</v>
      </c>
      <c r="C2226" s="158" t="s">
        <f>"苏日娜"</f>
        <v>1265</v>
      </c>
      <c r="D2226" s="158" t="s">
        <f>"15010323024"</f>
        <v>4081</v>
      </c>
      <c r="E2226" s="158">
        <v>52.17</v>
      </c>
      <c r="F2226" s="158">
        <v>2.5</v>
      </c>
      <c r="G2226" s="158">
        <v>54.67</v>
      </c>
    </row>
    <row r="2227" spans="1:7" ht="32.999496" customHeight="1" x14ac:dyDescent="0.15">
      <c r="A2227" s="158">
        <v>2225.0</v>
      </c>
      <c r="B2227" s="158" t="s">
        <v>4037</v>
      </c>
      <c r="C2227" s="158" t="s">
        <f>"呼斯乐其其格"</f>
        <v>4082</v>
      </c>
      <c r="D2227" s="158" t="s">
        <f>"15010323025"</f>
        <v>4083</v>
      </c>
      <c r="E2227" s="158">
        <v>50.980000000000004</v>
      </c>
      <c r="F2227" s="158">
        <v>2.5</v>
      </c>
      <c r="G2227" s="158">
        <v>53.480000000000004</v>
      </c>
    </row>
    <row r="2228" spans="1:7" ht="32.999496" customHeight="1" x14ac:dyDescent="0.15">
      <c r="A2228" s="158">
        <v>2226.0</v>
      </c>
      <c r="B2228" s="158" t="s">
        <v>4037</v>
      </c>
      <c r="C2228" s="158" t="s">
        <f>"阿云嘎"</f>
        <v>4084</v>
      </c>
      <c r="D2228" s="158" t="s">
        <f>"15010323026"</f>
        <v>4085</v>
      </c>
      <c r="E2228" s="158">
        <v>58.120000000000005</v>
      </c>
      <c r="F2228" s="158">
        <v>2.5</v>
      </c>
      <c r="G2228" s="158">
        <v>60.620000000000005</v>
      </c>
    </row>
    <row r="2229" spans="1:7" ht="32.999496" customHeight="1" x14ac:dyDescent="0.15">
      <c r="A2229" s="158">
        <v>2227.0</v>
      </c>
      <c r="B2229" s="158" t="s">
        <v>4037</v>
      </c>
      <c r="C2229" s="158" t="s">
        <f>"阿嘎日"</f>
        <v>4086</v>
      </c>
      <c r="D2229" s="158" t="s">
        <f>"15010323027"</f>
        <v>4087</v>
      </c>
      <c r="E2229" s="158">
        <v>48.760000000000005</v>
      </c>
      <c r="F2229" s="158">
        <v>2.5</v>
      </c>
      <c r="G2229" s="158">
        <v>51.260000000000005</v>
      </c>
    </row>
    <row r="2230" spans="1:7" ht="32.999496" customHeight="1" x14ac:dyDescent="0.15">
      <c r="A2230" s="158">
        <v>2228.0</v>
      </c>
      <c r="B2230" s="158" t="s">
        <v>4037</v>
      </c>
      <c r="C2230" s="158" t="s">
        <f>"满都拉"</f>
        <v>4052</v>
      </c>
      <c r="D2230" s="158" t="s">
        <f>"15010323028"</f>
        <v>4088</v>
      </c>
      <c r="E2230" s="158">
        <v>48.07</v>
      </c>
      <c r="F2230" s="158">
        <v>2.5</v>
      </c>
      <c r="G2230" s="158">
        <v>50.57</v>
      </c>
    </row>
    <row r="2231" spans="1:7" ht="32.999496" customHeight="1" x14ac:dyDescent="0.15">
      <c r="A2231" s="158">
        <v>2229.0</v>
      </c>
      <c r="B2231" s="158" t="s">
        <v>4037</v>
      </c>
      <c r="C2231" s="158" t="s">
        <f>"特日格勒"</f>
        <v>4089</v>
      </c>
      <c r="D2231" s="158" t="s">
        <f>"15010323029"</f>
        <v>4090</v>
      </c>
      <c r="E2231" s="158" t="s">
        <v>15</v>
      </c>
      <c r="F2231" s="158">
        <v>2.5</v>
      </c>
      <c r="G2231" s="158" t="s">
        <v>15</v>
      </c>
    </row>
    <row r="2232" spans="1:7" ht="32.999496" customHeight="1" x14ac:dyDescent="0.15">
      <c r="A2232" s="158">
        <v>2230.0</v>
      </c>
      <c r="B2232" s="158" t="s">
        <v>4037</v>
      </c>
      <c r="C2232" s="158" t="s">
        <f>"塔拉"</f>
        <v>4091</v>
      </c>
      <c r="D2232" s="158" t="s">
        <f>"15010323030"</f>
        <v>4092</v>
      </c>
      <c r="E2232" s="158">
        <v>47.75</v>
      </c>
      <c r="F2232" s="158">
        <v>2.5</v>
      </c>
      <c r="G2232" s="158">
        <v>50.25</v>
      </c>
    </row>
    <row r="2233" spans="1:7" ht="32.999496" customHeight="1" x14ac:dyDescent="0.15">
      <c r="A2233" s="158">
        <v>2231.0</v>
      </c>
      <c r="B2233" s="158" t="s">
        <v>4037</v>
      </c>
      <c r="C2233" s="158" t="s">
        <f>"其其格"</f>
        <v>4093</v>
      </c>
      <c r="D2233" s="158" t="s">
        <f>"15010323101"</f>
        <v>4094</v>
      </c>
      <c r="E2233" s="158" t="s">
        <v>15</v>
      </c>
      <c r="F2233" s="158">
        <v>2.5</v>
      </c>
      <c r="G2233" s="158" t="s">
        <v>15</v>
      </c>
    </row>
    <row r="2234" spans="1:7" ht="32.999496" customHeight="1" x14ac:dyDescent="0.15">
      <c r="A2234" s="158">
        <v>2232.0</v>
      </c>
      <c r="B2234" s="158" t="s">
        <v>4037</v>
      </c>
      <c r="C2234" s="158" t="s">
        <f>"那荷雅"</f>
        <v>4095</v>
      </c>
      <c r="D2234" s="158" t="s">
        <f>"15010323102"</f>
        <v>4096</v>
      </c>
      <c r="E2234" s="158">
        <v>41.06</v>
      </c>
      <c r="F2234" s="158">
        <v>2.5</v>
      </c>
      <c r="G2234" s="158">
        <v>43.56</v>
      </c>
    </row>
    <row r="2235" spans="1:7" ht="32.999496" customHeight="1" x14ac:dyDescent="0.15">
      <c r="A2235" s="158">
        <v>2233.0</v>
      </c>
      <c r="B2235" s="158" t="s">
        <v>4037</v>
      </c>
      <c r="C2235" s="158" t="s">
        <f>"丹日妮"</f>
        <v>4097</v>
      </c>
      <c r="D2235" s="158" t="s">
        <f>"15010323103"</f>
        <v>4098</v>
      </c>
      <c r="E2235" s="158">
        <v>65.95</v>
      </c>
      <c r="F2235" s="158">
        <v>2.5</v>
      </c>
      <c r="G2235" s="158">
        <v>68.45</v>
      </c>
    </row>
    <row r="2236" spans="1:7" ht="32.999496" customHeight="1" x14ac:dyDescent="0.15">
      <c r="A2236" s="158">
        <v>2234.0</v>
      </c>
      <c r="B2236" s="158" t="s">
        <v>4037</v>
      </c>
      <c r="C2236" s="158" t="s">
        <f>"丹洙"</f>
        <v>4099</v>
      </c>
      <c r="D2236" s="158" t="s">
        <f>"15010323104"</f>
        <v>4100</v>
      </c>
      <c r="E2236" s="158">
        <v>22.81</v>
      </c>
      <c r="F2236" s="158">
        <v>2.5</v>
      </c>
      <c r="G2236" s="158">
        <v>25.31</v>
      </c>
    </row>
    <row r="2237" spans="1:7" ht="32.999496" customHeight="1" x14ac:dyDescent="0.15">
      <c r="A2237" s="158">
        <v>2235.0</v>
      </c>
      <c r="B2237" s="158" t="s">
        <v>4037</v>
      </c>
      <c r="C2237" s="158" t="s">
        <f>"沙仁图"</f>
        <v>4101</v>
      </c>
      <c r="D2237" s="158" t="s">
        <f>"15010323105"</f>
        <v>4102</v>
      </c>
      <c r="E2237" s="158">
        <v>35.620000000000005</v>
      </c>
      <c r="F2237" s="158">
        <v>2.5</v>
      </c>
      <c r="G2237" s="158">
        <v>38.120000000000005</v>
      </c>
    </row>
    <row r="2238" spans="1:7" ht="32.999496" customHeight="1" x14ac:dyDescent="0.15">
      <c r="A2238" s="158">
        <v>2236.0</v>
      </c>
      <c r="B2238" s="158" t="s">
        <v>4037</v>
      </c>
      <c r="C2238" s="158" t="s">
        <f>"奇力格"</f>
        <v>4103</v>
      </c>
      <c r="D2238" s="158" t="s">
        <f>"15010323106"</f>
        <v>4104</v>
      </c>
      <c r="E2238" s="158">
        <v>53.42</v>
      </c>
      <c r="F2238" s="158">
        <v>2.5</v>
      </c>
      <c r="G2238" s="158">
        <v>55.92</v>
      </c>
    </row>
    <row r="2239" spans="1:7" ht="32.999496" customHeight="1" x14ac:dyDescent="0.15">
      <c r="A2239" s="158">
        <v>2237.0</v>
      </c>
      <c r="B2239" s="158" t="s">
        <v>4037</v>
      </c>
      <c r="C2239" s="158" t="s">
        <f>"阿格热"</f>
        <v>4105</v>
      </c>
      <c r="D2239" s="158" t="s">
        <f>"15010323107"</f>
        <v>4106</v>
      </c>
      <c r="E2239" s="158">
        <v>50.34</v>
      </c>
      <c r="F2239" s="158">
        <v>2.5</v>
      </c>
      <c r="G2239" s="158">
        <v>52.84</v>
      </c>
    </row>
    <row r="2240" spans="1:7" ht="32.999496" customHeight="1" x14ac:dyDescent="0.15">
      <c r="A2240" s="158">
        <v>2238.0</v>
      </c>
      <c r="B2240" s="158" t="s">
        <v>4037</v>
      </c>
      <c r="C2240" s="158" t="s">
        <f>"苏龙嘎"</f>
        <v>4107</v>
      </c>
      <c r="D2240" s="158" t="s">
        <f>"15010323108"</f>
        <v>4108</v>
      </c>
      <c r="E2240" s="158">
        <v>41.129999999999995</v>
      </c>
      <c r="F2240" s="158">
        <v>2.5</v>
      </c>
      <c r="G2240" s="158">
        <v>43.629999999999995</v>
      </c>
    </row>
    <row r="2241" spans="1:7" ht="32.999496" customHeight="1" x14ac:dyDescent="0.15">
      <c r="A2241" s="158">
        <v>2239.0</v>
      </c>
      <c r="B2241" s="158" t="s">
        <v>4037</v>
      </c>
      <c r="C2241" s="158" t="s">
        <f>"斯庆胡日乐"</f>
        <v>4109</v>
      </c>
      <c r="D2241" s="158" t="s">
        <f>"15010323109"</f>
        <v>4110</v>
      </c>
      <c r="E2241" s="158" t="s">
        <v>15</v>
      </c>
      <c r="F2241" s="158">
        <v>2.5</v>
      </c>
      <c r="G2241" s="158" t="s">
        <v>15</v>
      </c>
    </row>
    <row r="2242" spans="1:7" ht="32.999496" customHeight="1" x14ac:dyDescent="0.15">
      <c r="A2242" s="158">
        <v>2240.0</v>
      </c>
      <c r="B2242" s="158" t="s">
        <v>4037</v>
      </c>
      <c r="C2242" s="158" t="s">
        <f>"白金娜"</f>
        <v>4111</v>
      </c>
      <c r="D2242" s="158" t="s">
        <f>"15010323110"</f>
        <v>4112</v>
      </c>
      <c r="E2242" s="158">
        <v>54.94</v>
      </c>
      <c r="F2242" s="158">
        <v>2.5</v>
      </c>
      <c r="G2242" s="158">
        <v>57.44</v>
      </c>
    </row>
    <row r="2243" spans="1:7" ht="32.999496" customHeight="1" x14ac:dyDescent="0.15">
      <c r="A2243" s="158">
        <v>2241.0</v>
      </c>
      <c r="B2243" s="158" t="s">
        <v>4037</v>
      </c>
      <c r="C2243" s="158" t="s">
        <f>"乌栋娜"</f>
        <v>4113</v>
      </c>
      <c r="D2243" s="158" t="s">
        <f>"15010323111"</f>
        <v>4114</v>
      </c>
      <c r="E2243" s="158" t="s">
        <v>15</v>
      </c>
      <c r="F2243" s="158">
        <v>2.5</v>
      </c>
      <c r="G2243" s="158" t="s">
        <v>15</v>
      </c>
    </row>
    <row r="2244" spans="1:7" ht="32.999496" customHeight="1" x14ac:dyDescent="0.15">
      <c r="A2244" s="158">
        <v>2242.0</v>
      </c>
      <c r="B2244" s="158" t="s">
        <v>4037</v>
      </c>
      <c r="C2244" s="158" t="s">
        <f>"苏都拉"</f>
        <v>4115</v>
      </c>
      <c r="D2244" s="158" t="s">
        <f>"15010323112"</f>
        <v>4116</v>
      </c>
      <c r="E2244" s="158" t="s">
        <v>15</v>
      </c>
      <c r="F2244" s="158"/>
      <c r="G2244" s="158" t="s">
        <v>15</v>
      </c>
    </row>
    <row r="2245" spans="1:7" ht="32.999496" customHeight="1" x14ac:dyDescent="0.15">
      <c r="A2245" s="158">
        <v>2243.0</v>
      </c>
      <c r="B2245" s="158" t="s">
        <v>4037</v>
      </c>
      <c r="C2245" s="158" t="s">
        <f>"爱丽"</f>
        <v>4117</v>
      </c>
      <c r="D2245" s="158" t="s">
        <f>"15010323113"</f>
        <v>4118</v>
      </c>
      <c r="E2245" s="158">
        <v>55.31</v>
      </c>
      <c r="F2245" s="158">
        <v>2.5</v>
      </c>
      <c r="G2245" s="158">
        <v>57.81</v>
      </c>
    </row>
    <row r="2246" spans="1:7" ht="32.999496" customHeight="1" x14ac:dyDescent="0.15">
      <c r="A2246" s="158">
        <v>2244.0</v>
      </c>
      <c r="B2246" s="158" t="s">
        <v>4037</v>
      </c>
      <c r="C2246" s="158" t="s">
        <f>"贾永星"</f>
        <v>4119</v>
      </c>
      <c r="D2246" s="158" t="s">
        <f>"15010323114"</f>
        <v>4120</v>
      </c>
      <c r="E2246" s="158">
        <v>48.97</v>
      </c>
      <c r="F2246" s="158">
        <v>2.5</v>
      </c>
      <c r="G2246" s="158">
        <v>51.47</v>
      </c>
    </row>
    <row r="2247" spans="1:7" ht="32.999496" customHeight="1" x14ac:dyDescent="0.15">
      <c r="A2247" s="158">
        <v>2245.0</v>
      </c>
      <c r="B2247" s="158" t="s">
        <v>4037</v>
      </c>
      <c r="C2247" s="158" t="s">
        <f>"巴格那"</f>
        <v>4121</v>
      </c>
      <c r="D2247" s="158" t="s">
        <f>"15010323115"</f>
        <v>4122</v>
      </c>
      <c r="E2247" s="158">
        <v>37.629999999999995</v>
      </c>
      <c r="F2247" s="158">
        <v>2.5</v>
      </c>
      <c r="G2247" s="158">
        <v>40.129999999999995</v>
      </c>
    </row>
    <row r="2248" spans="1:7" ht="32.999496" customHeight="1" x14ac:dyDescent="0.15">
      <c r="A2248" s="158">
        <v>2246.0</v>
      </c>
      <c r="B2248" s="158" t="s">
        <v>4037</v>
      </c>
      <c r="C2248" s="158" t="s">
        <f>"旭日干"</f>
        <v>4123</v>
      </c>
      <c r="D2248" s="158" t="s">
        <f>"15010323116"</f>
        <v>4124</v>
      </c>
      <c r="E2248" s="158">
        <v>34.62</v>
      </c>
      <c r="F2248" s="158">
        <v>2.5</v>
      </c>
      <c r="G2248" s="158">
        <v>37.12</v>
      </c>
    </row>
    <row r="2249" spans="1:7" ht="32.999496" customHeight="1" x14ac:dyDescent="0.15">
      <c r="A2249" s="158">
        <v>2247.0</v>
      </c>
      <c r="B2249" s="158" t="s">
        <v>4037</v>
      </c>
      <c r="C2249" s="158" t="s">
        <f>"德力和"</f>
        <v>4125</v>
      </c>
      <c r="D2249" s="158" t="s">
        <f>"15010323117"</f>
        <v>4126</v>
      </c>
      <c r="E2249" s="158" t="s">
        <v>15</v>
      </c>
      <c r="F2249" s="158">
        <v>2.5</v>
      </c>
      <c r="G2249" s="158" t="s">
        <v>15</v>
      </c>
    </row>
    <row r="2250" spans="1:7" ht="32.999496" customHeight="1" x14ac:dyDescent="0.15">
      <c r="A2250" s="158">
        <v>2248.0</v>
      </c>
      <c r="B2250" s="158" t="s">
        <v>4037</v>
      </c>
      <c r="C2250" s="158" t="s">
        <f>"奇了图"</f>
        <v>4127</v>
      </c>
      <c r="D2250" s="158" t="s">
        <f>"15010323118"</f>
        <v>4128</v>
      </c>
      <c r="E2250" s="158">
        <v>37.11</v>
      </c>
      <c r="F2250" s="158">
        <v>2.5</v>
      </c>
      <c r="G2250" s="158">
        <v>39.61</v>
      </c>
    </row>
    <row r="2251" spans="1:7" ht="32.999496" customHeight="1" x14ac:dyDescent="0.15">
      <c r="A2251" s="158">
        <v>2249.0</v>
      </c>
      <c r="B2251" s="158" t="s">
        <v>4037</v>
      </c>
      <c r="C2251" s="158" t="s">
        <f>"吉日格勒干"</f>
        <v>4129</v>
      </c>
      <c r="D2251" s="158" t="s">
        <f>"15010323119"</f>
        <v>4130</v>
      </c>
      <c r="E2251" s="158" t="s">
        <v>15</v>
      </c>
      <c r="F2251" s="158">
        <v>2.5</v>
      </c>
      <c r="G2251" s="158" t="s">
        <v>15</v>
      </c>
    </row>
    <row r="2252" spans="1:7" ht="32.999496" customHeight="1" x14ac:dyDescent="0.15">
      <c r="A2252" s="158">
        <v>2250.0</v>
      </c>
      <c r="B2252" s="158" t="s">
        <v>4037</v>
      </c>
      <c r="C2252" s="158" t="s">
        <f>"吉不呼嘎"</f>
        <v>4131</v>
      </c>
      <c r="D2252" s="158" t="s">
        <f>"15010323120"</f>
        <v>4132</v>
      </c>
      <c r="E2252" s="158">
        <v>45.46</v>
      </c>
      <c r="F2252" s="158">
        <v>2.5</v>
      </c>
      <c r="G2252" s="158">
        <v>47.96</v>
      </c>
    </row>
    <row r="2253" spans="1:7" ht="32.999496" customHeight="1" x14ac:dyDescent="0.15">
      <c r="A2253" s="158">
        <v>2251.0</v>
      </c>
      <c r="B2253" s="158" t="s">
        <v>4037</v>
      </c>
      <c r="C2253" s="158" t="s">
        <f>"达拉娜"</f>
        <v>4133</v>
      </c>
      <c r="D2253" s="158" t="s">
        <f>"15010323121"</f>
        <v>4134</v>
      </c>
      <c r="E2253" s="158" t="s">
        <v>15</v>
      </c>
      <c r="F2253" s="158">
        <v>2.5</v>
      </c>
      <c r="G2253" s="158" t="s">
        <v>15</v>
      </c>
    </row>
    <row r="2254" spans="1:7" ht="32.999496" customHeight="1" x14ac:dyDescent="0.15">
      <c r="A2254" s="158">
        <v>2252.0</v>
      </c>
      <c r="B2254" s="158" t="s">
        <v>4037</v>
      </c>
      <c r="C2254" s="158" t="s">
        <f>"郝祎玲"</f>
        <v>4135</v>
      </c>
      <c r="D2254" s="158" t="s">
        <f>"15010323122"</f>
        <v>4136</v>
      </c>
      <c r="E2254" s="158">
        <v>49.239999999999995</v>
      </c>
      <c r="F2254" s="158"/>
      <c r="G2254" s="158">
        <v>49.239999999999995</v>
      </c>
    </row>
    <row r="2255" spans="1:7" ht="32.999496" customHeight="1" x14ac:dyDescent="0.15">
      <c r="A2255" s="158">
        <v>2253.0</v>
      </c>
      <c r="B2255" s="158" t="s">
        <v>4037</v>
      </c>
      <c r="C2255" s="158" t="s">
        <f>"霞霞"</f>
        <v>4137</v>
      </c>
      <c r="D2255" s="158" t="s">
        <f>"15010323123"</f>
        <v>4138</v>
      </c>
      <c r="E2255" s="158">
        <v>52.83</v>
      </c>
      <c r="F2255" s="158">
        <v>2.5</v>
      </c>
      <c r="G2255" s="158">
        <v>55.33</v>
      </c>
    </row>
    <row r="2256" spans="1:7" ht="32.999496" customHeight="1" x14ac:dyDescent="0.15">
      <c r="A2256" s="158">
        <v>2254.0</v>
      </c>
      <c r="B2256" s="158" t="s">
        <v>4037</v>
      </c>
      <c r="C2256" s="158" t="s">
        <f>"都萨"</f>
        <v>4139</v>
      </c>
      <c r="D2256" s="158" t="s">
        <f>"15010323124"</f>
        <v>4140</v>
      </c>
      <c r="E2256" s="158">
        <v>40.239999999999995</v>
      </c>
      <c r="F2256" s="158">
        <v>2.5</v>
      </c>
      <c r="G2256" s="158">
        <v>42.739999999999995</v>
      </c>
    </row>
    <row r="2257" spans="1:7" ht="32.999496" customHeight="1" x14ac:dyDescent="0.15">
      <c r="A2257" s="158">
        <v>2255.0</v>
      </c>
      <c r="B2257" s="158" t="s">
        <v>4037</v>
      </c>
      <c r="C2257" s="158" t="s">
        <f>"额布乐"</f>
        <v>4141</v>
      </c>
      <c r="D2257" s="158" t="s">
        <f>"15010323125"</f>
        <v>4142</v>
      </c>
      <c r="E2257" s="158">
        <v>49.84</v>
      </c>
      <c r="F2257" s="158">
        <v>2.5</v>
      </c>
      <c r="G2257" s="158">
        <v>52.34</v>
      </c>
    </row>
    <row r="2258" spans="1:7" ht="32.999496" customHeight="1" x14ac:dyDescent="0.15">
      <c r="A2258" s="158">
        <v>2256.0</v>
      </c>
      <c r="B2258" s="158" t="s">
        <v>4037</v>
      </c>
      <c r="C2258" s="158" t="s">
        <f>"娜木日"</f>
        <v>4143</v>
      </c>
      <c r="D2258" s="158" t="s">
        <f>"15010323126"</f>
        <v>4144</v>
      </c>
      <c r="E2258" s="158">
        <v>38.010000000000005</v>
      </c>
      <c r="F2258" s="158">
        <v>2.5</v>
      </c>
      <c r="G2258" s="158">
        <v>40.510000000000005</v>
      </c>
    </row>
    <row r="2259" spans="1:7" ht="32.999496" customHeight="1" x14ac:dyDescent="0.15">
      <c r="A2259" s="158">
        <v>2257.0</v>
      </c>
      <c r="B2259" s="158" t="s">
        <v>4037</v>
      </c>
      <c r="C2259" s="158" t="s">
        <f>"珠拉"</f>
        <v>4145</v>
      </c>
      <c r="D2259" s="158" t="s">
        <f>"15010323127"</f>
        <v>4146</v>
      </c>
      <c r="E2259" s="158" t="s">
        <v>15</v>
      </c>
      <c r="F2259" s="158">
        <v>2.5</v>
      </c>
      <c r="G2259" s="158" t="s">
        <v>15</v>
      </c>
    </row>
    <row r="2260" spans="1:7" ht="32.999496" customHeight="1" x14ac:dyDescent="0.15">
      <c r="A2260" s="158">
        <v>2258.0</v>
      </c>
      <c r="B2260" s="158" t="s">
        <v>4037</v>
      </c>
      <c r="C2260" s="158" t="s">
        <f>"查苏娜"</f>
        <v>4147</v>
      </c>
      <c r="D2260" s="158" t="s">
        <f>"15010323128"</f>
        <v>4148</v>
      </c>
      <c r="E2260" s="158" t="s">
        <v>15</v>
      </c>
      <c r="F2260" s="158">
        <v>2.5</v>
      </c>
      <c r="G2260" s="158" t="s">
        <v>15</v>
      </c>
    </row>
    <row r="2261" spans="1:7" ht="32.999496" customHeight="1" x14ac:dyDescent="0.15">
      <c r="A2261" s="158">
        <v>2259.0</v>
      </c>
      <c r="B2261" s="158" t="s">
        <v>4037</v>
      </c>
      <c r="C2261" s="158" t="s">
        <f>"杨冬冬"</f>
        <v>4149</v>
      </c>
      <c r="D2261" s="158" t="s">
        <f>"15010323129"</f>
        <v>4150</v>
      </c>
      <c r="E2261" s="158">
        <v>45.83</v>
      </c>
      <c r="F2261" s="158">
        <v>2.5</v>
      </c>
      <c r="G2261" s="158">
        <v>48.33</v>
      </c>
    </row>
    <row r="2262" spans="1:7" ht="32.999496" customHeight="1" x14ac:dyDescent="0.15">
      <c r="A2262" s="158">
        <v>2260.0</v>
      </c>
      <c r="B2262" s="158" t="s">
        <v>4037</v>
      </c>
      <c r="C2262" s="158" t="s">
        <f>"奇保保"</f>
        <v>4151</v>
      </c>
      <c r="D2262" s="158" t="s">
        <f>"15010323130"</f>
        <v>4152</v>
      </c>
      <c r="E2262" s="158">
        <v>30.65</v>
      </c>
      <c r="F2262" s="158">
        <v>2.5</v>
      </c>
      <c r="G2262" s="158">
        <v>33.15</v>
      </c>
    </row>
    <row r="2263" spans="1:7" ht="32.999496" customHeight="1" x14ac:dyDescent="0.15">
      <c r="A2263" s="158">
        <v>2261.0</v>
      </c>
      <c r="B2263" s="158" t="s">
        <v>4037</v>
      </c>
      <c r="C2263" s="158" t="s">
        <f>"塔拉"</f>
        <v>4091</v>
      </c>
      <c r="D2263" s="158" t="s">
        <f>"15010323201"</f>
        <v>4153</v>
      </c>
      <c r="E2263" s="158">
        <v>36.92</v>
      </c>
      <c r="F2263" s="158">
        <v>2.5</v>
      </c>
      <c r="G2263" s="158">
        <v>39.42</v>
      </c>
    </row>
    <row r="2264" spans="1:7" ht="32.999496" customHeight="1" x14ac:dyDescent="0.15">
      <c r="A2264" s="158">
        <v>2262.0</v>
      </c>
      <c r="B2264" s="158" t="s">
        <v>4037</v>
      </c>
      <c r="C2264" s="158" t="s">
        <f>"娜仁托娅"</f>
        <v>4154</v>
      </c>
      <c r="D2264" s="158" t="s">
        <f>"15010323202"</f>
        <v>4155</v>
      </c>
      <c r="E2264" s="158">
        <v>54.35</v>
      </c>
      <c r="F2264" s="158">
        <v>2.5</v>
      </c>
      <c r="G2264" s="158">
        <v>56.85</v>
      </c>
    </row>
    <row r="2265" spans="1:7" ht="32.999496" customHeight="1" x14ac:dyDescent="0.15">
      <c r="A2265" s="158">
        <v>2263.0</v>
      </c>
      <c r="B2265" s="158" t="s">
        <v>4037</v>
      </c>
      <c r="C2265" s="158" t="s">
        <f>"格根塔娜"</f>
        <v>4156</v>
      </c>
      <c r="D2265" s="158" t="s">
        <f>"15010323203"</f>
        <v>4157</v>
      </c>
      <c r="E2265" s="158">
        <v>53.7</v>
      </c>
      <c r="F2265" s="158">
        <v>2.5</v>
      </c>
      <c r="G2265" s="158">
        <v>56.2</v>
      </c>
    </row>
    <row r="2266" spans="1:7" ht="32.999496" customHeight="1" x14ac:dyDescent="0.15">
      <c r="A2266" s="158">
        <v>2264.0</v>
      </c>
      <c r="B2266" s="158" t="s">
        <v>4037</v>
      </c>
      <c r="C2266" s="158" t="s">
        <f>"萨初日"</f>
        <v>4158</v>
      </c>
      <c r="D2266" s="158" t="s">
        <f>"15010323204"</f>
        <v>4159</v>
      </c>
      <c r="E2266" s="158">
        <v>48.35</v>
      </c>
      <c r="F2266" s="158">
        <v>2.5</v>
      </c>
      <c r="G2266" s="158">
        <v>50.85</v>
      </c>
    </row>
    <row r="2267" spans="1:7" ht="32.999496" customHeight="1" x14ac:dyDescent="0.15">
      <c r="A2267" s="158">
        <v>2265.0</v>
      </c>
      <c r="B2267" s="158" t="s">
        <v>4037</v>
      </c>
      <c r="C2267" s="158" t="s">
        <f>"南丁"</f>
        <v>2036</v>
      </c>
      <c r="D2267" s="158" t="s">
        <f>"15010323205"</f>
        <v>4160</v>
      </c>
      <c r="E2267" s="158">
        <v>61.76</v>
      </c>
      <c r="F2267" s="158">
        <v>2.5</v>
      </c>
      <c r="G2267" s="158">
        <v>64.25999999999999</v>
      </c>
    </row>
    <row r="2268" spans="1:7" ht="32.999496" customHeight="1" x14ac:dyDescent="0.15">
      <c r="A2268" s="158">
        <v>2266.0</v>
      </c>
      <c r="B2268" s="158" t="s">
        <v>4037</v>
      </c>
      <c r="C2268" s="158" t="s">
        <f>"奇沙娜"</f>
        <v>4161</v>
      </c>
      <c r="D2268" s="158" t="s">
        <f>"15010323206"</f>
        <v>4162</v>
      </c>
      <c r="E2268" s="158">
        <v>62.21</v>
      </c>
      <c r="F2268" s="158">
        <v>2.5</v>
      </c>
      <c r="G2268" s="158">
        <v>64.71000000000001</v>
      </c>
    </row>
    <row r="2269" spans="1:7" ht="32.999496" customHeight="1" x14ac:dyDescent="0.15">
      <c r="A2269" s="158">
        <v>2267.0</v>
      </c>
      <c r="B2269" s="158" t="s">
        <v>4037</v>
      </c>
      <c r="C2269" s="158" t="s">
        <f>"日瓦迪"</f>
        <v>1181</v>
      </c>
      <c r="D2269" s="158" t="s">
        <f>"15010323207"</f>
        <v>4163</v>
      </c>
      <c r="E2269" s="158" t="s">
        <v>15</v>
      </c>
      <c r="F2269" s="158">
        <v>2.5</v>
      </c>
      <c r="G2269" s="158" t="s">
        <v>15</v>
      </c>
    </row>
    <row r="2270" spans="1:7" ht="32.999496" customHeight="1" x14ac:dyDescent="0.15">
      <c r="A2270" s="158">
        <v>2268.0</v>
      </c>
      <c r="B2270" s="158" t="s">
        <v>4037</v>
      </c>
      <c r="C2270" s="158" t="s">
        <f>"额尔和木图"</f>
        <v>4164</v>
      </c>
      <c r="D2270" s="158" t="s">
        <f>"15010323208"</f>
        <v>4165</v>
      </c>
      <c r="E2270" s="158">
        <v>25.88</v>
      </c>
      <c r="F2270" s="158">
        <v>2.5</v>
      </c>
      <c r="G2270" s="158">
        <v>28.38</v>
      </c>
    </row>
    <row r="2271" spans="1:7" ht="32.999496" customHeight="1" x14ac:dyDescent="0.15">
      <c r="A2271" s="158">
        <v>2269.0</v>
      </c>
      <c r="B2271" s="158" t="s">
        <v>4037</v>
      </c>
      <c r="C2271" s="158" t="s">
        <f>"奇额尔德尼"</f>
        <v>4166</v>
      </c>
      <c r="D2271" s="158" t="s">
        <f>"15010323209"</f>
        <v>4167</v>
      </c>
      <c r="E2271" s="158" t="s">
        <v>15</v>
      </c>
      <c r="F2271" s="158">
        <v>2.5</v>
      </c>
      <c r="G2271" s="158" t="s">
        <v>15</v>
      </c>
    </row>
    <row r="2272" spans="1:7" ht="32.999496" customHeight="1" x14ac:dyDescent="0.15">
      <c r="A2272" s="158">
        <v>2270.0</v>
      </c>
      <c r="B2272" s="158" t="s">
        <v>4037</v>
      </c>
      <c r="C2272" s="158" t="s">
        <f>"道日娜"</f>
        <v>4168</v>
      </c>
      <c r="D2272" s="158" t="s">
        <f>"15010323210"</f>
        <v>4169</v>
      </c>
      <c r="E2272" s="158" t="s">
        <v>15</v>
      </c>
      <c r="F2272" s="158">
        <v>2.5</v>
      </c>
      <c r="G2272" s="158" t="s">
        <v>15</v>
      </c>
    </row>
    <row r="2273" spans="1:7" ht="32.999496" customHeight="1" x14ac:dyDescent="0.15">
      <c r="A2273" s="158">
        <v>2271.0</v>
      </c>
      <c r="B2273" s="158" t="s">
        <v>4037</v>
      </c>
      <c r="C2273" s="158" t="s">
        <f>"苏龙高娃"</f>
        <v>4170</v>
      </c>
      <c r="D2273" s="158" t="s">
        <f>"15010323211"</f>
        <v>4171</v>
      </c>
      <c r="E2273" s="158">
        <v>53.03</v>
      </c>
      <c r="F2273" s="158">
        <v>2.5</v>
      </c>
      <c r="G2273" s="158">
        <v>55.53</v>
      </c>
    </row>
    <row r="2274" spans="1:7" ht="32.999496" customHeight="1" x14ac:dyDescent="0.15">
      <c r="A2274" s="158">
        <v>2272.0</v>
      </c>
      <c r="B2274" s="158" t="s">
        <v>4037</v>
      </c>
      <c r="C2274" s="158" t="s">
        <f>"奇珠娜"</f>
        <v>4172</v>
      </c>
      <c r="D2274" s="158" t="s">
        <f>"15010323212"</f>
        <v>4173</v>
      </c>
      <c r="E2274" s="158" t="s">
        <v>15</v>
      </c>
      <c r="F2274" s="158">
        <v>2.5</v>
      </c>
      <c r="G2274" s="158" t="s">
        <v>15</v>
      </c>
    </row>
    <row r="2275" spans="1:7" ht="32.999496" customHeight="1" x14ac:dyDescent="0.15">
      <c r="A2275" s="158">
        <v>2273.0</v>
      </c>
      <c r="B2275" s="158" t="s">
        <v>4037</v>
      </c>
      <c r="C2275" s="158" t="s">
        <f>"珠澜"</f>
        <v>4174</v>
      </c>
      <c r="D2275" s="158" t="s">
        <f>"15010323213"</f>
        <v>4175</v>
      </c>
      <c r="E2275" s="158" t="s">
        <v>15</v>
      </c>
      <c r="F2275" s="158">
        <v>2.5</v>
      </c>
      <c r="G2275" s="158" t="s">
        <v>15</v>
      </c>
    </row>
    <row r="2276" spans="1:7" ht="32.999496" customHeight="1" x14ac:dyDescent="0.15">
      <c r="A2276" s="158">
        <v>2274.0</v>
      </c>
      <c r="B2276" s="158" t="s">
        <v>4037</v>
      </c>
      <c r="C2276" s="158" t="s">
        <f>"塔娜"</f>
        <v>3825</v>
      </c>
      <c r="D2276" s="158" t="s">
        <f>"15010323214"</f>
        <v>4176</v>
      </c>
      <c r="E2276" s="158">
        <v>47.64</v>
      </c>
      <c r="F2276" s="158">
        <v>2.5</v>
      </c>
      <c r="G2276" s="158">
        <v>50.14</v>
      </c>
    </row>
    <row r="2277" spans="1:7" ht="32.999496" customHeight="1" x14ac:dyDescent="0.15">
      <c r="A2277" s="158">
        <v>2275.0</v>
      </c>
      <c r="B2277" s="158" t="s">
        <v>4037</v>
      </c>
      <c r="C2277" s="158" t="s">
        <f>"查苏娜"</f>
        <v>4147</v>
      </c>
      <c r="D2277" s="158" t="s">
        <f>"15010323215"</f>
        <v>4177</v>
      </c>
      <c r="E2277" s="158">
        <v>56.82</v>
      </c>
      <c r="F2277" s="158">
        <v>2.5</v>
      </c>
      <c r="G2277" s="158">
        <v>59.32</v>
      </c>
    </row>
    <row r="2278" spans="1:7" ht="32.999496" customHeight="1" x14ac:dyDescent="0.15">
      <c r="A2278" s="158">
        <v>2276.0</v>
      </c>
      <c r="B2278" s="158" t="s">
        <v>4037</v>
      </c>
      <c r="C2278" s="158" t="s">
        <f>"王少楷"</f>
        <v>4178</v>
      </c>
      <c r="D2278" s="158" t="s">
        <f>"15010323216"</f>
        <v>4179</v>
      </c>
      <c r="E2278" s="158">
        <v>13.45</v>
      </c>
      <c r="F2278" s="158"/>
      <c r="G2278" s="158">
        <v>13.45</v>
      </c>
    </row>
    <row r="2279" spans="1:7" ht="32.999496" customHeight="1" x14ac:dyDescent="0.15">
      <c r="A2279" s="158">
        <v>2277.0</v>
      </c>
      <c r="B2279" s="158" t="s">
        <v>4037</v>
      </c>
      <c r="C2279" s="158" t="s">
        <f>"虹格尔朱拉"</f>
        <v>4180</v>
      </c>
      <c r="D2279" s="158" t="s">
        <f>"15010323217"</f>
        <v>4181</v>
      </c>
      <c r="E2279" s="158" t="s">
        <v>15</v>
      </c>
      <c r="F2279" s="158">
        <v>2.5</v>
      </c>
      <c r="G2279" s="158" t="s">
        <v>15</v>
      </c>
    </row>
    <row r="2280" spans="1:7" ht="32.999496" customHeight="1" x14ac:dyDescent="0.15">
      <c r="A2280" s="158">
        <v>2278.0</v>
      </c>
      <c r="B2280" s="158" t="s">
        <v>4037</v>
      </c>
      <c r="C2280" s="158" t="s">
        <f>"娜荷芽"</f>
        <v>4182</v>
      </c>
      <c r="D2280" s="158" t="s">
        <f>"15010323218"</f>
        <v>4183</v>
      </c>
      <c r="E2280" s="158" t="s">
        <v>15</v>
      </c>
      <c r="F2280" s="158">
        <v>2.5</v>
      </c>
      <c r="G2280" s="158" t="s">
        <v>15</v>
      </c>
    </row>
    <row r="2281" spans="1:7" ht="32.999496" customHeight="1" x14ac:dyDescent="0.15">
      <c r="A2281" s="158">
        <v>2279.0</v>
      </c>
      <c r="B2281" s="158" t="s">
        <v>4037</v>
      </c>
      <c r="C2281" s="158" t="s">
        <f>"达勇嘎"</f>
        <v>4184</v>
      </c>
      <c r="D2281" s="158" t="s">
        <f>"15010323219"</f>
        <v>4185</v>
      </c>
      <c r="E2281" s="158">
        <v>49.82</v>
      </c>
      <c r="F2281" s="158">
        <v>2.5</v>
      </c>
      <c r="G2281" s="158">
        <v>52.32</v>
      </c>
    </row>
    <row r="2282" spans="1:7" ht="32.999496" customHeight="1" x14ac:dyDescent="0.15">
      <c r="A2282" s="158">
        <v>2280.0</v>
      </c>
      <c r="B2282" s="158" t="s">
        <v>4037</v>
      </c>
      <c r="C2282" s="158" t="s">
        <f>"乌洞高娃"</f>
        <v>4186</v>
      </c>
      <c r="D2282" s="158" t="s">
        <f>"15010323220"</f>
        <v>4187</v>
      </c>
      <c r="E2282" s="158">
        <v>58.84</v>
      </c>
      <c r="F2282" s="158">
        <v>2.5</v>
      </c>
      <c r="G2282" s="158">
        <v>61.34</v>
      </c>
    </row>
    <row r="2283" spans="1:7" ht="32.999496" customHeight="1" x14ac:dyDescent="0.15">
      <c r="A2283" s="158">
        <v>2281.0</v>
      </c>
      <c r="B2283" s="158" t="s">
        <v>4037</v>
      </c>
      <c r="C2283" s="158" t="s">
        <f>"乌都巴勒"</f>
        <v>4188</v>
      </c>
      <c r="D2283" s="158" t="s">
        <f>"15010323221"</f>
        <v>4189</v>
      </c>
      <c r="E2283" s="158">
        <v>50.11</v>
      </c>
      <c r="F2283" s="158">
        <v>2.5</v>
      </c>
      <c r="G2283" s="158">
        <v>52.61</v>
      </c>
    </row>
    <row r="2284" spans="1:7" ht="32.999496" customHeight="1" x14ac:dyDescent="0.15">
      <c r="A2284" s="158">
        <v>2282.0</v>
      </c>
      <c r="B2284" s="158" t="s">
        <v>4037</v>
      </c>
      <c r="C2284" s="158" t="s">
        <f>"王红梅"</f>
        <v>4190</v>
      </c>
      <c r="D2284" s="158" t="s">
        <f>"15010323222"</f>
        <v>4191</v>
      </c>
      <c r="E2284" s="158" t="s">
        <v>15</v>
      </c>
      <c r="F2284" s="158">
        <v>2.5</v>
      </c>
      <c r="G2284" s="158" t="s">
        <v>15</v>
      </c>
    </row>
    <row r="2285" spans="1:7" ht="32.999496" customHeight="1" x14ac:dyDescent="0.15">
      <c r="A2285" s="158">
        <v>2283.0</v>
      </c>
      <c r="B2285" s="158" t="s">
        <v>4037</v>
      </c>
      <c r="C2285" s="158" t="s">
        <f>"新吉乐呼"</f>
        <v>4192</v>
      </c>
      <c r="D2285" s="158" t="s">
        <f>"15010323223"</f>
        <v>4193</v>
      </c>
      <c r="E2285" s="158">
        <v>48.19</v>
      </c>
      <c r="F2285" s="158">
        <v>2.5</v>
      </c>
      <c r="G2285" s="158">
        <v>50.69</v>
      </c>
    </row>
    <row r="2286" spans="1:7" ht="32.999496" customHeight="1" x14ac:dyDescent="0.15">
      <c r="A2286" s="158">
        <v>2284.0</v>
      </c>
      <c r="B2286" s="158" t="s">
        <v>4037</v>
      </c>
      <c r="C2286" s="158" t="s">
        <f>"苏和"</f>
        <v>4194</v>
      </c>
      <c r="D2286" s="158" t="s">
        <f>"15010323224"</f>
        <v>4195</v>
      </c>
      <c r="E2286" s="158">
        <v>57.980000000000004</v>
      </c>
      <c r="F2286" s="158">
        <v>2.5</v>
      </c>
      <c r="G2286" s="158">
        <v>60.480000000000004</v>
      </c>
    </row>
    <row r="2287" spans="1:7" ht="32.999496" customHeight="1" x14ac:dyDescent="0.15">
      <c r="A2287" s="158">
        <v>2285.0</v>
      </c>
      <c r="B2287" s="158" t="s">
        <v>4037</v>
      </c>
      <c r="C2287" s="158" t="s">
        <f>"王阿荣"</f>
        <v>4196</v>
      </c>
      <c r="D2287" s="158" t="s">
        <f>"15010323225"</f>
        <v>4197</v>
      </c>
      <c r="E2287" s="158">
        <v>49.17</v>
      </c>
      <c r="F2287" s="158">
        <v>2.5</v>
      </c>
      <c r="G2287" s="158">
        <v>51.67</v>
      </c>
    </row>
    <row r="2288" spans="1:7" ht="32.999496" customHeight="1" x14ac:dyDescent="0.15">
      <c r="A2288" s="158">
        <v>2286.0</v>
      </c>
      <c r="B2288" s="158" t="s">
        <v>4037</v>
      </c>
      <c r="C2288" s="158" t="s">
        <f>"道特桑"</f>
        <v>4198</v>
      </c>
      <c r="D2288" s="158" t="s">
        <f>"15010323226"</f>
        <v>4199</v>
      </c>
      <c r="E2288" s="158">
        <v>52.120000000000005</v>
      </c>
      <c r="F2288" s="158">
        <v>2.5</v>
      </c>
      <c r="G2288" s="158">
        <v>54.620000000000005</v>
      </c>
    </row>
    <row r="2289" spans="1:7" ht="32.999496" customHeight="1" x14ac:dyDescent="0.15">
      <c r="A2289" s="158">
        <v>2287.0</v>
      </c>
      <c r="B2289" s="158" t="s">
        <v>4037</v>
      </c>
      <c r="C2289" s="158" t="s">
        <f>"乌音嘎"</f>
        <v>4200</v>
      </c>
      <c r="D2289" s="158" t="s">
        <f>"15010323227"</f>
        <v>4201</v>
      </c>
      <c r="E2289" s="158">
        <v>52.31</v>
      </c>
      <c r="F2289" s="158">
        <v>2.5</v>
      </c>
      <c r="G2289" s="158">
        <v>54.81</v>
      </c>
    </row>
    <row r="2290" spans="1:7" ht="32.999496" customHeight="1" x14ac:dyDescent="0.15">
      <c r="A2290" s="158">
        <v>2288.0</v>
      </c>
      <c r="B2290" s="158" t="s">
        <v>4037</v>
      </c>
      <c r="C2290" s="158" t="s">
        <f>"阿日宾巴雅尔"</f>
        <v>4202</v>
      </c>
      <c r="D2290" s="158" t="s">
        <f>"15010323228"</f>
        <v>4203</v>
      </c>
      <c r="E2290" s="158">
        <v>49.8</v>
      </c>
      <c r="F2290" s="158">
        <v>2.5</v>
      </c>
      <c r="G2290" s="158">
        <v>52.3</v>
      </c>
    </row>
    <row r="2291" spans="1:7" ht="32.999496" customHeight="1" x14ac:dyDescent="0.15">
      <c r="A2291" s="158">
        <v>2289.0</v>
      </c>
      <c r="B2291" s="158" t="s">
        <v>4037</v>
      </c>
      <c r="C2291" s="158" t="s">
        <f>"杨图雅"</f>
        <v>4204</v>
      </c>
      <c r="D2291" s="158" t="s">
        <f>"15010323229"</f>
        <v>4205</v>
      </c>
      <c r="E2291" s="158">
        <v>60.83</v>
      </c>
      <c r="F2291" s="158">
        <v>2.5</v>
      </c>
      <c r="G2291" s="158">
        <v>63.33</v>
      </c>
    </row>
    <row r="2292" spans="1:7" ht="32.999496" customHeight="1" x14ac:dyDescent="0.15">
      <c r="A2292" s="158">
        <v>2290.0</v>
      </c>
      <c r="B2292" s="158" t="s">
        <v>4037</v>
      </c>
      <c r="C2292" s="158" t="s">
        <f>"葛瑛"</f>
        <v>4206</v>
      </c>
      <c r="D2292" s="158" t="s">
        <f>"15010323230"</f>
        <v>4207</v>
      </c>
      <c r="E2292" s="158">
        <v>45.15</v>
      </c>
      <c r="F2292" s="158">
        <v>2.5</v>
      </c>
      <c r="G2292" s="158">
        <v>47.65</v>
      </c>
    </row>
    <row r="2293" spans="1:7" ht="32.999496" customHeight="1" x14ac:dyDescent="0.15">
      <c r="A2293" s="158">
        <v>2291.0</v>
      </c>
      <c r="B2293" s="158" t="s">
        <v>4037</v>
      </c>
      <c r="C2293" s="158" t="s">
        <f>"娜钦"</f>
        <v>4208</v>
      </c>
      <c r="D2293" s="158" t="s">
        <f>"15010323301"</f>
        <v>4209</v>
      </c>
      <c r="E2293" s="158">
        <v>29.14</v>
      </c>
      <c r="F2293" s="158">
        <v>2.5</v>
      </c>
      <c r="G2293" s="158">
        <v>31.64</v>
      </c>
    </row>
    <row r="2294" spans="1:7" ht="32.999496" customHeight="1" x14ac:dyDescent="0.15">
      <c r="A2294" s="158">
        <v>2292.0</v>
      </c>
      <c r="B2294" s="158" t="s">
        <v>4037</v>
      </c>
      <c r="C2294" s="158" t="s">
        <f>"胡日查毕力格"</f>
        <v>4210</v>
      </c>
      <c r="D2294" s="158" t="s">
        <f>"15010323302"</f>
        <v>4211</v>
      </c>
      <c r="E2294" s="158">
        <v>24.39</v>
      </c>
      <c r="F2294" s="158">
        <v>2.5</v>
      </c>
      <c r="G2294" s="158">
        <v>26.89</v>
      </c>
    </row>
    <row r="2295" spans="1:7" ht="32.999496" customHeight="1" x14ac:dyDescent="0.15">
      <c r="A2295" s="158">
        <v>2293.0</v>
      </c>
      <c r="B2295" s="158" t="s">
        <v>4037</v>
      </c>
      <c r="C2295" s="158" t="s">
        <f>"托雅"</f>
        <v>4212</v>
      </c>
      <c r="D2295" s="158" t="s">
        <f>"15010323303"</f>
        <v>4213</v>
      </c>
      <c r="E2295" s="158">
        <v>47.3</v>
      </c>
      <c r="F2295" s="158">
        <v>2.5</v>
      </c>
      <c r="G2295" s="158">
        <v>49.8</v>
      </c>
    </row>
    <row r="2296" spans="1:7" ht="32.999496" customHeight="1" x14ac:dyDescent="0.15">
      <c r="A2296" s="158">
        <v>2294.0</v>
      </c>
      <c r="B2296" s="158" t="s">
        <v>4037</v>
      </c>
      <c r="C2296" s="158" t="s">
        <f>"扎登"</f>
        <v>4214</v>
      </c>
      <c r="D2296" s="158" t="s">
        <f>"15010323304"</f>
        <v>4215</v>
      </c>
      <c r="E2296" s="158">
        <v>54.39</v>
      </c>
      <c r="F2296" s="158">
        <v>2.5</v>
      </c>
      <c r="G2296" s="158">
        <v>56.89</v>
      </c>
    </row>
    <row r="2297" spans="1:7" ht="32.999496" customHeight="1" x14ac:dyDescent="0.15">
      <c r="A2297" s="158">
        <v>2295.0</v>
      </c>
      <c r="B2297" s="158" t="s">
        <v>4037</v>
      </c>
      <c r="C2297" s="158" t="s">
        <f>"苏和"</f>
        <v>4194</v>
      </c>
      <c r="D2297" s="158" t="s">
        <f>"15010323305"</f>
        <v>4216</v>
      </c>
      <c r="E2297" s="158">
        <v>46.7</v>
      </c>
      <c r="F2297" s="158">
        <v>2.5</v>
      </c>
      <c r="G2297" s="158">
        <v>49.2</v>
      </c>
    </row>
    <row r="2298" spans="1:7" ht="32.999496" customHeight="1" x14ac:dyDescent="0.15">
      <c r="A2298" s="158">
        <v>2296.0</v>
      </c>
      <c r="B2298" s="158" t="s">
        <v>4037</v>
      </c>
      <c r="C2298" s="158" t="s">
        <f>"钢胡日勒"</f>
        <v>4217</v>
      </c>
      <c r="D2298" s="158" t="s">
        <f>"15010323306"</f>
        <v>4218</v>
      </c>
      <c r="E2298" s="158" t="s">
        <v>15</v>
      </c>
      <c r="F2298" s="158">
        <v>2.5</v>
      </c>
      <c r="G2298" s="158" t="s">
        <v>15</v>
      </c>
    </row>
    <row r="2299" spans="1:7" ht="32.999496" customHeight="1" x14ac:dyDescent="0.15">
      <c r="A2299" s="158">
        <v>2297.0</v>
      </c>
      <c r="B2299" s="158" t="s">
        <v>4037</v>
      </c>
      <c r="C2299" s="158" t="s">
        <f>"额斯宁"</f>
        <v>4219</v>
      </c>
      <c r="D2299" s="158" t="s">
        <f>"15010323307"</f>
        <v>4220</v>
      </c>
      <c r="E2299" s="158" t="s">
        <v>15</v>
      </c>
      <c r="F2299" s="158">
        <v>2.5</v>
      </c>
      <c r="G2299" s="158" t="s">
        <v>15</v>
      </c>
    </row>
    <row r="2300" spans="1:7" ht="32.999496" customHeight="1" x14ac:dyDescent="0.15">
      <c r="A2300" s="158">
        <v>2298.0</v>
      </c>
      <c r="B2300" s="158" t="s">
        <v>4037</v>
      </c>
      <c r="C2300" s="158" t="s">
        <f>"包云鹤"</f>
        <v>4221</v>
      </c>
      <c r="D2300" s="158" t="s">
        <f>"15010323308"</f>
        <v>4222</v>
      </c>
      <c r="E2300" s="158">
        <v>52.66</v>
      </c>
      <c r="F2300" s="158">
        <v>2.5</v>
      </c>
      <c r="G2300" s="158">
        <v>55.16</v>
      </c>
    </row>
    <row r="2301" spans="1:7" ht="32.999496" customHeight="1" x14ac:dyDescent="0.15">
      <c r="A2301" s="158">
        <v>2299.0</v>
      </c>
      <c r="B2301" s="158" t="s">
        <v>4037</v>
      </c>
      <c r="C2301" s="158" t="s">
        <f>"色日古纳"</f>
        <v>4223</v>
      </c>
      <c r="D2301" s="158" t="s">
        <f>"15010323309"</f>
        <v>4224</v>
      </c>
      <c r="E2301" s="158">
        <v>24.69</v>
      </c>
      <c r="F2301" s="158">
        <v>2.5</v>
      </c>
      <c r="G2301" s="158">
        <v>27.19</v>
      </c>
    </row>
    <row r="2302" spans="1:7" ht="32.999496" customHeight="1" x14ac:dyDescent="0.15">
      <c r="A2302" s="158">
        <v>2300.0</v>
      </c>
      <c r="B2302" s="158" t="s">
        <v>4037</v>
      </c>
      <c r="C2302" s="158" t="s">
        <f>"额定达来"</f>
        <v>4225</v>
      </c>
      <c r="D2302" s="158" t="s">
        <f>"15010323310"</f>
        <v>4226</v>
      </c>
      <c r="E2302" s="158">
        <v>54.4</v>
      </c>
      <c r="F2302" s="158"/>
      <c r="G2302" s="158">
        <v>54.4</v>
      </c>
    </row>
    <row r="2303" spans="1:7" ht="32.999496" customHeight="1" x14ac:dyDescent="0.15">
      <c r="A2303" s="158">
        <v>2301.0</v>
      </c>
      <c r="B2303" s="158" t="s">
        <v>4037</v>
      </c>
      <c r="C2303" s="158" t="s">
        <f>"赛很"</f>
        <v>4227</v>
      </c>
      <c r="D2303" s="158" t="s">
        <f>"15010323311"</f>
        <v>4228</v>
      </c>
      <c r="E2303" s="158">
        <v>41.95</v>
      </c>
      <c r="F2303" s="158">
        <v>2.5</v>
      </c>
      <c r="G2303" s="158">
        <v>44.45</v>
      </c>
    </row>
    <row r="2304" spans="1:7" ht="32.999496" customHeight="1" x14ac:dyDescent="0.15">
      <c r="A2304" s="158">
        <v>2302.0</v>
      </c>
      <c r="B2304" s="158" t="s">
        <v>4037</v>
      </c>
      <c r="C2304" s="158" t="s">
        <f>"巴嘎那"</f>
        <v>4229</v>
      </c>
      <c r="D2304" s="158" t="s">
        <f>"15010323312"</f>
        <v>4230</v>
      </c>
      <c r="E2304" s="158">
        <v>46.47</v>
      </c>
      <c r="F2304" s="158">
        <v>2.5</v>
      </c>
      <c r="G2304" s="158">
        <v>48.97</v>
      </c>
    </row>
    <row r="2305" spans="1:7" ht="32.999496" customHeight="1" x14ac:dyDescent="0.15">
      <c r="A2305" s="158">
        <v>2303.0</v>
      </c>
      <c r="B2305" s="158" t="s">
        <v>4037</v>
      </c>
      <c r="C2305" s="158" t="s">
        <f>"乌云塔娜"</f>
        <v>4231</v>
      </c>
      <c r="D2305" s="158" t="s">
        <f>"15010323313"</f>
        <v>4232</v>
      </c>
      <c r="E2305" s="158" t="s">
        <v>15</v>
      </c>
      <c r="F2305" s="158">
        <v>2.5</v>
      </c>
      <c r="G2305" s="158" t="s">
        <v>15</v>
      </c>
    </row>
    <row r="2306" spans="1:7" ht="32.999496" customHeight="1" x14ac:dyDescent="0.15">
      <c r="A2306" s="158">
        <v>2304.0</v>
      </c>
      <c r="B2306" s="158" t="s">
        <v>4037</v>
      </c>
      <c r="C2306" s="158" t="s">
        <f>"俄勒钦"</f>
        <v>4233</v>
      </c>
      <c r="D2306" s="158" t="s">
        <f>"15010323314"</f>
        <v>4234</v>
      </c>
      <c r="E2306" s="158" t="s">
        <v>15</v>
      </c>
      <c r="F2306" s="158">
        <v>2.5</v>
      </c>
      <c r="G2306" s="158" t="s">
        <v>15</v>
      </c>
    </row>
    <row r="2307" spans="1:7" ht="32.999496" customHeight="1" x14ac:dyDescent="0.15">
      <c r="A2307" s="158">
        <v>2305.0</v>
      </c>
      <c r="B2307" s="158" t="s">
        <v>4037</v>
      </c>
      <c r="C2307" s="158" t="s">
        <f>"傲日其劳"</f>
        <v>4235</v>
      </c>
      <c r="D2307" s="158" t="s">
        <f>"15010323315"</f>
        <v>4236</v>
      </c>
      <c r="E2307" s="158">
        <v>47.75</v>
      </c>
      <c r="F2307" s="158">
        <v>2.5</v>
      </c>
      <c r="G2307" s="158">
        <v>50.25</v>
      </c>
    </row>
    <row r="2308" spans="1:7" ht="32.999496" customHeight="1" x14ac:dyDescent="0.15">
      <c r="A2308" s="158">
        <v>2306.0</v>
      </c>
      <c r="B2308" s="158" t="s">
        <v>4037</v>
      </c>
      <c r="C2308" s="158" t="s">
        <f>"敖日其楞"</f>
        <v>4237</v>
      </c>
      <c r="D2308" s="158" t="s">
        <f>"15010323316"</f>
        <v>4238</v>
      </c>
      <c r="E2308" s="158">
        <v>46.89</v>
      </c>
      <c r="F2308" s="158">
        <v>2.5</v>
      </c>
      <c r="G2308" s="158">
        <v>49.39</v>
      </c>
    </row>
    <row r="2309" spans="1:7" ht="32.999496" customHeight="1" x14ac:dyDescent="0.15">
      <c r="A2309" s="158">
        <v>2307.0</v>
      </c>
      <c r="B2309" s="158" t="s">
        <v>4037</v>
      </c>
      <c r="C2309" s="158" t="s">
        <f>"娜庆"</f>
        <v>4239</v>
      </c>
      <c r="D2309" s="158" t="s">
        <f>"15010323317"</f>
        <v>4240</v>
      </c>
      <c r="E2309" s="158" t="s">
        <v>15</v>
      </c>
      <c r="F2309" s="158">
        <v>2.5</v>
      </c>
      <c r="G2309" s="158" t="s">
        <v>15</v>
      </c>
    </row>
    <row r="2310" spans="1:7" ht="32.999496" customHeight="1" x14ac:dyDescent="0.15">
      <c r="A2310" s="158">
        <v>2308.0</v>
      </c>
      <c r="B2310" s="158" t="s">
        <v>4037</v>
      </c>
      <c r="C2310" s="158" t="s">
        <f>"其格乐"</f>
        <v>4241</v>
      </c>
      <c r="D2310" s="158" t="s">
        <f>"15010323318"</f>
        <v>4242</v>
      </c>
      <c r="E2310" s="158">
        <v>47.78</v>
      </c>
      <c r="F2310" s="158">
        <v>2.5</v>
      </c>
      <c r="G2310" s="158">
        <v>50.28</v>
      </c>
    </row>
    <row r="2311" spans="1:7" ht="32.999496" customHeight="1" x14ac:dyDescent="0.15">
      <c r="A2311" s="158">
        <v>2309.0</v>
      </c>
      <c r="B2311" s="158" t="s">
        <v>4037</v>
      </c>
      <c r="C2311" s="158" t="s">
        <f>"满都娜"</f>
        <v>4243</v>
      </c>
      <c r="D2311" s="158" t="s">
        <f>"15010323319"</f>
        <v>4244</v>
      </c>
      <c r="E2311" s="158">
        <v>43.72</v>
      </c>
      <c r="F2311" s="158">
        <v>2.5</v>
      </c>
      <c r="G2311" s="158">
        <v>46.22</v>
      </c>
    </row>
    <row r="2312" spans="1:7" ht="32.999496" customHeight="1" x14ac:dyDescent="0.15">
      <c r="A2312" s="158">
        <v>2310.0</v>
      </c>
      <c r="B2312" s="158" t="s">
        <v>4037</v>
      </c>
      <c r="C2312" s="158" t="s">
        <f>"布日瓦斯"</f>
        <v>4245</v>
      </c>
      <c r="D2312" s="158" t="s">
        <f>"15010323320"</f>
        <v>4246</v>
      </c>
      <c r="E2312" s="158">
        <v>19.89</v>
      </c>
      <c r="F2312" s="158">
        <v>2.5</v>
      </c>
      <c r="G2312" s="158">
        <v>22.39</v>
      </c>
    </row>
    <row r="2313" spans="1:7" ht="32.999496" customHeight="1" x14ac:dyDescent="0.15">
      <c r="A2313" s="158">
        <v>2311.0</v>
      </c>
      <c r="B2313" s="158" t="s">
        <v>4037</v>
      </c>
      <c r="C2313" s="158" t="s">
        <f>"那仁达来"</f>
        <v>4247</v>
      </c>
      <c r="D2313" s="158" t="s">
        <f>"15010323321"</f>
        <v>4248</v>
      </c>
      <c r="E2313" s="158">
        <v>57.45</v>
      </c>
      <c r="F2313" s="158">
        <v>2.5</v>
      </c>
      <c r="G2313" s="158">
        <v>59.95</v>
      </c>
    </row>
    <row r="2314" spans="1:7" ht="32.999496" customHeight="1" x14ac:dyDescent="0.15">
      <c r="A2314" s="158">
        <v>2312.0</v>
      </c>
      <c r="B2314" s="158" t="s">
        <v>4037</v>
      </c>
      <c r="C2314" s="158" t="s">
        <f>"阿米楞"</f>
        <v>4249</v>
      </c>
      <c r="D2314" s="158" t="s">
        <f>"15010323322"</f>
        <v>4250</v>
      </c>
      <c r="E2314" s="158">
        <v>40.86</v>
      </c>
      <c r="F2314" s="158">
        <v>2.5</v>
      </c>
      <c r="G2314" s="158">
        <v>43.36</v>
      </c>
    </row>
    <row r="2315" spans="1:7" ht="32.999496" customHeight="1" x14ac:dyDescent="0.15">
      <c r="A2315" s="158">
        <v>2313.0</v>
      </c>
      <c r="B2315" s="158" t="s">
        <v>4037</v>
      </c>
      <c r="C2315" s="158" t="s">
        <f>"海龙"</f>
        <v>4251</v>
      </c>
      <c r="D2315" s="158" t="s">
        <f>"15010323323"</f>
        <v>4252</v>
      </c>
      <c r="E2315" s="158" t="s">
        <v>15</v>
      </c>
      <c r="F2315" s="158">
        <v>2.5</v>
      </c>
      <c r="G2315" s="158" t="s">
        <v>15</v>
      </c>
    </row>
    <row r="2316" spans="1:7" ht="32.999496" customHeight="1" x14ac:dyDescent="0.15">
      <c r="A2316" s="158">
        <v>2314.0</v>
      </c>
      <c r="B2316" s="158" t="s">
        <v>4037</v>
      </c>
      <c r="C2316" s="158" t="s">
        <f>"嘎日德"</f>
        <v>4253</v>
      </c>
      <c r="D2316" s="158" t="s">
        <f>"15010323324"</f>
        <v>4254</v>
      </c>
      <c r="E2316" s="158">
        <v>48.96</v>
      </c>
      <c r="F2316" s="158">
        <v>2.5</v>
      </c>
      <c r="G2316" s="158">
        <v>51.46</v>
      </c>
    </row>
    <row r="2317" spans="1:7" ht="32.999496" customHeight="1" x14ac:dyDescent="0.15">
      <c r="A2317" s="158">
        <v>2315.0</v>
      </c>
      <c r="B2317" s="158" t="s">
        <v>4037</v>
      </c>
      <c r="C2317" s="158" t="s">
        <f>"道日娜"</f>
        <v>4168</v>
      </c>
      <c r="D2317" s="158" t="s">
        <f>"15010323325"</f>
        <v>4255</v>
      </c>
      <c r="E2317" s="158">
        <v>59.58</v>
      </c>
      <c r="F2317" s="158">
        <v>2.5</v>
      </c>
      <c r="G2317" s="158">
        <v>62.08</v>
      </c>
    </row>
    <row r="2318" spans="1:7" ht="32.999496" customHeight="1" x14ac:dyDescent="0.15">
      <c r="A2318" s="158">
        <v>2316.0</v>
      </c>
      <c r="B2318" s="158" t="s">
        <v>4037</v>
      </c>
      <c r="C2318" s="158" t="s">
        <f>"杨富宏"</f>
        <v>4256</v>
      </c>
      <c r="D2318" s="158" t="s">
        <f>"15010323326"</f>
        <v>4257</v>
      </c>
      <c r="E2318" s="158">
        <v>40.4</v>
      </c>
      <c r="F2318" s="158">
        <v>2.5</v>
      </c>
      <c r="G2318" s="158">
        <v>42.9</v>
      </c>
    </row>
    <row r="2319" spans="1:7" ht="32.999496" customHeight="1" x14ac:dyDescent="0.15">
      <c r="A2319" s="158">
        <v>2317.0</v>
      </c>
      <c r="B2319" s="158" t="s">
        <v>4037</v>
      </c>
      <c r="C2319" s="158" t="s">
        <f>"达茹汗"</f>
        <v>4258</v>
      </c>
      <c r="D2319" s="158" t="s">
        <f>"15010323327"</f>
        <v>4259</v>
      </c>
      <c r="E2319" s="158" t="s">
        <v>15</v>
      </c>
      <c r="F2319" s="158">
        <v>2.5</v>
      </c>
      <c r="G2319" s="158" t="s">
        <v>15</v>
      </c>
    </row>
    <row r="2320" spans="1:7" ht="32.999496" customHeight="1" x14ac:dyDescent="0.15">
      <c r="A2320" s="158">
        <v>2318.0</v>
      </c>
      <c r="B2320" s="158" t="s">
        <v>4037</v>
      </c>
      <c r="C2320" s="158" t="s">
        <f>"乌日娜"</f>
        <v>1981</v>
      </c>
      <c r="D2320" s="158" t="s">
        <f>"15010323328"</f>
        <v>4260</v>
      </c>
      <c r="E2320" s="158" t="s">
        <v>15</v>
      </c>
      <c r="F2320" s="158">
        <v>2.5</v>
      </c>
      <c r="G2320" s="158" t="s">
        <v>15</v>
      </c>
    </row>
    <row r="2321" spans="1:7" ht="32.999496" customHeight="1" x14ac:dyDescent="0.15">
      <c r="A2321" s="158">
        <v>2319.0</v>
      </c>
      <c r="B2321" s="158" t="s">
        <v>4037</v>
      </c>
      <c r="C2321" s="158" t="s">
        <f>"沙如拉"</f>
        <v>4261</v>
      </c>
      <c r="D2321" s="158" t="s">
        <f>"15010323329"</f>
        <v>4262</v>
      </c>
      <c r="E2321" s="158">
        <v>46.129999999999995</v>
      </c>
      <c r="F2321" s="158">
        <v>2.5</v>
      </c>
      <c r="G2321" s="158">
        <v>48.629999999999995</v>
      </c>
    </row>
    <row r="2322" spans="1:7" ht="32.999496" customHeight="1" x14ac:dyDescent="0.15">
      <c r="A2322" s="158">
        <v>2320.0</v>
      </c>
      <c r="B2322" s="158" t="s">
        <v>4037</v>
      </c>
      <c r="C2322" s="158" t="s">
        <f>"苏日古格"</f>
        <v>4263</v>
      </c>
      <c r="D2322" s="158" t="s">
        <f>"15010323330"</f>
        <v>4264</v>
      </c>
      <c r="E2322" s="158">
        <v>51.65</v>
      </c>
      <c r="F2322" s="158">
        <v>2.5</v>
      </c>
      <c r="G2322" s="158">
        <v>54.15</v>
      </c>
    </row>
    <row r="2323" spans="1:7" ht="32.999496" customHeight="1" x14ac:dyDescent="0.15">
      <c r="A2323" s="158">
        <v>2321.0</v>
      </c>
      <c r="B2323" s="158" t="s">
        <v>4037</v>
      </c>
      <c r="C2323" s="158" t="s">
        <f>"哈斯毕力格"</f>
        <v>4265</v>
      </c>
      <c r="D2323" s="158" t="s">
        <f>"15010323401"</f>
        <v>4266</v>
      </c>
      <c r="E2323" s="158" t="s">
        <v>15</v>
      </c>
      <c r="F2323" s="158">
        <v>2.5</v>
      </c>
      <c r="G2323" s="158" t="s">
        <v>15</v>
      </c>
    </row>
    <row r="2324" spans="1:7" ht="32.999496" customHeight="1" x14ac:dyDescent="0.15">
      <c r="A2324" s="158">
        <v>2322.0</v>
      </c>
      <c r="B2324" s="158" t="s">
        <v>4037</v>
      </c>
      <c r="C2324" s="158" t="s">
        <f>"吉仁毕力格"</f>
        <v>4267</v>
      </c>
      <c r="D2324" s="158" t="s">
        <f>"15010323402"</f>
        <v>4268</v>
      </c>
      <c r="E2324" s="158">
        <v>39.239999999999995</v>
      </c>
      <c r="F2324" s="158">
        <v>2.5</v>
      </c>
      <c r="G2324" s="158">
        <v>41.739999999999995</v>
      </c>
    </row>
    <row r="2325" spans="1:7" ht="32.999496" customHeight="1" x14ac:dyDescent="0.15">
      <c r="A2325" s="158">
        <v>2323.0</v>
      </c>
      <c r="B2325" s="158" t="s">
        <v>4037</v>
      </c>
      <c r="C2325" s="158" t="s">
        <f>"楠定苏和"</f>
        <v>4269</v>
      </c>
      <c r="D2325" s="158" t="s">
        <f>"15010323403"</f>
        <v>4270</v>
      </c>
      <c r="E2325" s="158" t="s">
        <v>15</v>
      </c>
      <c r="F2325" s="158">
        <v>2.5</v>
      </c>
      <c r="G2325" s="158" t="s">
        <v>15</v>
      </c>
    </row>
    <row r="2326" spans="1:7" ht="32.999496" customHeight="1" x14ac:dyDescent="0.15">
      <c r="A2326" s="158">
        <v>2324.0</v>
      </c>
      <c r="B2326" s="158" t="s">
        <v>4037</v>
      </c>
      <c r="C2326" s="158" t="s">
        <f>"特日格乐"</f>
        <v>4071</v>
      </c>
      <c r="D2326" s="158" t="s">
        <f>"15010323404"</f>
        <v>4271</v>
      </c>
      <c r="E2326" s="158" t="s">
        <v>15</v>
      </c>
      <c r="F2326" s="158">
        <v>2.5</v>
      </c>
      <c r="G2326" s="158" t="s">
        <v>15</v>
      </c>
    </row>
    <row r="2327" spans="1:7" ht="32.999496" customHeight="1" x14ac:dyDescent="0.15">
      <c r="A2327" s="158">
        <v>2325.0</v>
      </c>
      <c r="B2327" s="158" t="s">
        <v>4037</v>
      </c>
      <c r="C2327" s="158" t="s">
        <f>"哈布日"</f>
        <v>4272</v>
      </c>
      <c r="D2327" s="158" t="s">
        <f>"15010323405"</f>
        <v>4273</v>
      </c>
      <c r="E2327" s="158">
        <v>30.62</v>
      </c>
      <c r="F2327" s="158">
        <v>2.5</v>
      </c>
      <c r="G2327" s="158">
        <v>33.120000000000005</v>
      </c>
    </row>
    <row r="2328" spans="1:7" ht="32.999496" customHeight="1" x14ac:dyDescent="0.15">
      <c r="A2328" s="158">
        <v>2326.0</v>
      </c>
      <c r="B2328" s="158" t="s">
        <v>4037</v>
      </c>
      <c r="C2328" s="158" t="s">
        <f>"扎拉哈"</f>
        <v>4274</v>
      </c>
      <c r="D2328" s="158" t="s">
        <f>"15010323406"</f>
        <v>4275</v>
      </c>
      <c r="E2328" s="158">
        <v>48.39</v>
      </c>
      <c r="F2328" s="158">
        <v>2.5</v>
      </c>
      <c r="G2328" s="158">
        <v>50.89</v>
      </c>
    </row>
    <row r="2329" spans="1:7" ht="32.999496" customHeight="1" x14ac:dyDescent="0.15">
      <c r="A2329" s="158">
        <v>2327.0</v>
      </c>
      <c r="B2329" s="158" t="s">
        <v>4037</v>
      </c>
      <c r="C2329" s="158" t="s">
        <f>"阿伊娜"</f>
        <v>4276</v>
      </c>
      <c r="D2329" s="158" t="s">
        <f>"15010323407"</f>
        <v>4277</v>
      </c>
      <c r="E2329" s="158" t="s">
        <v>15</v>
      </c>
      <c r="F2329" s="158">
        <v>2.5</v>
      </c>
      <c r="G2329" s="158" t="s">
        <v>15</v>
      </c>
    </row>
    <row r="2330" spans="1:7" ht="32.999496" customHeight="1" x14ac:dyDescent="0.15">
      <c r="A2330" s="158">
        <v>2328.0</v>
      </c>
      <c r="B2330" s="158" t="s">
        <v>4037</v>
      </c>
      <c r="C2330" s="158" t="s">
        <f>"乌日斯哈拉"</f>
        <v>4278</v>
      </c>
      <c r="D2330" s="158" t="s">
        <f>"15010323408"</f>
        <v>4279</v>
      </c>
      <c r="E2330" s="158" t="s">
        <v>15</v>
      </c>
      <c r="F2330" s="158">
        <v>2.5</v>
      </c>
      <c r="G2330" s="158" t="s">
        <v>15</v>
      </c>
    </row>
    <row r="2331" spans="1:7" ht="32.999496" customHeight="1" x14ac:dyDescent="0.15">
      <c r="A2331" s="158">
        <v>2329.0</v>
      </c>
      <c r="B2331" s="158" t="s">
        <v>4037</v>
      </c>
      <c r="C2331" s="158" t="s">
        <f>"扎嘎尔"</f>
        <v>4280</v>
      </c>
      <c r="D2331" s="158" t="s">
        <f>"15010323409"</f>
        <v>4281</v>
      </c>
      <c r="E2331" s="158" t="s">
        <v>15</v>
      </c>
      <c r="F2331" s="158">
        <v>2.5</v>
      </c>
      <c r="G2331" s="158" t="s">
        <v>15</v>
      </c>
    </row>
    <row r="2332" spans="1:7" ht="32.999496" customHeight="1" x14ac:dyDescent="0.15">
      <c r="A2332" s="158">
        <v>2330.0</v>
      </c>
      <c r="B2332" s="158" t="s">
        <v>4037</v>
      </c>
      <c r="C2332" s="158" t="s">
        <f>"托娜拉"</f>
        <v>4282</v>
      </c>
      <c r="D2332" s="158" t="s">
        <f>"15010323410"</f>
        <v>4283</v>
      </c>
      <c r="E2332" s="158">
        <v>23.68</v>
      </c>
      <c r="F2332" s="158">
        <v>2.5</v>
      </c>
      <c r="G2332" s="158">
        <v>26.18</v>
      </c>
    </row>
    <row r="2333" spans="1:7" ht="32.999496" customHeight="1" x14ac:dyDescent="0.15">
      <c r="A2333" s="158">
        <v>2331.0</v>
      </c>
      <c r="B2333" s="158" t="s">
        <v>4037</v>
      </c>
      <c r="C2333" s="158" t="s">
        <f>"昌汗其劳"</f>
        <v>4284</v>
      </c>
      <c r="D2333" s="158" t="s">
        <f>"15010323411"</f>
        <v>4285</v>
      </c>
      <c r="E2333" s="158">
        <v>43.620000000000005</v>
      </c>
      <c r="F2333" s="158">
        <v>2.5</v>
      </c>
      <c r="G2333" s="158">
        <v>46.120000000000005</v>
      </c>
    </row>
  </sheetData>
  <mergeCells count="1">
    <mergeCell ref="A1:G1"/>
  </mergeCells>
  <phoneticPr fontId="0" type="noConversion"/>
  <pageMargins left="1.247760630029393" right="1.247760630029393" top="0.9998749560258521" bottom="0.9998749560258521" header="0.49993747801292604" footer="0.49993747801292604"/>
  <pageSetup paperSize="9"/>
</worksheet>
</file>

<file path=docProps/app.xml><?xml version="1.0" encoding="utf-8"?>
<Properties xmlns="http://schemas.openxmlformats.org/officeDocument/2006/extended-properties">
  <Template>Normal.eit</Template>
  <TotalTime>74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Lenovo</cp:lastModifiedBy>
  <cp:revision>0</cp:revision>
  <cp:lastPrinted>2021-03-01T08:24:39Z</cp:lastPrinted>
  <dcterms:created xsi:type="dcterms:W3CDTF">2021-02-22T15:42:25Z</dcterms:created>
  <dcterms:modified xsi:type="dcterms:W3CDTF">2021-03-01T09:21:29Z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2052-9.1.0.4472</vt:lpwstr>
  </property>
</Properties>
</file>