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10" windowHeight="12540" activeTab="1"/>
  </bookViews>
  <sheets>
    <sheet name="8月8日（其他岗位）" sheetId="2" r:id="rId1"/>
    <sheet name="8月9日（05-08岗位）" sheetId="1" r:id="rId2"/>
  </sheets>
  <definedNames>
    <definedName name="_xlnm._FilterDatabase" localSheetId="1" hidden="1">'8月9日（05-08岗位）'!$A$1:$E$1</definedName>
  </definedNames>
  <calcPr calcId="144525"/>
</workbook>
</file>

<file path=xl/sharedStrings.xml><?xml version="1.0" encoding="utf-8"?>
<sst xmlns="http://schemas.openxmlformats.org/spreadsheetml/2006/main" count="3009" uniqueCount="525">
  <si>
    <t>准考证号</t>
  </si>
  <si>
    <t>报考岗位</t>
  </si>
  <si>
    <t>考场号</t>
  </si>
  <si>
    <t>座位号</t>
  </si>
  <si>
    <t>分数</t>
  </si>
  <si>
    <t>2020010101</t>
  </si>
  <si>
    <t>202001_临床岗位</t>
  </si>
  <si>
    <t>2020010102</t>
  </si>
  <si>
    <t>2020010103</t>
  </si>
  <si>
    <t>2020010104</t>
  </si>
  <si>
    <t>2020010105</t>
  </si>
  <si>
    <t>2020010106</t>
  </si>
  <si>
    <t>2020010107</t>
  </si>
  <si>
    <t>2020010108</t>
  </si>
  <si>
    <t>2020010109</t>
  </si>
  <si>
    <t>2020010110</t>
  </si>
  <si>
    <t>缺考</t>
  </si>
  <si>
    <t>2020010111</t>
  </si>
  <si>
    <t>2020010112</t>
  </si>
  <si>
    <t>2020010113</t>
  </si>
  <si>
    <t>2020010114</t>
  </si>
  <si>
    <t>2020010115</t>
  </si>
  <si>
    <t>2020010116</t>
  </si>
  <si>
    <t>2020010117</t>
  </si>
  <si>
    <t>2020010118</t>
  </si>
  <si>
    <t>2020010119</t>
  </si>
  <si>
    <t>2020010120</t>
  </si>
  <si>
    <t>2020010121</t>
  </si>
  <si>
    <t>2020010122</t>
  </si>
  <si>
    <t>2020010123</t>
  </si>
  <si>
    <t>2020010124</t>
  </si>
  <si>
    <t>2020010125</t>
  </si>
  <si>
    <t>2020010126</t>
  </si>
  <si>
    <t>2020010127</t>
  </si>
  <si>
    <t>2020010128</t>
  </si>
  <si>
    <t>2020010129</t>
  </si>
  <si>
    <t>2020010130</t>
  </si>
  <si>
    <t>2020010201</t>
  </si>
  <si>
    <t>2020010202</t>
  </si>
  <si>
    <t>2020010203</t>
  </si>
  <si>
    <t>2020010204</t>
  </si>
  <si>
    <t>2020010205</t>
  </si>
  <si>
    <t>2020010206</t>
  </si>
  <si>
    <t>2020010207</t>
  </si>
  <si>
    <t>2020010208</t>
  </si>
  <si>
    <t>2020010209</t>
  </si>
  <si>
    <t>2020010210</t>
  </si>
  <si>
    <t>2020010211</t>
  </si>
  <si>
    <t>202002_临床岗位</t>
  </si>
  <si>
    <t>2020010212</t>
  </si>
  <si>
    <t>2020010213</t>
  </si>
  <si>
    <t>2020010214</t>
  </si>
  <si>
    <t>2020010215</t>
  </si>
  <si>
    <t>2020010216</t>
  </si>
  <si>
    <t>2020010217</t>
  </si>
  <si>
    <t>2020010218</t>
  </si>
  <si>
    <t>2020010219</t>
  </si>
  <si>
    <t>2020010220</t>
  </si>
  <si>
    <t>2020010221</t>
  </si>
  <si>
    <t>2020010222</t>
  </si>
  <si>
    <t>2020010223</t>
  </si>
  <si>
    <t>2020010224</t>
  </si>
  <si>
    <t>2020010225</t>
  </si>
  <si>
    <t>2020010226</t>
  </si>
  <si>
    <t>2020010227</t>
  </si>
  <si>
    <t>2020010228</t>
  </si>
  <si>
    <t>2020010229</t>
  </si>
  <si>
    <t>2020010230</t>
  </si>
  <si>
    <t>2020010301</t>
  </si>
  <si>
    <t>2020010302</t>
  </si>
  <si>
    <t>202004_临床岗位</t>
  </si>
  <si>
    <t>2020010303</t>
  </si>
  <si>
    <t>2020010304</t>
  </si>
  <si>
    <t>2020010305</t>
  </si>
  <si>
    <t>2020010306</t>
  </si>
  <si>
    <t>2020010307</t>
  </si>
  <si>
    <t>2020010308</t>
  </si>
  <si>
    <t>2020010309</t>
  </si>
  <si>
    <t>2020010310</t>
  </si>
  <si>
    <t>2020010311</t>
  </si>
  <si>
    <t>2020010312</t>
  </si>
  <si>
    <t>202009_康复治疗岗位</t>
  </si>
  <si>
    <t>2020010313</t>
  </si>
  <si>
    <t>2020010314</t>
  </si>
  <si>
    <t>2020010315</t>
  </si>
  <si>
    <t>2020010316</t>
  </si>
  <si>
    <t>2020010317</t>
  </si>
  <si>
    <t>2020010318</t>
  </si>
  <si>
    <t>2020010319</t>
  </si>
  <si>
    <t>2020010320</t>
  </si>
  <si>
    <t>2020010321</t>
  </si>
  <si>
    <t>2020010322</t>
  </si>
  <si>
    <t>2020010323</t>
  </si>
  <si>
    <t>2020010324</t>
  </si>
  <si>
    <t>2020010325</t>
  </si>
  <si>
    <t>2020010326</t>
  </si>
  <si>
    <t>2020010327</t>
  </si>
  <si>
    <t>2020010328</t>
  </si>
  <si>
    <t>2020010329</t>
  </si>
  <si>
    <t>2020010330</t>
  </si>
  <si>
    <t>2020010401</t>
  </si>
  <si>
    <t>2020010402</t>
  </si>
  <si>
    <t>2020010403</t>
  </si>
  <si>
    <t>2020010404</t>
  </si>
  <si>
    <t>2020010405</t>
  </si>
  <si>
    <t>2020010406</t>
  </si>
  <si>
    <t>2020010407</t>
  </si>
  <si>
    <t>2020010408</t>
  </si>
  <si>
    <t>2020010409</t>
  </si>
  <si>
    <t>2020010410</t>
  </si>
  <si>
    <t>2020010411</t>
  </si>
  <si>
    <t>2020010412</t>
  </si>
  <si>
    <t>2020010413</t>
  </si>
  <si>
    <t>2020010414</t>
  </si>
  <si>
    <t>2020010415</t>
  </si>
  <si>
    <t>2020010416</t>
  </si>
  <si>
    <t>2020010417</t>
  </si>
  <si>
    <t>2020010418</t>
  </si>
  <si>
    <t>2020010419</t>
  </si>
  <si>
    <t>2020010420</t>
  </si>
  <si>
    <t>2020010421</t>
  </si>
  <si>
    <t>2020010422</t>
  </si>
  <si>
    <t>2020010423</t>
  </si>
  <si>
    <t>2020010424</t>
  </si>
  <si>
    <t>2020010425</t>
  </si>
  <si>
    <t>2020010426</t>
  </si>
  <si>
    <t>2020010427</t>
  </si>
  <si>
    <t>2020010428</t>
  </si>
  <si>
    <t>2020010429</t>
  </si>
  <si>
    <t>2020010430</t>
  </si>
  <si>
    <t>2020010501</t>
  </si>
  <si>
    <t>2020010502</t>
  </si>
  <si>
    <t>2020010503</t>
  </si>
  <si>
    <t>2020010504</t>
  </si>
  <si>
    <t>2020010505</t>
  </si>
  <si>
    <t>2020010506</t>
  </si>
  <si>
    <t>2020010507</t>
  </si>
  <si>
    <t>2020010508</t>
  </si>
  <si>
    <t>2020010509</t>
  </si>
  <si>
    <t>2020010510</t>
  </si>
  <si>
    <t>2020010511</t>
  </si>
  <si>
    <t>2020010512</t>
  </si>
  <si>
    <t>2020010513</t>
  </si>
  <si>
    <t>2020010514</t>
  </si>
  <si>
    <t>2020010515</t>
  </si>
  <si>
    <t>2020010516</t>
  </si>
  <si>
    <t>2020010517</t>
  </si>
  <si>
    <t>2020010518</t>
  </si>
  <si>
    <t>2020010519</t>
  </si>
  <si>
    <t>2020010520</t>
  </si>
  <si>
    <t>2020010521</t>
  </si>
  <si>
    <t>2020010522</t>
  </si>
  <si>
    <t>2020010523</t>
  </si>
  <si>
    <t>2020010524</t>
  </si>
  <si>
    <t>2020010525</t>
  </si>
  <si>
    <t>2020010601</t>
  </si>
  <si>
    <t>202003_中医临床岗位</t>
  </si>
  <si>
    <t>2020010602</t>
  </si>
  <si>
    <t>2020010603</t>
  </si>
  <si>
    <t>2020010604</t>
  </si>
  <si>
    <t>2020010605</t>
  </si>
  <si>
    <t>2020010606</t>
  </si>
  <si>
    <t>2020010607</t>
  </si>
  <si>
    <t>2020010608</t>
  </si>
  <si>
    <t>2020010609</t>
  </si>
  <si>
    <t>2020010610</t>
  </si>
  <si>
    <t>2020010611</t>
  </si>
  <si>
    <t>2020010612</t>
  </si>
  <si>
    <t>2020010613</t>
  </si>
  <si>
    <t>2020010614</t>
  </si>
  <si>
    <t>2020010615</t>
  </si>
  <si>
    <t>2020010616</t>
  </si>
  <si>
    <t>2020010701</t>
  </si>
  <si>
    <t>202010_影像诊断岗位</t>
  </si>
  <si>
    <t>2020010702</t>
  </si>
  <si>
    <t>2020010703</t>
  </si>
  <si>
    <t>2020010704</t>
  </si>
  <si>
    <t>2020010705</t>
  </si>
  <si>
    <t>2020010706</t>
  </si>
  <si>
    <t>202011_影像技术岗位</t>
  </si>
  <si>
    <t>2020010707</t>
  </si>
  <si>
    <t>2020010708</t>
  </si>
  <si>
    <t>2020010709</t>
  </si>
  <si>
    <t>2020010710</t>
  </si>
  <si>
    <t>2020010711</t>
  </si>
  <si>
    <t>2020010712</t>
  </si>
  <si>
    <t>2020010713</t>
  </si>
  <si>
    <t>2020010714</t>
  </si>
  <si>
    <t>2020010715</t>
  </si>
  <si>
    <t>2020010716</t>
  </si>
  <si>
    <t>2020010717</t>
  </si>
  <si>
    <t>2020010718</t>
  </si>
  <si>
    <t>2020010719</t>
  </si>
  <si>
    <t>2020010720</t>
  </si>
  <si>
    <t>2020010721</t>
  </si>
  <si>
    <t>2020010722</t>
  </si>
  <si>
    <t>2020010723</t>
  </si>
  <si>
    <t>2020010724</t>
  </si>
  <si>
    <t>2020010725</t>
  </si>
  <si>
    <t>2020010726</t>
  </si>
  <si>
    <t>2020010727</t>
  </si>
  <si>
    <t>2020010728</t>
  </si>
  <si>
    <t>2020010729</t>
  </si>
  <si>
    <t>2020010730</t>
  </si>
  <si>
    <t>2020010801</t>
  </si>
  <si>
    <t>2020010802</t>
  </si>
  <si>
    <t>2020010803</t>
  </si>
  <si>
    <t>2020010804</t>
  </si>
  <si>
    <t>2020010805</t>
  </si>
  <si>
    <t>2020010806</t>
  </si>
  <si>
    <t>2020010807</t>
  </si>
  <si>
    <t>2020010808</t>
  </si>
  <si>
    <t>2020010809</t>
  </si>
  <si>
    <t>2020010810</t>
  </si>
  <si>
    <t>2020010811</t>
  </si>
  <si>
    <t>2020010812</t>
  </si>
  <si>
    <t>2020010813</t>
  </si>
  <si>
    <t>2020010814</t>
  </si>
  <si>
    <t>2020010815</t>
  </si>
  <si>
    <t>2020010816</t>
  </si>
  <si>
    <t>2020010817</t>
  </si>
  <si>
    <t>2020010818</t>
  </si>
  <si>
    <t>2020010819</t>
  </si>
  <si>
    <t>2020010820</t>
  </si>
  <si>
    <t>2020010821</t>
  </si>
  <si>
    <t>2020010822</t>
  </si>
  <si>
    <t>2020010823</t>
  </si>
  <si>
    <t>2020010824</t>
  </si>
  <si>
    <t>2020010825</t>
  </si>
  <si>
    <t>2020010826</t>
  </si>
  <si>
    <t>2020010827</t>
  </si>
  <si>
    <t>2020010828</t>
  </si>
  <si>
    <t>2020010829</t>
  </si>
  <si>
    <t>2020010830</t>
  </si>
  <si>
    <t>2020010901</t>
  </si>
  <si>
    <t>2020010902</t>
  </si>
  <si>
    <t>2020010903</t>
  </si>
  <si>
    <t>2020010904</t>
  </si>
  <si>
    <t>2020010905</t>
  </si>
  <si>
    <t>2020010906</t>
  </si>
  <si>
    <t>2020010907</t>
  </si>
  <si>
    <t>2020010908</t>
  </si>
  <si>
    <t>2020010909</t>
  </si>
  <si>
    <t>2020010910</t>
  </si>
  <si>
    <t>2020010911</t>
  </si>
  <si>
    <t>2020010912</t>
  </si>
  <si>
    <t>2020010913</t>
  </si>
  <si>
    <t>2020010914</t>
  </si>
  <si>
    <t>2020010915</t>
  </si>
  <si>
    <t>2020010916</t>
  </si>
  <si>
    <t>2020010917</t>
  </si>
  <si>
    <t>2020010918</t>
  </si>
  <si>
    <t>2020010919</t>
  </si>
  <si>
    <t>2020010920</t>
  </si>
  <si>
    <t>2020010921</t>
  </si>
  <si>
    <t>2020010922</t>
  </si>
  <si>
    <t>2020010923</t>
  </si>
  <si>
    <t>2020010924</t>
  </si>
  <si>
    <t>2020010925</t>
  </si>
  <si>
    <t>2020010926</t>
  </si>
  <si>
    <t>2020010927</t>
  </si>
  <si>
    <t>2020010928</t>
  </si>
  <si>
    <t>2020010929</t>
  </si>
  <si>
    <t>2020010930</t>
  </si>
  <si>
    <t>2020011001</t>
  </si>
  <si>
    <t>2020011002</t>
  </si>
  <si>
    <t>2020011003</t>
  </si>
  <si>
    <t>2020011004</t>
  </si>
  <si>
    <t>2020011005</t>
  </si>
  <si>
    <t>2020011006</t>
  </si>
  <si>
    <t>2020011007</t>
  </si>
  <si>
    <t>2020011008</t>
  </si>
  <si>
    <t>2020011009</t>
  </si>
  <si>
    <t>2020011010</t>
  </si>
  <si>
    <t>2020011011</t>
  </si>
  <si>
    <t>2020011012</t>
  </si>
  <si>
    <t>2020011013</t>
  </si>
  <si>
    <t>2020011014</t>
  </si>
  <si>
    <t>2020011015</t>
  </si>
  <si>
    <t>2020011016</t>
  </si>
  <si>
    <t>2020011017</t>
  </si>
  <si>
    <t>2020011018</t>
  </si>
  <si>
    <t>2020011019</t>
  </si>
  <si>
    <t>2020011020</t>
  </si>
  <si>
    <t>2020011021</t>
  </si>
  <si>
    <t>2020011022</t>
  </si>
  <si>
    <t>2020011023</t>
  </si>
  <si>
    <t>2020011024</t>
  </si>
  <si>
    <t>2020011025</t>
  </si>
  <si>
    <t>2020011026</t>
  </si>
  <si>
    <t>2020011027</t>
  </si>
  <si>
    <t>2020011028</t>
  </si>
  <si>
    <t>2020011029</t>
  </si>
  <si>
    <t>2020011030</t>
  </si>
  <si>
    <t>2020011101</t>
  </si>
  <si>
    <t>2020011102</t>
  </si>
  <si>
    <t>2020011103</t>
  </si>
  <si>
    <t>2020011104</t>
  </si>
  <si>
    <t>2020011105</t>
  </si>
  <si>
    <t>2020011106</t>
  </si>
  <si>
    <t>2020011107</t>
  </si>
  <si>
    <t>2020011108</t>
  </si>
  <si>
    <t>2020011109</t>
  </si>
  <si>
    <t>2020011110</t>
  </si>
  <si>
    <t>2020011111</t>
  </si>
  <si>
    <t>2020011112</t>
  </si>
  <si>
    <t>2020011113</t>
  </si>
  <si>
    <t>2020011114</t>
  </si>
  <si>
    <t>202012_输血技术岗位</t>
  </si>
  <si>
    <t>2020011115</t>
  </si>
  <si>
    <t>2020011116</t>
  </si>
  <si>
    <t>2020011117</t>
  </si>
  <si>
    <t>2020011118</t>
  </si>
  <si>
    <t>2020011119</t>
  </si>
  <si>
    <t>2020011120</t>
  </si>
  <si>
    <t>2020011121</t>
  </si>
  <si>
    <t>2020011122</t>
  </si>
  <si>
    <t>2020011123</t>
  </si>
  <si>
    <t>2020011124</t>
  </si>
  <si>
    <t>2020011125</t>
  </si>
  <si>
    <t>2020011126</t>
  </si>
  <si>
    <t>2020011127</t>
  </si>
  <si>
    <t>2020011128</t>
  </si>
  <si>
    <t>2020011129</t>
  </si>
  <si>
    <t>2020011130</t>
  </si>
  <si>
    <t>2020011201</t>
  </si>
  <si>
    <t>2020011202</t>
  </si>
  <si>
    <t>2020011203</t>
  </si>
  <si>
    <t>2020011204</t>
  </si>
  <si>
    <t>2020011205</t>
  </si>
  <si>
    <t>2020011206</t>
  </si>
  <si>
    <t>2020011207</t>
  </si>
  <si>
    <t>2020011208</t>
  </si>
  <si>
    <t>2020011209</t>
  </si>
  <si>
    <t>202013_药学岗位</t>
  </si>
  <si>
    <t>2020011210</t>
  </si>
  <si>
    <t>2020011211</t>
  </si>
  <si>
    <t>2020011212</t>
  </si>
  <si>
    <t>2020011213</t>
  </si>
  <si>
    <t>2020011214</t>
  </si>
  <si>
    <t>2020011215</t>
  </si>
  <si>
    <t>2020011216</t>
  </si>
  <si>
    <t>2020011217</t>
  </si>
  <si>
    <t>2020011218</t>
  </si>
  <si>
    <t>2020011219</t>
  </si>
  <si>
    <t>2020011220</t>
  </si>
  <si>
    <t>2020011221</t>
  </si>
  <si>
    <t>2020011222</t>
  </si>
  <si>
    <t>2020011223</t>
  </si>
  <si>
    <t>2020011224</t>
  </si>
  <si>
    <t>2020011225</t>
  </si>
  <si>
    <t>2020011226</t>
  </si>
  <si>
    <t>2020011227</t>
  </si>
  <si>
    <t>2020011228</t>
  </si>
  <si>
    <t>2020011229</t>
  </si>
  <si>
    <t>2020011230</t>
  </si>
  <si>
    <t>2020011301</t>
  </si>
  <si>
    <t>2020011302</t>
  </si>
  <si>
    <t>2020011303</t>
  </si>
  <si>
    <t>2020011304</t>
  </si>
  <si>
    <t>2020011305</t>
  </si>
  <si>
    <t>2020011306</t>
  </si>
  <si>
    <t>2020011307</t>
  </si>
  <si>
    <t>2020011308</t>
  </si>
  <si>
    <t>2020011309</t>
  </si>
  <si>
    <t>2020011310</t>
  </si>
  <si>
    <t>2020011311</t>
  </si>
  <si>
    <t>2020011312</t>
  </si>
  <si>
    <t>2020011313</t>
  </si>
  <si>
    <t>2020011314</t>
  </si>
  <si>
    <t>2020011315</t>
  </si>
  <si>
    <t>2020011316</t>
  </si>
  <si>
    <t>2020011317</t>
  </si>
  <si>
    <t>2020011318</t>
  </si>
  <si>
    <t>2020011319</t>
  </si>
  <si>
    <t>2020011320</t>
  </si>
  <si>
    <t>2020011321</t>
  </si>
  <si>
    <t>2020011322</t>
  </si>
  <si>
    <t>2020011323</t>
  </si>
  <si>
    <t>2020011324</t>
  </si>
  <si>
    <t>2020011325</t>
  </si>
  <si>
    <t>2020011326</t>
  </si>
  <si>
    <t>2020011327</t>
  </si>
  <si>
    <t>2020011328</t>
  </si>
  <si>
    <t>2020011329</t>
  </si>
  <si>
    <t>2020011330</t>
  </si>
  <si>
    <t>2020011401</t>
  </si>
  <si>
    <t>2020011402</t>
  </si>
  <si>
    <t>2020011403</t>
  </si>
  <si>
    <t>2020011404</t>
  </si>
  <si>
    <t>2020011405</t>
  </si>
  <si>
    <t>2020011406</t>
  </si>
  <si>
    <t>2020011407</t>
  </si>
  <si>
    <t>2020011408</t>
  </si>
  <si>
    <t>2020011409</t>
  </si>
  <si>
    <t>2020011410</t>
  </si>
  <si>
    <t>2020011411</t>
  </si>
  <si>
    <t>2020011412</t>
  </si>
  <si>
    <t>2020011413</t>
  </si>
  <si>
    <t>2020011414</t>
  </si>
  <si>
    <t>2020011415</t>
  </si>
  <si>
    <t>2020011416</t>
  </si>
  <si>
    <t>2020011417</t>
  </si>
  <si>
    <t>2020011418</t>
  </si>
  <si>
    <t>2020011419</t>
  </si>
  <si>
    <t>2020011420</t>
  </si>
  <si>
    <t>2020011421</t>
  </si>
  <si>
    <t>2020011422</t>
  </si>
  <si>
    <t>2020011423</t>
  </si>
  <si>
    <t>2020011424</t>
  </si>
  <si>
    <t>2020011425</t>
  </si>
  <si>
    <t>2020011426</t>
  </si>
  <si>
    <t>2020011427</t>
  </si>
  <si>
    <t>2020011428</t>
  </si>
  <si>
    <t>2020011429</t>
  </si>
  <si>
    <t>2020011430</t>
  </si>
  <si>
    <t>2020011501</t>
  </si>
  <si>
    <t>2020011502</t>
  </si>
  <si>
    <t>2020011503</t>
  </si>
  <si>
    <t>2020011504</t>
  </si>
  <si>
    <t>2020011505</t>
  </si>
  <si>
    <t>2020011506</t>
  </si>
  <si>
    <t>2020011507</t>
  </si>
  <si>
    <t>2020011508</t>
  </si>
  <si>
    <t>2020011509</t>
  </si>
  <si>
    <t>2020011510</t>
  </si>
  <si>
    <t>2020011601</t>
  </si>
  <si>
    <t>202014_日常管理岗位</t>
  </si>
  <si>
    <t>2020011602</t>
  </si>
  <si>
    <t>2020011603</t>
  </si>
  <si>
    <t>2020011604</t>
  </si>
  <si>
    <t>2020011605</t>
  </si>
  <si>
    <t>2020011606</t>
  </si>
  <si>
    <t>2020011607</t>
  </si>
  <si>
    <t>2020011608</t>
  </si>
  <si>
    <t>2020011609</t>
  </si>
  <si>
    <t>202015_财务审计岗位</t>
  </si>
  <si>
    <t>2020011610</t>
  </si>
  <si>
    <t>2020011611</t>
  </si>
  <si>
    <t>2020011612</t>
  </si>
  <si>
    <t>2020011613</t>
  </si>
  <si>
    <t>2020011614</t>
  </si>
  <si>
    <t>202016_宣传岗位</t>
  </si>
  <si>
    <t>2020011615</t>
  </si>
  <si>
    <t>2020011616</t>
  </si>
  <si>
    <t>2020011617</t>
  </si>
  <si>
    <t>2020011618</t>
  </si>
  <si>
    <t>2020011619</t>
  </si>
  <si>
    <t>2020011620</t>
  </si>
  <si>
    <t>2020011621</t>
  </si>
  <si>
    <t>2020011622</t>
  </si>
  <si>
    <t>2020011623</t>
  </si>
  <si>
    <t>2020011624</t>
  </si>
  <si>
    <t>2020011625</t>
  </si>
  <si>
    <t>2020011626</t>
  </si>
  <si>
    <t>2020011627</t>
  </si>
  <si>
    <t>2020011628</t>
  </si>
  <si>
    <t>2020011629</t>
  </si>
  <si>
    <t>2020011630</t>
  </si>
  <si>
    <t>2020011701</t>
  </si>
  <si>
    <t>2020011702</t>
  </si>
  <si>
    <t>2020011703</t>
  </si>
  <si>
    <t>2020011704</t>
  </si>
  <si>
    <t>202017_计算机网络管理岗位</t>
  </si>
  <si>
    <t>2020011705</t>
  </si>
  <si>
    <t>2020011706</t>
  </si>
  <si>
    <t>2020011707</t>
  </si>
  <si>
    <t>2020011708</t>
  </si>
  <si>
    <t>2020011709</t>
  </si>
  <si>
    <t>2020011710</t>
  </si>
  <si>
    <t>2020011711</t>
  </si>
  <si>
    <t>2020011712</t>
  </si>
  <si>
    <t>2020011713</t>
  </si>
  <si>
    <t>2020011714</t>
  </si>
  <si>
    <t>2020011715</t>
  </si>
  <si>
    <t>2020011716</t>
  </si>
  <si>
    <t>2020011717</t>
  </si>
  <si>
    <t>2020011718</t>
  </si>
  <si>
    <t>2020011719</t>
  </si>
  <si>
    <t>2020011720</t>
  </si>
  <si>
    <t>2020011721</t>
  </si>
  <si>
    <t>2020011722</t>
  </si>
  <si>
    <t>2020011723</t>
  </si>
  <si>
    <t>202018_软件维护岗位</t>
  </si>
  <si>
    <t>2020011724</t>
  </si>
  <si>
    <t>2020011725</t>
  </si>
  <si>
    <t>2020011726</t>
  </si>
  <si>
    <t>2020011727</t>
  </si>
  <si>
    <t>2020011728</t>
  </si>
  <si>
    <t>2020011729</t>
  </si>
  <si>
    <t>202019_编码员岗位</t>
  </si>
  <si>
    <t>2020011730</t>
  </si>
  <si>
    <t>2020011801</t>
  </si>
  <si>
    <t>2020011802</t>
  </si>
  <si>
    <t>2020011803</t>
  </si>
  <si>
    <t>202020_工勤岗位</t>
  </si>
  <si>
    <t>2020011804</t>
  </si>
  <si>
    <t>2020011805</t>
  </si>
  <si>
    <t>2020011806</t>
  </si>
  <si>
    <t>2020011807</t>
  </si>
  <si>
    <t>2020011808</t>
  </si>
  <si>
    <t>2020011809</t>
  </si>
  <si>
    <t>2020011810</t>
  </si>
  <si>
    <t>2020011811</t>
  </si>
  <si>
    <t>2020011812</t>
  </si>
  <si>
    <t>2020011813</t>
  </si>
  <si>
    <t>2020011814</t>
  </si>
  <si>
    <t>2020011815</t>
  </si>
  <si>
    <t>2020011816</t>
  </si>
  <si>
    <t>2020011817</t>
  </si>
  <si>
    <t>2020011818</t>
  </si>
  <si>
    <t>2020011819</t>
  </si>
  <si>
    <t>2020011820</t>
  </si>
  <si>
    <t>2020011821</t>
  </si>
  <si>
    <t>2020011822</t>
  </si>
  <si>
    <t>2020011823</t>
  </si>
  <si>
    <t>2020011824</t>
  </si>
  <si>
    <t>2020011825</t>
  </si>
  <si>
    <t>2020011826</t>
  </si>
  <si>
    <t>2020011827</t>
  </si>
  <si>
    <t>笔试分数</t>
  </si>
  <si>
    <t>202005_护理岗位</t>
  </si>
  <si>
    <t>202006_护理岗位</t>
  </si>
  <si>
    <t>202007_护理岗位</t>
  </si>
  <si>
    <t>202008_护理岗位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</si>
</sst>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1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5" fillId="7" borderId="3" applyNumberFormat="0" applyAlignment="0" applyProtection="0">
      <alignment vertical="center"/>
    </xf>
    <xf numFmtId="0" fontId="16" fillId="23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9"/>
  <sheetViews>
    <sheetView workbookViewId="0">
      <selection activeCell="P420" sqref="P420"/>
    </sheetView>
  </sheetViews>
  <sheetFormatPr defaultColWidth="9" defaultRowHeight="13.5" outlineLevelCol="4"/>
  <cols>
    <col min="1" max="1" width="14.75" customWidth="1"/>
    <col min="2" max="2" width="29.625" customWidth="1"/>
    <col min="3" max="3" width="8" customWidth="1"/>
    <col min="4" max="4" width="7.875" customWidth="1"/>
    <col min="5" max="5" width="10.625" customWidth="1"/>
  </cols>
  <sheetData>
    <row r="1" ht="28" customHeight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ht="14.25" spans="1:5">
      <c r="A2" s="2" t="s">
        <v>5</v>
      </c>
      <c r="B2" s="2" t="s">
        <v>6</v>
      </c>
      <c r="C2" s="2">
        <v>1</v>
      </c>
      <c r="D2" s="2">
        <v>1</v>
      </c>
      <c r="E2" s="2">
        <v>49.9</v>
      </c>
    </row>
    <row r="3" ht="14.25" spans="1:5">
      <c r="A3" s="2" t="s">
        <v>7</v>
      </c>
      <c r="B3" s="2" t="s">
        <v>6</v>
      </c>
      <c r="C3" s="2">
        <v>1</v>
      </c>
      <c r="D3" s="2">
        <v>2</v>
      </c>
      <c r="E3" s="2">
        <v>57.4</v>
      </c>
    </row>
    <row r="4" ht="14.25" spans="1:5">
      <c r="A4" s="2" t="s">
        <v>8</v>
      </c>
      <c r="B4" s="2" t="s">
        <v>6</v>
      </c>
      <c r="C4" s="2">
        <v>1</v>
      </c>
      <c r="D4" s="2">
        <v>3</v>
      </c>
      <c r="E4" s="2">
        <v>44.8</v>
      </c>
    </row>
    <row r="5" ht="14.25" spans="1:5">
      <c r="A5" s="2" t="s">
        <v>9</v>
      </c>
      <c r="B5" s="2" t="s">
        <v>6</v>
      </c>
      <c r="C5" s="2">
        <v>1</v>
      </c>
      <c r="D5" s="2">
        <v>4</v>
      </c>
      <c r="E5" s="2">
        <v>61</v>
      </c>
    </row>
    <row r="6" ht="14.25" spans="1:5">
      <c r="A6" s="2" t="s">
        <v>10</v>
      </c>
      <c r="B6" s="2" t="s">
        <v>6</v>
      </c>
      <c r="C6" s="2">
        <v>1</v>
      </c>
      <c r="D6" s="2">
        <v>5</v>
      </c>
      <c r="E6" s="2">
        <v>56.5</v>
      </c>
    </row>
    <row r="7" ht="14.25" spans="1:5">
      <c r="A7" s="2" t="s">
        <v>11</v>
      </c>
      <c r="B7" s="2" t="s">
        <v>6</v>
      </c>
      <c r="C7" s="2">
        <v>1</v>
      </c>
      <c r="D7" s="2">
        <v>6</v>
      </c>
      <c r="E7" s="2">
        <v>72.2</v>
      </c>
    </row>
    <row r="8" ht="14.25" spans="1:5">
      <c r="A8" s="2" t="s">
        <v>12</v>
      </c>
      <c r="B8" s="2" t="s">
        <v>6</v>
      </c>
      <c r="C8" s="2">
        <v>1</v>
      </c>
      <c r="D8" s="2">
        <v>7</v>
      </c>
      <c r="E8" s="2">
        <v>60.1</v>
      </c>
    </row>
    <row r="9" ht="14.25" spans="1:5">
      <c r="A9" s="2" t="s">
        <v>13</v>
      </c>
      <c r="B9" s="2" t="s">
        <v>6</v>
      </c>
      <c r="C9" s="2">
        <v>1</v>
      </c>
      <c r="D9" s="2">
        <v>8</v>
      </c>
      <c r="E9" s="2">
        <v>61.1</v>
      </c>
    </row>
    <row r="10" ht="14.25" spans="1:5">
      <c r="A10" s="2" t="s">
        <v>14</v>
      </c>
      <c r="B10" s="2" t="s">
        <v>6</v>
      </c>
      <c r="C10" s="2">
        <v>1</v>
      </c>
      <c r="D10" s="2">
        <v>9</v>
      </c>
      <c r="E10" s="2">
        <v>68.6</v>
      </c>
    </row>
    <row r="11" ht="14.25" spans="1:5">
      <c r="A11" s="2" t="s">
        <v>15</v>
      </c>
      <c r="B11" s="2" t="s">
        <v>6</v>
      </c>
      <c r="C11" s="2">
        <v>1</v>
      </c>
      <c r="D11" s="2">
        <v>10</v>
      </c>
      <c r="E11" s="2" t="s">
        <v>16</v>
      </c>
    </row>
    <row r="12" ht="14.25" spans="1:5">
      <c r="A12" s="2" t="s">
        <v>17</v>
      </c>
      <c r="B12" s="2" t="s">
        <v>6</v>
      </c>
      <c r="C12" s="2">
        <v>1</v>
      </c>
      <c r="D12" s="2">
        <v>11</v>
      </c>
      <c r="E12" s="2" t="s">
        <v>16</v>
      </c>
    </row>
    <row r="13" ht="14.25" spans="1:5">
      <c r="A13" s="2" t="s">
        <v>18</v>
      </c>
      <c r="B13" s="2" t="s">
        <v>6</v>
      </c>
      <c r="C13" s="2">
        <v>1</v>
      </c>
      <c r="D13" s="2">
        <v>12</v>
      </c>
      <c r="E13" s="2" t="s">
        <v>16</v>
      </c>
    </row>
    <row r="14" ht="14.25" spans="1:5">
      <c r="A14" s="2" t="s">
        <v>19</v>
      </c>
      <c r="B14" s="2" t="s">
        <v>6</v>
      </c>
      <c r="C14" s="2">
        <v>1</v>
      </c>
      <c r="D14" s="2">
        <v>13</v>
      </c>
      <c r="E14" s="2">
        <v>55.4</v>
      </c>
    </row>
    <row r="15" ht="14.25" spans="1:5">
      <c r="A15" s="2" t="s">
        <v>20</v>
      </c>
      <c r="B15" s="2" t="s">
        <v>6</v>
      </c>
      <c r="C15" s="2">
        <v>1</v>
      </c>
      <c r="D15" s="2">
        <v>14</v>
      </c>
      <c r="E15" s="2" t="s">
        <v>16</v>
      </c>
    </row>
    <row r="16" ht="14.25" spans="1:5">
      <c r="A16" s="2" t="s">
        <v>21</v>
      </c>
      <c r="B16" s="2" t="s">
        <v>6</v>
      </c>
      <c r="C16" s="2">
        <v>1</v>
      </c>
      <c r="D16" s="2">
        <v>15</v>
      </c>
      <c r="E16" s="2" t="s">
        <v>16</v>
      </c>
    </row>
    <row r="17" ht="14.25" spans="1:5">
      <c r="A17" s="2" t="s">
        <v>22</v>
      </c>
      <c r="B17" s="2" t="s">
        <v>6</v>
      </c>
      <c r="C17" s="2">
        <v>1</v>
      </c>
      <c r="D17" s="2">
        <v>16</v>
      </c>
      <c r="E17" s="2">
        <v>55.9</v>
      </c>
    </row>
    <row r="18" ht="14.25" spans="1:5">
      <c r="A18" s="2" t="s">
        <v>23</v>
      </c>
      <c r="B18" s="2" t="s">
        <v>6</v>
      </c>
      <c r="C18" s="2">
        <v>1</v>
      </c>
      <c r="D18" s="2">
        <v>17</v>
      </c>
      <c r="E18" s="2" t="s">
        <v>16</v>
      </c>
    </row>
    <row r="19" ht="14.25" spans="1:5">
      <c r="A19" s="2" t="s">
        <v>24</v>
      </c>
      <c r="B19" s="2" t="s">
        <v>6</v>
      </c>
      <c r="C19" s="2">
        <v>1</v>
      </c>
      <c r="D19" s="2">
        <v>18</v>
      </c>
      <c r="E19" s="2" t="s">
        <v>16</v>
      </c>
    </row>
    <row r="20" ht="14.25" spans="1:5">
      <c r="A20" s="2" t="s">
        <v>25</v>
      </c>
      <c r="B20" s="2" t="s">
        <v>6</v>
      </c>
      <c r="C20" s="2">
        <v>1</v>
      </c>
      <c r="D20" s="2">
        <v>19</v>
      </c>
      <c r="E20" s="2">
        <v>63.1</v>
      </c>
    </row>
    <row r="21" ht="14.25" spans="1:5">
      <c r="A21" s="2" t="s">
        <v>26</v>
      </c>
      <c r="B21" s="2" t="s">
        <v>6</v>
      </c>
      <c r="C21" s="2">
        <v>1</v>
      </c>
      <c r="D21" s="2">
        <v>20</v>
      </c>
      <c r="E21" s="2">
        <v>60.4</v>
      </c>
    </row>
    <row r="22" ht="14.25" spans="1:5">
      <c r="A22" s="2" t="s">
        <v>27</v>
      </c>
      <c r="B22" s="2" t="s">
        <v>6</v>
      </c>
      <c r="C22" s="2">
        <v>1</v>
      </c>
      <c r="D22" s="2">
        <v>21</v>
      </c>
      <c r="E22" s="2" t="s">
        <v>16</v>
      </c>
    </row>
    <row r="23" ht="14.25" spans="1:5">
      <c r="A23" s="2" t="s">
        <v>28</v>
      </c>
      <c r="B23" s="2" t="s">
        <v>6</v>
      </c>
      <c r="C23" s="2">
        <v>1</v>
      </c>
      <c r="D23" s="2">
        <v>22</v>
      </c>
      <c r="E23" s="2">
        <v>66</v>
      </c>
    </row>
    <row r="24" ht="14.25" spans="1:5">
      <c r="A24" s="2" t="s">
        <v>29</v>
      </c>
      <c r="B24" s="2" t="s">
        <v>6</v>
      </c>
      <c r="C24" s="2">
        <v>1</v>
      </c>
      <c r="D24" s="2">
        <v>23</v>
      </c>
      <c r="E24" s="2">
        <v>65</v>
      </c>
    </row>
    <row r="25" ht="14.25" spans="1:5">
      <c r="A25" s="2" t="s">
        <v>30</v>
      </c>
      <c r="B25" s="2" t="s">
        <v>6</v>
      </c>
      <c r="C25" s="2">
        <v>1</v>
      </c>
      <c r="D25" s="2">
        <v>24</v>
      </c>
      <c r="E25" s="2" t="s">
        <v>16</v>
      </c>
    </row>
    <row r="26" ht="14.25" spans="1:5">
      <c r="A26" s="2" t="s">
        <v>31</v>
      </c>
      <c r="B26" s="2" t="s">
        <v>6</v>
      </c>
      <c r="C26" s="2">
        <v>1</v>
      </c>
      <c r="D26" s="2">
        <v>25</v>
      </c>
      <c r="E26" s="2">
        <v>63.7</v>
      </c>
    </row>
    <row r="27" ht="14.25" spans="1:5">
      <c r="A27" s="2" t="s">
        <v>32</v>
      </c>
      <c r="B27" s="2" t="s">
        <v>6</v>
      </c>
      <c r="C27" s="2">
        <v>1</v>
      </c>
      <c r="D27" s="2">
        <v>26</v>
      </c>
      <c r="E27" s="2" t="s">
        <v>16</v>
      </c>
    </row>
    <row r="28" ht="14.25" spans="1:5">
      <c r="A28" s="2" t="s">
        <v>33</v>
      </c>
      <c r="B28" s="2" t="s">
        <v>6</v>
      </c>
      <c r="C28" s="2">
        <v>1</v>
      </c>
      <c r="D28" s="2">
        <v>27</v>
      </c>
      <c r="E28" s="2">
        <v>54.9</v>
      </c>
    </row>
    <row r="29" ht="14.25" spans="1:5">
      <c r="A29" s="2" t="s">
        <v>34</v>
      </c>
      <c r="B29" s="2" t="s">
        <v>6</v>
      </c>
      <c r="C29" s="2">
        <v>1</v>
      </c>
      <c r="D29" s="2">
        <v>28</v>
      </c>
      <c r="E29" s="2" t="s">
        <v>16</v>
      </c>
    </row>
    <row r="30" ht="14.25" spans="1:5">
      <c r="A30" s="2" t="s">
        <v>35</v>
      </c>
      <c r="B30" s="2" t="s">
        <v>6</v>
      </c>
      <c r="C30" s="2">
        <v>1</v>
      </c>
      <c r="D30" s="2">
        <v>29</v>
      </c>
      <c r="E30" s="2" t="s">
        <v>16</v>
      </c>
    </row>
    <row r="31" ht="14.25" spans="1:5">
      <c r="A31" s="2" t="s">
        <v>36</v>
      </c>
      <c r="B31" s="2" t="s">
        <v>6</v>
      </c>
      <c r="C31" s="2">
        <v>1</v>
      </c>
      <c r="D31" s="2">
        <v>30</v>
      </c>
      <c r="E31" s="2" t="s">
        <v>16</v>
      </c>
    </row>
    <row r="32" ht="14.25" spans="1:5">
      <c r="A32" s="2" t="s">
        <v>37</v>
      </c>
      <c r="B32" s="2" t="s">
        <v>6</v>
      </c>
      <c r="C32" s="2">
        <v>2</v>
      </c>
      <c r="D32" s="2">
        <v>1</v>
      </c>
      <c r="E32" s="2">
        <v>65.6</v>
      </c>
    </row>
    <row r="33" ht="14.25" spans="1:5">
      <c r="A33" s="2" t="s">
        <v>38</v>
      </c>
      <c r="B33" s="2" t="s">
        <v>6</v>
      </c>
      <c r="C33" s="2">
        <v>2</v>
      </c>
      <c r="D33" s="2">
        <v>2</v>
      </c>
      <c r="E33" s="2">
        <v>63</v>
      </c>
    </row>
    <row r="34" ht="14.25" spans="1:5">
      <c r="A34" s="2" t="s">
        <v>39</v>
      </c>
      <c r="B34" s="2" t="s">
        <v>6</v>
      </c>
      <c r="C34" s="2">
        <v>2</v>
      </c>
      <c r="D34" s="2">
        <v>3</v>
      </c>
      <c r="E34" s="2" t="s">
        <v>16</v>
      </c>
    </row>
    <row r="35" ht="14.25" spans="1:5">
      <c r="A35" s="2" t="s">
        <v>40</v>
      </c>
      <c r="B35" s="2" t="s">
        <v>6</v>
      </c>
      <c r="C35" s="2">
        <v>2</v>
      </c>
      <c r="D35" s="2">
        <v>4</v>
      </c>
      <c r="E35" s="2" t="s">
        <v>16</v>
      </c>
    </row>
    <row r="36" ht="14.25" spans="1:5">
      <c r="A36" s="2" t="s">
        <v>41</v>
      </c>
      <c r="B36" s="2" t="s">
        <v>6</v>
      </c>
      <c r="C36" s="2">
        <v>2</v>
      </c>
      <c r="D36" s="2">
        <v>5</v>
      </c>
      <c r="E36" s="2" t="s">
        <v>16</v>
      </c>
    </row>
    <row r="37" ht="14.25" spans="1:5">
      <c r="A37" s="2" t="s">
        <v>42</v>
      </c>
      <c r="B37" s="2" t="s">
        <v>6</v>
      </c>
      <c r="C37" s="2">
        <v>2</v>
      </c>
      <c r="D37" s="2">
        <v>6</v>
      </c>
      <c r="E37" s="2" t="s">
        <v>16</v>
      </c>
    </row>
    <row r="38" ht="14.25" spans="1:5">
      <c r="A38" s="2" t="s">
        <v>43</v>
      </c>
      <c r="B38" s="2" t="s">
        <v>6</v>
      </c>
      <c r="C38" s="2">
        <v>2</v>
      </c>
      <c r="D38" s="2">
        <v>7</v>
      </c>
      <c r="E38" s="2">
        <v>44.6</v>
      </c>
    </row>
    <row r="39" ht="14.25" spans="1:5">
      <c r="A39" s="2" t="s">
        <v>44</v>
      </c>
      <c r="B39" s="2" t="s">
        <v>6</v>
      </c>
      <c r="C39" s="2">
        <v>2</v>
      </c>
      <c r="D39" s="2">
        <v>8</v>
      </c>
      <c r="E39" s="2" t="s">
        <v>16</v>
      </c>
    </row>
    <row r="40" ht="14.25" spans="1:5">
      <c r="A40" s="2" t="s">
        <v>45</v>
      </c>
      <c r="B40" s="2" t="s">
        <v>6</v>
      </c>
      <c r="C40" s="2">
        <v>2</v>
      </c>
      <c r="D40" s="2">
        <v>9</v>
      </c>
      <c r="E40" s="2">
        <v>60.7</v>
      </c>
    </row>
    <row r="41" ht="14.25" spans="1:5">
      <c r="A41" s="2" t="s">
        <v>46</v>
      </c>
      <c r="B41" s="2" t="s">
        <v>6</v>
      </c>
      <c r="C41" s="2">
        <v>2</v>
      </c>
      <c r="D41" s="2">
        <v>10</v>
      </c>
      <c r="E41" s="2">
        <v>57.8</v>
      </c>
    </row>
    <row r="42" ht="14.25" spans="1:5">
      <c r="A42" s="2" t="s">
        <v>47</v>
      </c>
      <c r="B42" s="2" t="s">
        <v>48</v>
      </c>
      <c r="C42" s="2">
        <v>2</v>
      </c>
      <c r="D42" s="2">
        <v>11</v>
      </c>
      <c r="E42" s="2">
        <v>70.5</v>
      </c>
    </row>
    <row r="43" ht="14.25" spans="1:5">
      <c r="A43" s="2" t="s">
        <v>49</v>
      </c>
      <c r="B43" s="2" t="s">
        <v>48</v>
      </c>
      <c r="C43" s="2">
        <v>2</v>
      </c>
      <c r="D43" s="2">
        <v>12</v>
      </c>
      <c r="E43" s="2" t="s">
        <v>16</v>
      </c>
    </row>
    <row r="44" ht="14.25" spans="1:5">
      <c r="A44" s="2" t="s">
        <v>50</v>
      </c>
      <c r="B44" s="2" t="s">
        <v>48</v>
      </c>
      <c r="C44" s="2">
        <v>2</v>
      </c>
      <c r="D44" s="2">
        <v>13</v>
      </c>
      <c r="E44" s="2">
        <v>70.2</v>
      </c>
    </row>
    <row r="45" ht="14.25" spans="1:5">
      <c r="A45" s="2" t="s">
        <v>51</v>
      </c>
      <c r="B45" s="2" t="s">
        <v>48</v>
      </c>
      <c r="C45" s="2">
        <v>2</v>
      </c>
      <c r="D45" s="2">
        <v>14</v>
      </c>
      <c r="E45" s="2" t="s">
        <v>16</v>
      </c>
    </row>
    <row r="46" ht="14.25" spans="1:5">
      <c r="A46" s="2" t="s">
        <v>52</v>
      </c>
      <c r="B46" s="2" t="s">
        <v>48</v>
      </c>
      <c r="C46" s="2">
        <v>2</v>
      </c>
      <c r="D46" s="2">
        <v>15</v>
      </c>
      <c r="E46" s="2" t="s">
        <v>16</v>
      </c>
    </row>
    <row r="47" ht="14.25" spans="1:5">
      <c r="A47" s="2" t="s">
        <v>53</v>
      </c>
      <c r="B47" s="2" t="s">
        <v>48</v>
      </c>
      <c r="C47" s="2">
        <v>2</v>
      </c>
      <c r="D47" s="2">
        <v>16</v>
      </c>
      <c r="E47" s="2" t="s">
        <v>16</v>
      </c>
    </row>
    <row r="48" ht="14.25" spans="1:5">
      <c r="A48" s="2" t="s">
        <v>54</v>
      </c>
      <c r="B48" s="2" t="s">
        <v>48</v>
      </c>
      <c r="C48" s="2">
        <v>2</v>
      </c>
      <c r="D48" s="2">
        <v>17</v>
      </c>
      <c r="E48" s="2" t="s">
        <v>16</v>
      </c>
    </row>
    <row r="49" ht="14.25" spans="1:5">
      <c r="A49" s="2" t="s">
        <v>55</v>
      </c>
      <c r="B49" s="2" t="s">
        <v>48</v>
      </c>
      <c r="C49" s="2">
        <v>2</v>
      </c>
      <c r="D49" s="2">
        <v>18</v>
      </c>
      <c r="E49" s="2">
        <v>60.7</v>
      </c>
    </row>
    <row r="50" ht="14.25" spans="1:5">
      <c r="A50" s="2" t="s">
        <v>56</v>
      </c>
      <c r="B50" s="2" t="s">
        <v>48</v>
      </c>
      <c r="C50" s="2">
        <v>2</v>
      </c>
      <c r="D50" s="2">
        <v>19</v>
      </c>
      <c r="E50" s="2">
        <v>61.7</v>
      </c>
    </row>
    <row r="51" ht="14.25" spans="1:5">
      <c r="A51" s="2" t="s">
        <v>57</v>
      </c>
      <c r="B51" s="2" t="s">
        <v>48</v>
      </c>
      <c r="C51" s="2">
        <v>2</v>
      </c>
      <c r="D51" s="2">
        <v>20</v>
      </c>
      <c r="E51" s="2" t="s">
        <v>16</v>
      </c>
    </row>
    <row r="52" ht="14.25" spans="1:5">
      <c r="A52" s="2" t="s">
        <v>58</v>
      </c>
      <c r="B52" s="2" t="s">
        <v>48</v>
      </c>
      <c r="C52" s="2">
        <v>2</v>
      </c>
      <c r="D52" s="2">
        <v>21</v>
      </c>
      <c r="E52" s="2">
        <v>59.6</v>
      </c>
    </row>
    <row r="53" ht="14.25" spans="1:5">
      <c r="A53" s="2" t="s">
        <v>59</v>
      </c>
      <c r="B53" s="2" t="s">
        <v>48</v>
      </c>
      <c r="C53" s="2">
        <v>2</v>
      </c>
      <c r="D53" s="2">
        <v>22</v>
      </c>
      <c r="E53" s="2">
        <v>62.3</v>
      </c>
    </row>
    <row r="54" ht="14.25" spans="1:5">
      <c r="A54" s="2" t="s">
        <v>60</v>
      </c>
      <c r="B54" s="2" t="s">
        <v>48</v>
      </c>
      <c r="C54" s="2">
        <v>2</v>
      </c>
      <c r="D54" s="2">
        <v>23</v>
      </c>
      <c r="E54" s="2">
        <v>61.7</v>
      </c>
    </row>
    <row r="55" ht="14.25" spans="1:5">
      <c r="A55" s="2" t="s">
        <v>61</v>
      </c>
      <c r="B55" s="2" t="s">
        <v>48</v>
      </c>
      <c r="C55" s="2">
        <v>2</v>
      </c>
      <c r="D55" s="2">
        <v>24</v>
      </c>
      <c r="E55" s="2" t="s">
        <v>16</v>
      </c>
    </row>
    <row r="56" ht="14.25" spans="1:5">
      <c r="A56" s="2" t="s">
        <v>62</v>
      </c>
      <c r="B56" s="2" t="s">
        <v>48</v>
      </c>
      <c r="C56" s="2">
        <v>2</v>
      </c>
      <c r="D56" s="2">
        <v>25</v>
      </c>
      <c r="E56" s="2" t="s">
        <v>16</v>
      </c>
    </row>
    <row r="57" ht="14.25" spans="1:5">
      <c r="A57" s="2" t="s">
        <v>63</v>
      </c>
      <c r="B57" s="2" t="s">
        <v>48</v>
      </c>
      <c r="C57" s="2">
        <v>2</v>
      </c>
      <c r="D57" s="2">
        <v>26</v>
      </c>
      <c r="E57" s="2" t="s">
        <v>16</v>
      </c>
    </row>
    <row r="58" ht="14.25" spans="1:5">
      <c r="A58" s="2" t="s">
        <v>64</v>
      </c>
      <c r="B58" s="2" t="s">
        <v>48</v>
      </c>
      <c r="C58" s="2">
        <v>2</v>
      </c>
      <c r="D58" s="2">
        <v>27</v>
      </c>
      <c r="E58" s="2" t="s">
        <v>16</v>
      </c>
    </row>
    <row r="59" ht="14.25" spans="1:5">
      <c r="A59" s="2" t="s">
        <v>65</v>
      </c>
      <c r="B59" s="2" t="s">
        <v>48</v>
      </c>
      <c r="C59" s="2">
        <v>2</v>
      </c>
      <c r="D59" s="2">
        <v>28</v>
      </c>
      <c r="E59" s="2" t="s">
        <v>16</v>
      </c>
    </row>
    <row r="60" ht="14.25" spans="1:5">
      <c r="A60" s="2" t="s">
        <v>66</v>
      </c>
      <c r="B60" s="2" t="s">
        <v>48</v>
      </c>
      <c r="C60" s="2">
        <v>2</v>
      </c>
      <c r="D60" s="2">
        <v>29</v>
      </c>
      <c r="E60" s="2" t="s">
        <v>16</v>
      </c>
    </row>
    <row r="61" ht="14.25" spans="1:5">
      <c r="A61" s="2" t="s">
        <v>67</v>
      </c>
      <c r="B61" s="2" t="s">
        <v>48</v>
      </c>
      <c r="C61" s="2">
        <v>2</v>
      </c>
      <c r="D61" s="2">
        <v>30</v>
      </c>
      <c r="E61" s="2">
        <v>61.3</v>
      </c>
    </row>
    <row r="62" ht="14.25" spans="1:5">
      <c r="A62" s="2" t="s">
        <v>68</v>
      </c>
      <c r="B62" s="2" t="s">
        <v>48</v>
      </c>
      <c r="C62" s="2">
        <v>3</v>
      </c>
      <c r="D62" s="2">
        <v>1</v>
      </c>
      <c r="E62" s="2" t="s">
        <v>16</v>
      </c>
    </row>
    <row r="63" ht="14.25" spans="1:5">
      <c r="A63" s="2" t="s">
        <v>69</v>
      </c>
      <c r="B63" s="2" t="s">
        <v>70</v>
      </c>
      <c r="C63" s="2">
        <v>3</v>
      </c>
      <c r="D63" s="2">
        <v>2</v>
      </c>
      <c r="E63" s="2">
        <v>67.6</v>
      </c>
    </row>
    <row r="64" ht="14.25" spans="1:5">
      <c r="A64" s="2" t="s">
        <v>71</v>
      </c>
      <c r="B64" s="2" t="s">
        <v>70</v>
      </c>
      <c r="C64" s="2">
        <v>3</v>
      </c>
      <c r="D64" s="2">
        <v>3</v>
      </c>
      <c r="E64" s="2">
        <v>64.9</v>
      </c>
    </row>
    <row r="65" ht="14.25" spans="1:5">
      <c r="A65" s="2" t="s">
        <v>72</v>
      </c>
      <c r="B65" s="2" t="s">
        <v>70</v>
      </c>
      <c r="C65" s="2">
        <v>3</v>
      </c>
      <c r="D65" s="2">
        <v>4</v>
      </c>
      <c r="E65" s="2">
        <v>58.7</v>
      </c>
    </row>
    <row r="66" ht="14.25" spans="1:5">
      <c r="A66" s="2" t="s">
        <v>73</v>
      </c>
      <c r="B66" s="2" t="s">
        <v>70</v>
      </c>
      <c r="C66" s="2">
        <v>3</v>
      </c>
      <c r="D66" s="2">
        <v>5</v>
      </c>
      <c r="E66" s="2">
        <v>61.7</v>
      </c>
    </row>
    <row r="67" ht="14.25" spans="1:5">
      <c r="A67" s="2" t="s">
        <v>74</v>
      </c>
      <c r="B67" s="2" t="s">
        <v>70</v>
      </c>
      <c r="C67" s="2">
        <v>3</v>
      </c>
      <c r="D67" s="2">
        <v>6</v>
      </c>
      <c r="E67" s="2">
        <v>65.3</v>
      </c>
    </row>
    <row r="68" ht="14.25" spans="1:5">
      <c r="A68" s="2" t="s">
        <v>75</v>
      </c>
      <c r="B68" s="2" t="s">
        <v>70</v>
      </c>
      <c r="C68" s="2">
        <v>3</v>
      </c>
      <c r="D68" s="2">
        <v>7</v>
      </c>
      <c r="E68" s="2" t="s">
        <v>16</v>
      </c>
    </row>
    <row r="69" ht="14.25" spans="1:5">
      <c r="A69" s="2" t="s">
        <v>76</v>
      </c>
      <c r="B69" s="2" t="s">
        <v>70</v>
      </c>
      <c r="C69" s="2">
        <v>3</v>
      </c>
      <c r="D69" s="2">
        <v>8</v>
      </c>
      <c r="E69" s="2">
        <v>66.1</v>
      </c>
    </row>
    <row r="70" ht="14.25" spans="1:5">
      <c r="A70" s="2" t="s">
        <v>77</v>
      </c>
      <c r="B70" s="2" t="s">
        <v>70</v>
      </c>
      <c r="C70" s="2">
        <v>3</v>
      </c>
      <c r="D70" s="2">
        <v>9</v>
      </c>
      <c r="E70" s="2">
        <v>51.2</v>
      </c>
    </row>
    <row r="71" ht="14.25" spans="1:5">
      <c r="A71" s="2" t="s">
        <v>78</v>
      </c>
      <c r="B71" s="2" t="s">
        <v>70</v>
      </c>
      <c r="C71" s="2">
        <v>3</v>
      </c>
      <c r="D71" s="2">
        <v>10</v>
      </c>
      <c r="E71" s="2" t="s">
        <v>16</v>
      </c>
    </row>
    <row r="72" ht="14.25" spans="1:5">
      <c r="A72" s="2" t="s">
        <v>79</v>
      </c>
      <c r="B72" s="2" t="s">
        <v>70</v>
      </c>
      <c r="C72" s="2">
        <v>3</v>
      </c>
      <c r="D72" s="2">
        <v>11</v>
      </c>
      <c r="E72" s="2" t="s">
        <v>16</v>
      </c>
    </row>
    <row r="73" ht="14.25" spans="1:5">
      <c r="A73" s="2" t="s">
        <v>80</v>
      </c>
      <c r="B73" s="2" t="s">
        <v>81</v>
      </c>
      <c r="C73" s="2">
        <v>3</v>
      </c>
      <c r="D73" s="2">
        <v>12</v>
      </c>
      <c r="E73" s="2" t="s">
        <v>16</v>
      </c>
    </row>
    <row r="74" ht="14.25" spans="1:5">
      <c r="A74" s="2" t="s">
        <v>82</v>
      </c>
      <c r="B74" s="2" t="s">
        <v>81</v>
      </c>
      <c r="C74" s="2">
        <v>3</v>
      </c>
      <c r="D74" s="2">
        <v>13</v>
      </c>
      <c r="E74" s="2">
        <v>49.7</v>
      </c>
    </row>
    <row r="75" ht="14.25" spans="1:5">
      <c r="A75" s="2" t="s">
        <v>83</v>
      </c>
      <c r="B75" s="2" t="s">
        <v>81</v>
      </c>
      <c r="C75" s="2">
        <v>3</v>
      </c>
      <c r="D75" s="2">
        <v>14</v>
      </c>
      <c r="E75" s="2" t="s">
        <v>16</v>
      </c>
    </row>
    <row r="76" ht="14.25" spans="1:5">
      <c r="A76" s="2" t="s">
        <v>84</v>
      </c>
      <c r="B76" s="2" t="s">
        <v>81</v>
      </c>
      <c r="C76" s="2">
        <v>3</v>
      </c>
      <c r="D76" s="2">
        <v>15</v>
      </c>
      <c r="E76" s="2" t="s">
        <v>16</v>
      </c>
    </row>
    <row r="77" ht="14.25" spans="1:5">
      <c r="A77" s="2" t="s">
        <v>85</v>
      </c>
      <c r="B77" s="2" t="s">
        <v>81</v>
      </c>
      <c r="C77" s="2">
        <v>3</v>
      </c>
      <c r="D77" s="2">
        <v>16</v>
      </c>
      <c r="E77" s="2" t="s">
        <v>16</v>
      </c>
    </row>
    <row r="78" ht="14.25" spans="1:5">
      <c r="A78" s="2" t="s">
        <v>86</v>
      </c>
      <c r="B78" s="2" t="s">
        <v>81</v>
      </c>
      <c r="C78" s="2">
        <v>3</v>
      </c>
      <c r="D78" s="2">
        <v>17</v>
      </c>
      <c r="E78" s="2">
        <v>49.6</v>
      </c>
    </row>
    <row r="79" ht="14.25" spans="1:5">
      <c r="A79" s="2" t="s">
        <v>87</v>
      </c>
      <c r="B79" s="2" t="s">
        <v>81</v>
      </c>
      <c r="C79" s="2">
        <v>3</v>
      </c>
      <c r="D79" s="2">
        <v>18</v>
      </c>
      <c r="E79" s="2" t="s">
        <v>16</v>
      </c>
    </row>
    <row r="80" ht="14.25" spans="1:5">
      <c r="A80" s="2" t="s">
        <v>88</v>
      </c>
      <c r="B80" s="2" t="s">
        <v>81</v>
      </c>
      <c r="C80" s="2">
        <v>3</v>
      </c>
      <c r="D80" s="2">
        <v>19</v>
      </c>
      <c r="E80" s="2">
        <v>44.4</v>
      </c>
    </row>
    <row r="81" ht="14.25" spans="1:5">
      <c r="A81" s="2" t="s">
        <v>89</v>
      </c>
      <c r="B81" s="2" t="s">
        <v>81</v>
      </c>
      <c r="C81" s="2">
        <v>3</v>
      </c>
      <c r="D81" s="2">
        <v>20</v>
      </c>
      <c r="E81" s="2">
        <v>45</v>
      </c>
    </row>
    <row r="82" ht="14.25" spans="1:5">
      <c r="A82" s="2" t="s">
        <v>90</v>
      </c>
      <c r="B82" s="2" t="s">
        <v>81</v>
      </c>
      <c r="C82" s="2">
        <v>3</v>
      </c>
      <c r="D82" s="2">
        <v>21</v>
      </c>
      <c r="E82" s="2" t="s">
        <v>16</v>
      </c>
    </row>
    <row r="83" ht="14.25" spans="1:5">
      <c r="A83" s="2" t="s">
        <v>91</v>
      </c>
      <c r="B83" s="2" t="s">
        <v>81</v>
      </c>
      <c r="C83" s="2">
        <v>3</v>
      </c>
      <c r="D83" s="2">
        <v>22</v>
      </c>
      <c r="E83" s="2">
        <v>42.5</v>
      </c>
    </row>
    <row r="84" ht="14.25" spans="1:5">
      <c r="A84" s="2" t="s">
        <v>92</v>
      </c>
      <c r="B84" s="2" t="s">
        <v>81</v>
      </c>
      <c r="C84" s="2">
        <v>3</v>
      </c>
      <c r="D84" s="2">
        <v>23</v>
      </c>
      <c r="E84" s="2">
        <v>32.2</v>
      </c>
    </row>
    <row r="85" ht="14.25" spans="1:5">
      <c r="A85" s="2" t="s">
        <v>93</v>
      </c>
      <c r="B85" s="2" t="s">
        <v>81</v>
      </c>
      <c r="C85" s="2">
        <v>3</v>
      </c>
      <c r="D85" s="2">
        <v>24</v>
      </c>
      <c r="E85" s="2">
        <v>35.8</v>
      </c>
    </row>
    <row r="86" ht="14.25" spans="1:5">
      <c r="A86" s="2" t="s">
        <v>94</v>
      </c>
      <c r="B86" s="2" t="s">
        <v>81</v>
      </c>
      <c r="C86" s="2">
        <v>3</v>
      </c>
      <c r="D86" s="2">
        <v>25</v>
      </c>
      <c r="E86" s="2" t="s">
        <v>16</v>
      </c>
    </row>
    <row r="87" ht="14.25" spans="1:5">
      <c r="A87" s="2" t="s">
        <v>95</v>
      </c>
      <c r="B87" s="2" t="s">
        <v>81</v>
      </c>
      <c r="C87" s="2">
        <v>3</v>
      </c>
      <c r="D87" s="2">
        <v>26</v>
      </c>
      <c r="E87" s="2" t="s">
        <v>16</v>
      </c>
    </row>
    <row r="88" ht="14.25" spans="1:5">
      <c r="A88" s="2" t="s">
        <v>96</v>
      </c>
      <c r="B88" s="2" t="s">
        <v>81</v>
      </c>
      <c r="C88" s="2">
        <v>3</v>
      </c>
      <c r="D88" s="2">
        <v>27</v>
      </c>
      <c r="E88" s="2" t="s">
        <v>16</v>
      </c>
    </row>
    <row r="89" ht="14.25" spans="1:5">
      <c r="A89" s="2" t="s">
        <v>97</v>
      </c>
      <c r="B89" s="2" t="s">
        <v>81</v>
      </c>
      <c r="C89" s="2">
        <v>3</v>
      </c>
      <c r="D89" s="2">
        <v>28</v>
      </c>
      <c r="E89" s="2">
        <v>49.3</v>
      </c>
    </row>
    <row r="90" ht="14.25" spans="1:5">
      <c r="A90" s="2" t="s">
        <v>98</v>
      </c>
      <c r="B90" s="2" t="s">
        <v>81</v>
      </c>
      <c r="C90" s="2">
        <v>3</v>
      </c>
      <c r="D90" s="2">
        <v>29</v>
      </c>
      <c r="E90" s="2">
        <v>46</v>
      </c>
    </row>
    <row r="91" ht="14.25" spans="1:5">
      <c r="A91" s="2" t="s">
        <v>99</v>
      </c>
      <c r="B91" s="2" t="s">
        <v>81</v>
      </c>
      <c r="C91" s="2">
        <v>3</v>
      </c>
      <c r="D91" s="2">
        <v>30</v>
      </c>
      <c r="E91" s="2">
        <v>68.3</v>
      </c>
    </row>
    <row r="92" ht="14.25" spans="1:5">
      <c r="A92" s="2" t="s">
        <v>100</v>
      </c>
      <c r="B92" s="2" t="s">
        <v>81</v>
      </c>
      <c r="C92" s="2">
        <v>4</v>
      </c>
      <c r="D92" s="2">
        <v>1</v>
      </c>
      <c r="E92" s="2">
        <v>55.4</v>
      </c>
    </row>
    <row r="93" ht="14.25" spans="1:5">
      <c r="A93" s="2" t="s">
        <v>101</v>
      </c>
      <c r="B93" s="2" t="s">
        <v>81</v>
      </c>
      <c r="C93" s="2">
        <v>4</v>
      </c>
      <c r="D93" s="2">
        <v>2</v>
      </c>
      <c r="E93" s="2">
        <v>57.5</v>
      </c>
    </row>
    <row r="94" ht="14.25" spans="1:5">
      <c r="A94" s="2" t="s">
        <v>102</v>
      </c>
      <c r="B94" s="2" t="s">
        <v>81</v>
      </c>
      <c r="C94" s="2">
        <v>4</v>
      </c>
      <c r="D94" s="2">
        <v>3</v>
      </c>
      <c r="E94" s="2">
        <v>33.9</v>
      </c>
    </row>
    <row r="95" ht="14.25" spans="1:5">
      <c r="A95" s="2" t="s">
        <v>103</v>
      </c>
      <c r="B95" s="2" t="s">
        <v>81</v>
      </c>
      <c r="C95" s="2">
        <v>4</v>
      </c>
      <c r="D95" s="2">
        <v>4</v>
      </c>
      <c r="E95" s="2">
        <v>45.7</v>
      </c>
    </row>
    <row r="96" ht="14.25" spans="1:5">
      <c r="A96" s="2" t="s">
        <v>104</v>
      </c>
      <c r="B96" s="2" t="s">
        <v>81</v>
      </c>
      <c r="C96" s="2">
        <v>4</v>
      </c>
      <c r="D96" s="2">
        <v>5</v>
      </c>
      <c r="E96" s="2">
        <v>41.2</v>
      </c>
    </row>
    <row r="97" ht="14.25" spans="1:5">
      <c r="A97" s="2" t="s">
        <v>105</v>
      </c>
      <c r="B97" s="2" t="s">
        <v>81</v>
      </c>
      <c r="C97" s="2">
        <v>4</v>
      </c>
      <c r="D97" s="2">
        <v>6</v>
      </c>
      <c r="E97" s="2">
        <v>51.3</v>
      </c>
    </row>
    <row r="98" ht="14.25" spans="1:5">
      <c r="A98" s="2" t="s">
        <v>106</v>
      </c>
      <c r="B98" s="2" t="s">
        <v>81</v>
      </c>
      <c r="C98" s="2">
        <v>4</v>
      </c>
      <c r="D98" s="2">
        <v>7</v>
      </c>
      <c r="E98" s="2" t="s">
        <v>16</v>
      </c>
    </row>
    <row r="99" ht="14.25" spans="1:5">
      <c r="A99" s="2" t="s">
        <v>107</v>
      </c>
      <c r="B99" s="2" t="s">
        <v>81</v>
      </c>
      <c r="C99" s="2">
        <v>4</v>
      </c>
      <c r="D99" s="2">
        <v>8</v>
      </c>
      <c r="E99" s="2">
        <v>43.3</v>
      </c>
    </row>
    <row r="100" ht="14.25" spans="1:5">
      <c r="A100" s="2" t="s">
        <v>108</v>
      </c>
      <c r="B100" s="2" t="s">
        <v>81</v>
      </c>
      <c r="C100" s="2">
        <v>4</v>
      </c>
      <c r="D100" s="2">
        <v>9</v>
      </c>
      <c r="E100" s="2" t="s">
        <v>16</v>
      </c>
    </row>
    <row r="101" ht="14.25" spans="1:5">
      <c r="A101" s="2" t="s">
        <v>109</v>
      </c>
      <c r="B101" s="2" t="s">
        <v>81</v>
      </c>
      <c r="C101" s="2">
        <v>4</v>
      </c>
      <c r="D101" s="2">
        <v>10</v>
      </c>
      <c r="E101" s="2">
        <v>45.7</v>
      </c>
    </row>
    <row r="102" ht="14.25" spans="1:5">
      <c r="A102" s="2" t="s">
        <v>110</v>
      </c>
      <c r="B102" s="2" t="s">
        <v>81</v>
      </c>
      <c r="C102" s="2">
        <v>4</v>
      </c>
      <c r="D102" s="2">
        <v>11</v>
      </c>
      <c r="E102" s="2" t="s">
        <v>16</v>
      </c>
    </row>
    <row r="103" ht="14.25" spans="1:5">
      <c r="A103" s="2" t="s">
        <v>111</v>
      </c>
      <c r="B103" s="2" t="s">
        <v>81</v>
      </c>
      <c r="C103" s="2">
        <v>4</v>
      </c>
      <c r="D103" s="2">
        <v>12</v>
      </c>
      <c r="E103" s="2">
        <v>43.7</v>
      </c>
    </row>
    <row r="104" ht="14.25" spans="1:5">
      <c r="A104" s="2" t="s">
        <v>112</v>
      </c>
      <c r="B104" s="2" t="s">
        <v>81</v>
      </c>
      <c r="C104" s="2">
        <v>4</v>
      </c>
      <c r="D104" s="2">
        <v>13</v>
      </c>
      <c r="E104" s="2">
        <v>49.3</v>
      </c>
    </row>
    <row r="105" ht="14.25" spans="1:5">
      <c r="A105" s="2" t="s">
        <v>113</v>
      </c>
      <c r="B105" s="2" t="s">
        <v>81</v>
      </c>
      <c r="C105" s="2">
        <v>4</v>
      </c>
      <c r="D105" s="2">
        <v>14</v>
      </c>
      <c r="E105" s="2">
        <v>42.4</v>
      </c>
    </row>
    <row r="106" ht="14.25" spans="1:5">
      <c r="A106" s="2" t="s">
        <v>114</v>
      </c>
      <c r="B106" s="2" t="s">
        <v>81</v>
      </c>
      <c r="C106" s="2">
        <v>4</v>
      </c>
      <c r="D106" s="2">
        <v>15</v>
      </c>
      <c r="E106" s="2">
        <v>35.8</v>
      </c>
    </row>
    <row r="107" ht="14.25" spans="1:5">
      <c r="A107" s="2" t="s">
        <v>115</v>
      </c>
      <c r="B107" s="2" t="s">
        <v>81</v>
      </c>
      <c r="C107" s="2">
        <v>4</v>
      </c>
      <c r="D107" s="2">
        <v>16</v>
      </c>
      <c r="E107" s="2" t="s">
        <v>16</v>
      </c>
    </row>
    <row r="108" ht="14.25" spans="1:5">
      <c r="A108" s="2" t="s">
        <v>116</v>
      </c>
      <c r="B108" s="2" t="s">
        <v>81</v>
      </c>
      <c r="C108" s="2">
        <v>4</v>
      </c>
      <c r="D108" s="2">
        <v>17</v>
      </c>
      <c r="E108" s="2" t="s">
        <v>16</v>
      </c>
    </row>
    <row r="109" ht="14.25" spans="1:5">
      <c r="A109" s="2" t="s">
        <v>117</v>
      </c>
      <c r="B109" s="2" t="s">
        <v>81</v>
      </c>
      <c r="C109" s="2">
        <v>4</v>
      </c>
      <c r="D109" s="2">
        <v>18</v>
      </c>
      <c r="E109" s="2">
        <v>31.9</v>
      </c>
    </row>
    <row r="110" ht="14.25" spans="1:5">
      <c r="A110" s="2" t="s">
        <v>118</v>
      </c>
      <c r="B110" s="2" t="s">
        <v>81</v>
      </c>
      <c r="C110" s="2">
        <v>4</v>
      </c>
      <c r="D110" s="2">
        <v>19</v>
      </c>
      <c r="E110" s="2">
        <v>52</v>
      </c>
    </row>
    <row r="111" ht="14.25" spans="1:5">
      <c r="A111" s="2" t="s">
        <v>119</v>
      </c>
      <c r="B111" s="2" t="s">
        <v>81</v>
      </c>
      <c r="C111" s="2">
        <v>4</v>
      </c>
      <c r="D111" s="2">
        <v>20</v>
      </c>
      <c r="E111" s="2" t="s">
        <v>16</v>
      </c>
    </row>
    <row r="112" ht="14.25" spans="1:5">
      <c r="A112" s="2" t="s">
        <v>120</v>
      </c>
      <c r="B112" s="2" t="s">
        <v>81</v>
      </c>
      <c r="C112" s="2">
        <v>4</v>
      </c>
      <c r="D112" s="2">
        <v>21</v>
      </c>
      <c r="E112" s="2" t="s">
        <v>16</v>
      </c>
    </row>
    <row r="113" ht="14.25" spans="1:5">
      <c r="A113" s="2" t="s">
        <v>121</v>
      </c>
      <c r="B113" s="2" t="s">
        <v>81</v>
      </c>
      <c r="C113" s="2">
        <v>4</v>
      </c>
      <c r="D113" s="2">
        <v>22</v>
      </c>
      <c r="E113" s="2" t="s">
        <v>16</v>
      </c>
    </row>
    <row r="114" ht="14.25" spans="1:5">
      <c r="A114" s="2" t="s">
        <v>122</v>
      </c>
      <c r="B114" s="2" t="s">
        <v>81</v>
      </c>
      <c r="C114" s="2">
        <v>4</v>
      </c>
      <c r="D114" s="2">
        <v>23</v>
      </c>
      <c r="E114" s="2">
        <v>40.8</v>
      </c>
    </row>
    <row r="115" ht="14.25" spans="1:5">
      <c r="A115" s="2" t="s">
        <v>123</v>
      </c>
      <c r="B115" s="2" t="s">
        <v>81</v>
      </c>
      <c r="C115" s="2">
        <v>4</v>
      </c>
      <c r="D115" s="2">
        <v>24</v>
      </c>
      <c r="E115" s="2" t="s">
        <v>16</v>
      </c>
    </row>
    <row r="116" ht="14.25" spans="1:5">
      <c r="A116" s="2" t="s">
        <v>124</v>
      </c>
      <c r="B116" s="2" t="s">
        <v>81</v>
      </c>
      <c r="C116" s="2">
        <v>4</v>
      </c>
      <c r="D116" s="2">
        <v>25</v>
      </c>
      <c r="E116" s="2" t="s">
        <v>16</v>
      </c>
    </row>
    <row r="117" ht="14.25" spans="1:5">
      <c r="A117" s="2" t="s">
        <v>125</v>
      </c>
      <c r="B117" s="2" t="s">
        <v>81</v>
      </c>
      <c r="C117" s="2">
        <v>4</v>
      </c>
      <c r="D117" s="2">
        <v>26</v>
      </c>
      <c r="E117" s="2">
        <v>40.3</v>
      </c>
    </row>
    <row r="118" ht="14.25" spans="1:5">
      <c r="A118" s="2" t="s">
        <v>126</v>
      </c>
      <c r="B118" s="2" t="s">
        <v>81</v>
      </c>
      <c r="C118" s="2">
        <v>4</v>
      </c>
      <c r="D118" s="2">
        <v>27</v>
      </c>
      <c r="E118" s="2">
        <v>44</v>
      </c>
    </row>
    <row r="119" ht="14.25" spans="1:5">
      <c r="A119" s="2" t="s">
        <v>127</v>
      </c>
      <c r="B119" s="2" t="s">
        <v>81</v>
      </c>
      <c r="C119" s="2">
        <v>4</v>
      </c>
      <c r="D119" s="2">
        <v>28</v>
      </c>
      <c r="E119" s="2" t="s">
        <v>16</v>
      </c>
    </row>
    <row r="120" ht="14.25" spans="1:5">
      <c r="A120" s="2" t="s">
        <v>128</v>
      </c>
      <c r="B120" s="2" t="s">
        <v>81</v>
      </c>
      <c r="C120" s="2">
        <v>4</v>
      </c>
      <c r="D120" s="2">
        <v>29</v>
      </c>
      <c r="E120" s="2" t="s">
        <v>16</v>
      </c>
    </row>
    <row r="121" ht="14.25" spans="1:5">
      <c r="A121" s="2" t="s">
        <v>129</v>
      </c>
      <c r="B121" s="2" t="s">
        <v>81</v>
      </c>
      <c r="C121" s="2">
        <v>4</v>
      </c>
      <c r="D121" s="2">
        <v>30</v>
      </c>
      <c r="E121" s="2" t="s">
        <v>16</v>
      </c>
    </row>
    <row r="122" ht="14.25" spans="1:5">
      <c r="A122" s="2" t="s">
        <v>130</v>
      </c>
      <c r="B122" s="2" t="s">
        <v>81</v>
      </c>
      <c r="C122" s="2">
        <v>5</v>
      </c>
      <c r="D122" s="2">
        <v>1</v>
      </c>
      <c r="E122" s="2" t="s">
        <v>16</v>
      </c>
    </row>
    <row r="123" ht="14.25" spans="1:5">
      <c r="A123" s="2" t="s">
        <v>131</v>
      </c>
      <c r="B123" s="2" t="s">
        <v>81</v>
      </c>
      <c r="C123" s="2">
        <v>5</v>
      </c>
      <c r="D123" s="2">
        <v>2</v>
      </c>
      <c r="E123" s="2">
        <v>51.3</v>
      </c>
    </row>
    <row r="124" ht="14.25" spans="1:5">
      <c r="A124" s="2" t="s">
        <v>132</v>
      </c>
      <c r="B124" s="2" t="s">
        <v>81</v>
      </c>
      <c r="C124" s="2">
        <v>5</v>
      </c>
      <c r="D124" s="2">
        <v>3</v>
      </c>
      <c r="E124" s="2">
        <v>46.3</v>
      </c>
    </row>
    <row r="125" ht="14.25" spans="1:5">
      <c r="A125" s="2" t="s">
        <v>133</v>
      </c>
      <c r="B125" s="2" t="s">
        <v>81</v>
      </c>
      <c r="C125" s="2">
        <v>5</v>
      </c>
      <c r="D125" s="2">
        <v>4</v>
      </c>
      <c r="E125" s="2">
        <v>35.8</v>
      </c>
    </row>
    <row r="126" ht="14.25" spans="1:5">
      <c r="A126" s="2" t="s">
        <v>134</v>
      </c>
      <c r="B126" s="2" t="s">
        <v>81</v>
      </c>
      <c r="C126" s="2">
        <v>5</v>
      </c>
      <c r="D126" s="2">
        <v>5</v>
      </c>
      <c r="E126" s="2" t="s">
        <v>16</v>
      </c>
    </row>
    <row r="127" ht="14.25" spans="1:5">
      <c r="A127" s="2" t="s">
        <v>135</v>
      </c>
      <c r="B127" s="2" t="s">
        <v>81</v>
      </c>
      <c r="C127" s="2">
        <v>5</v>
      </c>
      <c r="D127" s="2">
        <v>6</v>
      </c>
      <c r="E127" s="2" t="s">
        <v>16</v>
      </c>
    </row>
    <row r="128" ht="14.25" spans="1:5">
      <c r="A128" s="2" t="s">
        <v>136</v>
      </c>
      <c r="B128" s="2" t="s">
        <v>81</v>
      </c>
      <c r="C128" s="2">
        <v>5</v>
      </c>
      <c r="D128" s="2">
        <v>7</v>
      </c>
      <c r="E128" s="2">
        <v>52.9</v>
      </c>
    </row>
    <row r="129" ht="14.25" spans="1:5">
      <c r="A129" s="2" t="s">
        <v>137</v>
      </c>
      <c r="B129" s="2" t="s">
        <v>81</v>
      </c>
      <c r="C129" s="2">
        <v>5</v>
      </c>
      <c r="D129" s="2">
        <v>8</v>
      </c>
      <c r="E129" s="2" t="s">
        <v>16</v>
      </c>
    </row>
    <row r="130" ht="14.25" spans="1:5">
      <c r="A130" s="2" t="s">
        <v>138</v>
      </c>
      <c r="B130" s="2" t="s">
        <v>81</v>
      </c>
      <c r="C130" s="2">
        <v>5</v>
      </c>
      <c r="D130" s="2">
        <v>9</v>
      </c>
      <c r="E130" s="2">
        <v>53.9</v>
      </c>
    </row>
    <row r="131" ht="14.25" spans="1:5">
      <c r="A131" s="2" t="s">
        <v>139</v>
      </c>
      <c r="B131" s="2" t="s">
        <v>81</v>
      </c>
      <c r="C131" s="2">
        <v>5</v>
      </c>
      <c r="D131" s="2">
        <v>10</v>
      </c>
      <c r="E131" s="2">
        <v>51.2</v>
      </c>
    </row>
    <row r="132" ht="14.25" spans="1:5">
      <c r="A132" s="2" t="s">
        <v>140</v>
      </c>
      <c r="B132" s="2" t="s">
        <v>81</v>
      </c>
      <c r="C132" s="2">
        <v>5</v>
      </c>
      <c r="D132" s="2">
        <v>11</v>
      </c>
      <c r="E132" s="2" t="s">
        <v>16</v>
      </c>
    </row>
    <row r="133" ht="14.25" spans="1:5">
      <c r="A133" s="2" t="s">
        <v>141</v>
      </c>
      <c r="B133" s="2" t="s">
        <v>81</v>
      </c>
      <c r="C133" s="2">
        <v>5</v>
      </c>
      <c r="D133" s="2">
        <v>12</v>
      </c>
      <c r="E133" s="2" t="s">
        <v>16</v>
      </c>
    </row>
    <row r="134" ht="14.25" spans="1:5">
      <c r="A134" s="2" t="s">
        <v>142</v>
      </c>
      <c r="B134" s="2" t="s">
        <v>81</v>
      </c>
      <c r="C134" s="2">
        <v>5</v>
      </c>
      <c r="D134" s="2">
        <v>13</v>
      </c>
      <c r="E134" s="2" t="s">
        <v>16</v>
      </c>
    </row>
    <row r="135" ht="14.25" spans="1:5">
      <c r="A135" s="2" t="s">
        <v>143</v>
      </c>
      <c r="B135" s="2" t="s">
        <v>81</v>
      </c>
      <c r="C135" s="2">
        <v>5</v>
      </c>
      <c r="D135" s="2">
        <v>14</v>
      </c>
      <c r="E135" s="2" t="s">
        <v>16</v>
      </c>
    </row>
    <row r="136" ht="14.25" spans="1:5">
      <c r="A136" s="2" t="s">
        <v>144</v>
      </c>
      <c r="B136" s="2" t="s">
        <v>81</v>
      </c>
      <c r="C136" s="2">
        <v>5</v>
      </c>
      <c r="D136" s="2">
        <v>15</v>
      </c>
      <c r="E136" s="2" t="s">
        <v>16</v>
      </c>
    </row>
    <row r="137" ht="14.25" spans="1:5">
      <c r="A137" s="2" t="s">
        <v>145</v>
      </c>
      <c r="B137" s="2" t="s">
        <v>81</v>
      </c>
      <c r="C137" s="2">
        <v>5</v>
      </c>
      <c r="D137" s="2">
        <v>16</v>
      </c>
      <c r="E137" s="2" t="s">
        <v>16</v>
      </c>
    </row>
    <row r="138" ht="14.25" spans="1:5">
      <c r="A138" s="2" t="s">
        <v>146</v>
      </c>
      <c r="B138" s="2" t="s">
        <v>81</v>
      </c>
      <c r="C138" s="2">
        <v>5</v>
      </c>
      <c r="D138" s="2">
        <v>17</v>
      </c>
      <c r="E138" s="2">
        <v>52.5</v>
      </c>
    </row>
    <row r="139" ht="14.25" spans="1:5">
      <c r="A139" s="2" t="s">
        <v>147</v>
      </c>
      <c r="B139" s="2" t="s">
        <v>81</v>
      </c>
      <c r="C139" s="2">
        <v>5</v>
      </c>
      <c r="D139" s="2">
        <v>18</v>
      </c>
      <c r="E139" s="2" t="s">
        <v>16</v>
      </c>
    </row>
    <row r="140" ht="14.25" spans="1:5">
      <c r="A140" s="2" t="s">
        <v>148</v>
      </c>
      <c r="B140" s="2" t="s">
        <v>81</v>
      </c>
      <c r="C140" s="2">
        <v>5</v>
      </c>
      <c r="D140" s="2">
        <v>19</v>
      </c>
      <c r="E140" s="2">
        <v>50</v>
      </c>
    </row>
    <row r="141" ht="14.25" spans="1:5">
      <c r="A141" s="2" t="s">
        <v>149</v>
      </c>
      <c r="B141" s="2" t="s">
        <v>81</v>
      </c>
      <c r="C141" s="2">
        <v>5</v>
      </c>
      <c r="D141" s="2">
        <v>20</v>
      </c>
      <c r="E141" s="2">
        <v>55.4</v>
      </c>
    </row>
    <row r="142" ht="14.25" spans="1:5">
      <c r="A142" s="2" t="s">
        <v>150</v>
      </c>
      <c r="B142" s="2" t="s">
        <v>81</v>
      </c>
      <c r="C142" s="2">
        <v>5</v>
      </c>
      <c r="D142" s="2">
        <v>21</v>
      </c>
      <c r="E142" s="2" t="s">
        <v>16</v>
      </c>
    </row>
    <row r="143" ht="14.25" spans="1:5">
      <c r="A143" s="2" t="s">
        <v>151</v>
      </c>
      <c r="B143" s="2" t="s">
        <v>81</v>
      </c>
      <c r="C143" s="2">
        <v>5</v>
      </c>
      <c r="D143" s="2">
        <v>22</v>
      </c>
      <c r="E143" s="2">
        <v>41</v>
      </c>
    </row>
    <row r="144" ht="14.25" spans="1:5">
      <c r="A144" s="2" t="s">
        <v>152</v>
      </c>
      <c r="B144" s="2" t="s">
        <v>81</v>
      </c>
      <c r="C144" s="2">
        <v>5</v>
      </c>
      <c r="D144" s="2">
        <v>23</v>
      </c>
      <c r="E144" s="2">
        <v>48.3</v>
      </c>
    </row>
    <row r="145" ht="14.25" spans="1:5">
      <c r="A145" s="2" t="s">
        <v>153</v>
      </c>
      <c r="B145" s="2" t="s">
        <v>81</v>
      </c>
      <c r="C145" s="2">
        <v>5</v>
      </c>
      <c r="D145" s="2">
        <v>24</v>
      </c>
      <c r="E145" s="2" t="s">
        <v>16</v>
      </c>
    </row>
    <row r="146" ht="14.25" spans="1:5">
      <c r="A146" s="2" t="s">
        <v>154</v>
      </c>
      <c r="B146" s="2" t="s">
        <v>81</v>
      </c>
      <c r="C146" s="2">
        <v>5</v>
      </c>
      <c r="D146" s="2">
        <v>25</v>
      </c>
      <c r="E146" s="2" t="s">
        <v>16</v>
      </c>
    </row>
    <row r="147" ht="14.25" spans="1:5">
      <c r="A147" s="2" t="s">
        <v>155</v>
      </c>
      <c r="B147" s="2" t="s">
        <v>156</v>
      </c>
      <c r="C147" s="2">
        <v>6</v>
      </c>
      <c r="D147" s="2">
        <v>1</v>
      </c>
      <c r="E147" s="2" t="s">
        <v>16</v>
      </c>
    </row>
    <row r="148" ht="14.25" spans="1:5">
      <c r="A148" s="2" t="s">
        <v>157</v>
      </c>
      <c r="B148" s="2" t="s">
        <v>156</v>
      </c>
      <c r="C148" s="2">
        <v>6</v>
      </c>
      <c r="D148" s="2">
        <v>2</v>
      </c>
      <c r="E148" s="2" t="s">
        <v>16</v>
      </c>
    </row>
    <row r="149" ht="14.25" spans="1:5">
      <c r="A149" s="2" t="s">
        <v>158</v>
      </c>
      <c r="B149" s="2" t="s">
        <v>156</v>
      </c>
      <c r="C149" s="2">
        <v>6</v>
      </c>
      <c r="D149" s="2">
        <v>3</v>
      </c>
      <c r="E149" s="2" t="s">
        <v>16</v>
      </c>
    </row>
    <row r="150" ht="14.25" spans="1:5">
      <c r="A150" s="2" t="s">
        <v>159</v>
      </c>
      <c r="B150" s="2" t="s">
        <v>156</v>
      </c>
      <c r="C150" s="2">
        <v>6</v>
      </c>
      <c r="D150" s="2">
        <v>4</v>
      </c>
      <c r="E150" s="2" t="s">
        <v>16</v>
      </c>
    </row>
    <row r="151" ht="14.25" spans="1:5">
      <c r="A151" s="2" t="s">
        <v>160</v>
      </c>
      <c r="B151" s="2" t="s">
        <v>156</v>
      </c>
      <c r="C151" s="2">
        <v>6</v>
      </c>
      <c r="D151" s="2">
        <v>5</v>
      </c>
      <c r="E151" s="2">
        <v>59.5</v>
      </c>
    </row>
    <row r="152" ht="14.25" spans="1:5">
      <c r="A152" s="2" t="s">
        <v>161</v>
      </c>
      <c r="B152" s="2" t="s">
        <v>156</v>
      </c>
      <c r="C152" s="2">
        <v>6</v>
      </c>
      <c r="D152" s="2">
        <v>6</v>
      </c>
      <c r="E152" s="2" t="s">
        <v>16</v>
      </c>
    </row>
    <row r="153" ht="14.25" spans="1:5">
      <c r="A153" s="2" t="s">
        <v>162</v>
      </c>
      <c r="B153" s="2" t="s">
        <v>156</v>
      </c>
      <c r="C153" s="2">
        <v>6</v>
      </c>
      <c r="D153" s="2">
        <v>7</v>
      </c>
      <c r="E153" s="2" t="s">
        <v>16</v>
      </c>
    </row>
    <row r="154" ht="14.25" spans="1:5">
      <c r="A154" s="2" t="s">
        <v>163</v>
      </c>
      <c r="B154" s="2" t="s">
        <v>156</v>
      </c>
      <c r="C154" s="2">
        <v>6</v>
      </c>
      <c r="D154" s="2">
        <v>8</v>
      </c>
      <c r="E154" s="2">
        <v>62.1</v>
      </c>
    </row>
    <row r="155" ht="14.25" spans="1:5">
      <c r="A155" s="2" t="s">
        <v>164</v>
      </c>
      <c r="B155" s="2" t="s">
        <v>156</v>
      </c>
      <c r="C155" s="2">
        <v>6</v>
      </c>
      <c r="D155" s="2">
        <v>9</v>
      </c>
      <c r="E155" s="2">
        <v>74.2</v>
      </c>
    </row>
    <row r="156" ht="14.25" spans="1:5">
      <c r="A156" s="2" t="s">
        <v>165</v>
      </c>
      <c r="B156" s="2" t="s">
        <v>156</v>
      </c>
      <c r="C156" s="2">
        <v>6</v>
      </c>
      <c r="D156" s="2">
        <v>10</v>
      </c>
      <c r="E156" s="2">
        <v>75.5</v>
      </c>
    </row>
    <row r="157" ht="14.25" spans="1:5">
      <c r="A157" s="2" t="s">
        <v>166</v>
      </c>
      <c r="B157" s="2" t="s">
        <v>156</v>
      </c>
      <c r="C157" s="2">
        <v>6</v>
      </c>
      <c r="D157" s="2">
        <v>11</v>
      </c>
      <c r="E157" s="2" t="s">
        <v>16</v>
      </c>
    </row>
    <row r="158" ht="14.25" spans="1:5">
      <c r="A158" s="2" t="s">
        <v>167</v>
      </c>
      <c r="B158" s="2" t="s">
        <v>156</v>
      </c>
      <c r="C158" s="2">
        <v>6</v>
      </c>
      <c r="D158" s="2">
        <v>12</v>
      </c>
      <c r="E158" s="2">
        <v>58.5</v>
      </c>
    </row>
    <row r="159" ht="14.25" spans="1:5">
      <c r="A159" s="2" t="s">
        <v>168</v>
      </c>
      <c r="B159" s="2" t="s">
        <v>156</v>
      </c>
      <c r="C159" s="2">
        <v>6</v>
      </c>
      <c r="D159" s="2">
        <v>13</v>
      </c>
      <c r="E159" s="2" t="s">
        <v>16</v>
      </c>
    </row>
    <row r="160" ht="14.25" spans="1:5">
      <c r="A160" s="2" t="s">
        <v>169</v>
      </c>
      <c r="B160" s="2" t="s">
        <v>156</v>
      </c>
      <c r="C160" s="2">
        <v>6</v>
      </c>
      <c r="D160" s="2">
        <v>14</v>
      </c>
      <c r="E160" s="2">
        <v>73.8</v>
      </c>
    </row>
    <row r="161" ht="14.25" spans="1:5">
      <c r="A161" s="2" t="s">
        <v>170</v>
      </c>
      <c r="B161" s="2" t="s">
        <v>156</v>
      </c>
      <c r="C161" s="2">
        <v>6</v>
      </c>
      <c r="D161" s="2">
        <v>15</v>
      </c>
      <c r="E161" s="2">
        <v>40.2</v>
      </c>
    </row>
    <row r="162" ht="14.25" spans="1:5">
      <c r="A162" s="2" t="s">
        <v>171</v>
      </c>
      <c r="B162" s="2" t="s">
        <v>156</v>
      </c>
      <c r="C162" s="2">
        <v>6</v>
      </c>
      <c r="D162" s="2">
        <v>16</v>
      </c>
      <c r="E162" s="2" t="s">
        <v>16</v>
      </c>
    </row>
    <row r="163" ht="14.25" spans="1:5">
      <c r="A163" s="2" t="s">
        <v>172</v>
      </c>
      <c r="B163" s="2" t="s">
        <v>173</v>
      </c>
      <c r="C163" s="2">
        <v>7</v>
      </c>
      <c r="D163" s="2">
        <v>1</v>
      </c>
      <c r="E163" s="2">
        <v>0</v>
      </c>
    </row>
    <row r="164" ht="14.25" spans="1:5">
      <c r="A164" s="2" t="s">
        <v>174</v>
      </c>
      <c r="B164" s="2" t="s">
        <v>173</v>
      </c>
      <c r="C164" s="2">
        <v>7</v>
      </c>
      <c r="D164" s="2">
        <v>2</v>
      </c>
      <c r="E164" s="2">
        <v>53.3</v>
      </c>
    </row>
    <row r="165" ht="14.25" spans="1:5">
      <c r="A165" s="2" t="s">
        <v>175</v>
      </c>
      <c r="B165" s="2" t="s">
        <v>173</v>
      </c>
      <c r="C165" s="2">
        <v>7</v>
      </c>
      <c r="D165" s="2">
        <v>3</v>
      </c>
      <c r="E165" s="2">
        <v>68.2</v>
      </c>
    </row>
    <row r="166" ht="14.25" spans="1:5">
      <c r="A166" s="2" t="s">
        <v>176</v>
      </c>
      <c r="B166" s="2" t="s">
        <v>173</v>
      </c>
      <c r="C166" s="2">
        <v>7</v>
      </c>
      <c r="D166" s="2">
        <v>4</v>
      </c>
      <c r="E166" s="2" t="s">
        <v>16</v>
      </c>
    </row>
    <row r="167" ht="14.25" spans="1:5">
      <c r="A167" s="2" t="s">
        <v>177</v>
      </c>
      <c r="B167" s="2" t="s">
        <v>173</v>
      </c>
      <c r="C167" s="2">
        <v>7</v>
      </c>
      <c r="D167" s="2">
        <v>5</v>
      </c>
      <c r="E167" s="2" t="s">
        <v>16</v>
      </c>
    </row>
    <row r="168" ht="14.25" spans="1:5">
      <c r="A168" s="2" t="s">
        <v>178</v>
      </c>
      <c r="B168" s="2" t="s">
        <v>179</v>
      </c>
      <c r="C168" s="2">
        <v>7</v>
      </c>
      <c r="D168" s="2">
        <v>6</v>
      </c>
      <c r="E168" s="2">
        <v>57.8</v>
      </c>
    </row>
    <row r="169" ht="14.25" spans="1:5">
      <c r="A169" s="2" t="s">
        <v>180</v>
      </c>
      <c r="B169" s="2" t="s">
        <v>179</v>
      </c>
      <c r="C169" s="2">
        <v>7</v>
      </c>
      <c r="D169" s="2">
        <v>7</v>
      </c>
      <c r="E169" s="2">
        <v>53.3</v>
      </c>
    </row>
    <row r="170" ht="14.25" spans="1:5">
      <c r="A170" s="2" t="s">
        <v>181</v>
      </c>
      <c r="B170" s="2" t="s">
        <v>179</v>
      </c>
      <c r="C170" s="2">
        <v>7</v>
      </c>
      <c r="D170" s="2">
        <v>8</v>
      </c>
      <c r="E170" s="2">
        <v>45.5</v>
      </c>
    </row>
    <row r="171" ht="14.25" spans="1:5">
      <c r="A171" s="2" t="s">
        <v>182</v>
      </c>
      <c r="B171" s="2" t="s">
        <v>179</v>
      </c>
      <c r="C171" s="2">
        <v>7</v>
      </c>
      <c r="D171" s="2">
        <v>9</v>
      </c>
      <c r="E171" s="2">
        <v>53.9</v>
      </c>
    </row>
    <row r="172" ht="14.25" spans="1:5">
      <c r="A172" s="2" t="s">
        <v>183</v>
      </c>
      <c r="B172" s="2" t="s">
        <v>179</v>
      </c>
      <c r="C172" s="2">
        <v>7</v>
      </c>
      <c r="D172" s="2">
        <v>10</v>
      </c>
      <c r="E172" s="2">
        <v>46.1</v>
      </c>
    </row>
    <row r="173" ht="14.25" spans="1:5">
      <c r="A173" s="2" t="s">
        <v>184</v>
      </c>
      <c r="B173" s="2" t="s">
        <v>179</v>
      </c>
      <c r="C173" s="2">
        <v>7</v>
      </c>
      <c r="D173" s="2">
        <v>11</v>
      </c>
      <c r="E173" s="2">
        <v>44.7</v>
      </c>
    </row>
    <row r="174" ht="14.25" spans="1:5">
      <c r="A174" s="2" t="s">
        <v>185</v>
      </c>
      <c r="B174" s="2" t="s">
        <v>179</v>
      </c>
      <c r="C174" s="2">
        <v>7</v>
      </c>
      <c r="D174" s="2">
        <v>12</v>
      </c>
      <c r="E174" s="2">
        <v>50.7</v>
      </c>
    </row>
    <row r="175" ht="14.25" spans="1:5">
      <c r="A175" s="2" t="s">
        <v>186</v>
      </c>
      <c r="B175" s="2" t="s">
        <v>179</v>
      </c>
      <c r="C175" s="2">
        <v>7</v>
      </c>
      <c r="D175" s="2">
        <v>13</v>
      </c>
      <c r="E175" s="2">
        <v>75.4</v>
      </c>
    </row>
    <row r="176" ht="14.25" spans="1:5">
      <c r="A176" s="2" t="s">
        <v>187</v>
      </c>
      <c r="B176" s="2" t="s">
        <v>179</v>
      </c>
      <c r="C176" s="2">
        <v>7</v>
      </c>
      <c r="D176" s="2">
        <v>14</v>
      </c>
      <c r="E176" s="2" t="s">
        <v>16</v>
      </c>
    </row>
    <row r="177" ht="14.25" spans="1:5">
      <c r="A177" s="2" t="s">
        <v>188</v>
      </c>
      <c r="B177" s="2" t="s">
        <v>179</v>
      </c>
      <c r="C177" s="2">
        <v>7</v>
      </c>
      <c r="D177" s="2">
        <v>15</v>
      </c>
      <c r="E177" s="2">
        <v>45.1</v>
      </c>
    </row>
    <row r="178" ht="14.25" spans="1:5">
      <c r="A178" s="2" t="s">
        <v>189</v>
      </c>
      <c r="B178" s="2" t="s">
        <v>179</v>
      </c>
      <c r="C178" s="2">
        <v>7</v>
      </c>
      <c r="D178" s="2">
        <v>16</v>
      </c>
      <c r="E178" s="2">
        <v>67.7</v>
      </c>
    </row>
    <row r="179" ht="14.25" spans="1:5">
      <c r="A179" s="2" t="s">
        <v>190</v>
      </c>
      <c r="B179" s="2" t="s">
        <v>179</v>
      </c>
      <c r="C179" s="2">
        <v>7</v>
      </c>
      <c r="D179" s="2">
        <v>17</v>
      </c>
      <c r="E179" s="2">
        <v>67.7</v>
      </c>
    </row>
    <row r="180" ht="14.25" spans="1:5">
      <c r="A180" s="2" t="s">
        <v>191</v>
      </c>
      <c r="B180" s="2" t="s">
        <v>179</v>
      </c>
      <c r="C180" s="2">
        <v>7</v>
      </c>
      <c r="D180" s="2">
        <v>18</v>
      </c>
      <c r="E180" s="2">
        <v>51.6</v>
      </c>
    </row>
    <row r="181" ht="14.25" spans="1:5">
      <c r="A181" s="2" t="s">
        <v>192</v>
      </c>
      <c r="B181" s="2" t="s">
        <v>179</v>
      </c>
      <c r="C181" s="2">
        <v>7</v>
      </c>
      <c r="D181" s="2">
        <v>19</v>
      </c>
      <c r="E181" s="2">
        <v>52.9</v>
      </c>
    </row>
    <row r="182" ht="14.25" spans="1:5">
      <c r="A182" s="2" t="s">
        <v>193</v>
      </c>
      <c r="B182" s="2" t="s">
        <v>179</v>
      </c>
      <c r="C182" s="2">
        <v>7</v>
      </c>
      <c r="D182" s="2">
        <v>20</v>
      </c>
      <c r="E182" s="2" t="s">
        <v>16</v>
      </c>
    </row>
    <row r="183" ht="14.25" spans="1:5">
      <c r="A183" s="2" t="s">
        <v>194</v>
      </c>
      <c r="B183" s="2" t="s">
        <v>179</v>
      </c>
      <c r="C183" s="2">
        <v>7</v>
      </c>
      <c r="D183" s="2">
        <v>21</v>
      </c>
      <c r="E183" s="2">
        <v>60.2</v>
      </c>
    </row>
    <row r="184" ht="14.25" spans="1:5">
      <c r="A184" s="2" t="s">
        <v>195</v>
      </c>
      <c r="B184" s="2" t="s">
        <v>179</v>
      </c>
      <c r="C184" s="2">
        <v>7</v>
      </c>
      <c r="D184" s="2">
        <v>22</v>
      </c>
      <c r="E184" s="2">
        <v>35.2</v>
      </c>
    </row>
    <row r="185" ht="14.25" spans="1:5">
      <c r="A185" s="2" t="s">
        <v>196</v>
      </c>
      <c r="B185" s="2" t="s">
        <v>179</v>
      </c>
      <c r="C185" s="2">
        <v>7</v>
      </c>
      <c r="D185" s="2">
        <v>23</v>
      </c>
      <c r="E185" s="2">
        <v>58.8</v>
      </c>
    </row>
    <row r="186" ht="14.25" spans="1:5">
      <c r="A186" s="2" t="s">
        <v>197</v>
      </c>
      <c r="B186" s="2" t="s">
        <v>179</v>
      </c>
      <c r="C186" s="2">
        <v>7</v>
      </c>
      <c r="D186" s="2">
        <v>24</v>
      </c>
      <c r="E186" s="2" t="s">
        <v>16</v>
      </c>
    </row>
    <row r="187" ht="14.25" spans="1:5">
      <c r="A187" s="2" t="s">
        <v>198</v>
      </c>
      <c r="B187" s="2" t="s">
        <v>179</v>
      </c>
      <c r="C187" s="2">
        <v>7</v>
      </c>
      <c r="D187" s="2">
        <v>25</v>
      </c>
      <c r="E187" s="2" t="s">
        <v>16</v>
      </c>
    </row>
    <row r="188" ht="14.25" spans="1:5">
      <c r="A188" s="2" t="s">
        <v>199</v>
      </c>
      <c r="B188" s="2" t="s">
        <v>179</v>
      </c>
      <c r="C188" s="2">
        <v>7</v>
      </c>
      <c r="D188" s="2">
        <v>26</v>
      </c>
      <c r="E188" s="2" t="s">
        <v>16</v>
      </c>
    </row>
    <row r="189" ht="14.25" spans="1:5">
      <c r="A189" s="2" t="s">
        <v>200</v>
      </c>
      <c r="B189" s="2" t="s">
        <v>179</v>
      </c>
      <c r="C189" s="2">
        <v>7</v>
      </c>
      <c r="D189" s="2">
        <v>27</v>
      </c>
      <c r="E189" s="2" t="s">
        <v>16</v>
      </c>
    </row>
    <row r="190" ht="14.25" spans="1:5">
      <c r="A190" s="2" t="s">
        <v>201</v>
      </c>
      <c r="B190" s="2" t="s">
        <v>179</v>
      </c>
      <c r="C190" s="2">
        <v>7</v>
      </c>
      <c r="D190" s="2">
        <v>28</v>
      </c>
      <c r="E190" s="2" t="s">
        <v>16</v>
      </c>
    </row>
    <row r="191" ht="14.25" spans="1:5">
      <c r="A191" s="2" t="s">
        <v>202</v>
      </c>
      <c r="B191" s="2" t="s">
        <v>179</v>
      </c>
      <c r="C191" s="2">
        <v>7</v>
      </c>
      <c r="D191" s="2">
        <v>29</v>
      </c>
      <c r="E191" s="2" t="s">
        <v>16</v>
      </c>
    </row>
    <row r="192" ht="14.25" spans="1:5">
      <c r="A192" s="2" t="s">
        <v>203</v>
      </c>
      <c r="B192" s="2" t="s">
        <v>179</v>
      </c>
      <c r="C192" s="2">
        <v>7</v>
      </c>
      <c r="D192" s="2">
        <v>30</v>
      </c>
      <c r="E192" s="2" t="s">
        <v>16</v>
      </c>
    </row>
    <row r="193" ht="14.25" spans="1:5">
      <c r="A193" s="2" t="s">
        <v>204</v>
      </c>
      <c r="B193" s="2" t="s">
        <v>179</v>
      </c>
      <c r="C193" s="2">
        <v>8</v>
      </c>
      <c r="D193" s="2">
        <v>1</v>
      </c>
      <c r="E193" s="2" t="s">
        <v>16</v>
      </c>
    </row>
    <row r="194" ht="14.25" spans="1:5">
      <c r="A194" s="2" t="s">
        <v>205</v>
      </c>
      <c r="B194" s="2" t="s">
        <v>179</v>
      </c>
      <c r="C194" s="2">
        <v>8</v>
      </c>
      <c r="D194" s="2">
        <v>2</v>
      </c>
      <c r="E194" s="2" t="s">
        <v>16</v>
      </c>
    </row>
    <row r="195" ht="14.25" spans="1:5">
      <c r="A195" s="2" t="s">
        <v>206</v>
      </c>
      <c r="B195" s="2" t="s">
        <v>179</v>
      </c>
      <c r="C195" s="2">
        <v>8</v>
      </c>
      <c r="D195" s="2">
        <v>3</v>
      </c>
      <c r="E195" s="2">
        <v>50</v>
      </c>
    </row>
    <row r="196" ht="14.25" spans="1:5">
      <c r="A196" s="2" t="s">
        <v>207</v>
      </c>
      <c r="B196" s="2" t="s">
        <v>179</v>
      </c>
      <c r="C196" s="2">
        <v>8</v>
      </c>
      <c r="D196" s="2">
        <v>4</v>
      </c>
      <c r="E196" s="2">
        <v>48.8</v>
      </c>
    </row>
    <row r="197" ht="14.25" spans="1:5">
      <c r="A197" s="2" t="s">
        <v>208</v>
      </c>
      <c r="B197" s="2" t="s">
        <v>179</v>
      </c>
      <c r="C197" s="2">
        <v>8</v>
      </c>
      <c r="D197" s="2">
        <v>5</v>
      </c>
      <c r="E197" s="2">
        <v>44.1</v>
      </c>
    </row>
    <row r="198" ht="14.25" spans="1:5">
      <c r="A198" s="2" t="s">
        <v>209</v>
      </c>
      <c r="B198" s="2" t="s">
        <v>179</v>
      </c>
      <c r="C198" s="2">
        <v>8</v>
      </c>
      <c r="D198" s="2">
        <v>6</v>
      </c>
      <c r="E198" s="2">
        <v>61.3</v>
      </c>
    </row>
    <row r="199" ht="14.25" spans="1:5">
      <c r="A199" s="2" t="s">
        <v>210</v>
      </c>
      <c r="B199" s="2" t="s">
        <v>179</v>
      </c>
      <c r="C199" s="2">
        <v>8</v>
      </c>
      <c r="D199" s="2">
        <v>7</v>
      </c>
      <c r="E199" s="2">
        <v>44.8</v>
      </c>
    </row>
    <row r="200" ht="14.25" spans="1:5">
      <c r="A200" s="2" t="s">
        <v>211</v>
      </c>
      <c r="B200" s="2" t="s">
        <v>179</v>
      </c>
      <c r="C200" s="2">
        <v>8</v>
      </c>
      <c r="D200" s="2">
        <v>8</v>
      </c>
      <c r="E200" s="2">
        <v>52.6</v>
      </c>
    </row>
    <row r="201" ht="14.25" spans="1:5">
      <c r="A201" s="2" t="s">
        <v>212</v>
      </c>
      <c r="B201" s="2" t="s">
        <v>179</v>
      </c>
      <c r="C201" s="2">
        <v>8</v>
      </c>
      <c r="D201" s="2">
        <v>9</v>
      </c>
      <c r="E201" s="2">
        <v>52</v>
      </c>
    </row>
    <row r="202" ht="14.25" spans="1:5">
      <c r="A202" s="2" t="s">
        <v>213</v>
      </c>
      <c r="B202" s="2" t="s">
        <v>179</v>
      </c>
      <c r="C202" s="2">
        <v>8</v>
      </c>
      <c r="D202" s="2">
        <v>10</v>
      </c>
      <c r="E202" s="2" t="s">
        <v>16</v>
      </c>
    </row>
    <row r="203" ht="14.25" spans="1:5">
      <c r="A203" s="2" t="s">
        <v>214</v>
      </c>
      <c r="B203" s="2" t="s">
        <v>179</v>
      </c>
      <c r="C203" s="2">
        <v>8</v>
      </c>
      <c r="D203" s="2">
        <v>11</v>
      </c>
      <c r="E203" s="2">
        <v>34.9</v>
      </c>
    </row>
    <row r="204" ht="14.25" spans="1:5">
      <c r="A204" s="2" t="s">
        <v>215</v>
      </c>
      <c r="B204" s="2" t="s">
        <v>179</v>
      </c>
      <c r="C204" s="2">
        <v>8</v>
      </c>
      <c r="D204" s="2">
        <v>12</v>
      </c>
      <c r="E204" s="2">
        <v>44.7</v>
      </c>
    </row>
    <row r="205" ht="14.25" spans="1:5">
      <c r="A205" s="2" t="s">
        <v>216</v>
      </c>
      <c r="B205" s="2" t="s">
        <v>179</v>
      </c>
      <c r="C205" s="2">
        <v>8</v>
      </c>
      <c r="D205" s="2">
        <v>13</v>
      </c>
      <c r="E205" s="2">
        <v>61.1</v>
      </c>
    </row>
    <row r="206" ht="14.25" spans="1:5">
      <c r="A206" s="2" t="s">
        <v>217</v>
      </c>
      <c r="B206" s="2" t="s">
        <v>179</v>
      </c>
      <c r="C206" s="2">
        <v>8</v>
      </c>
      <c r="D206" s="2">
        <v>14</v>
      </c>
      <c r="E206" s="2" t="s">
        <v>16</v>
      </c>
    </row>
    <row r="207" ht="14.25" spans="1:5">
      <c r="A207" s="2" t="s">
        <v>218</v>
      </c>
      <c r="B207" s="2" t="s">
        <v>179</v>
      </c>
      <c r="C207" s="2">
        <v>8</v>
      </c>
      <c r="D207" s="2">
        <v>15</v>
      </c>
      <c r="E207" s="2" t="s">
        <v>16</v>
      </c>
    </row>
    <row r="208" ht="14.25" spans="1:5">
      <c r="A208" s="2" t="s">
        <v>219</v>
      </c>
      <c r="B208" s="2" t="s">
        <v>179</v>
      </c>
      <c r="C208" s="2">
        <v>8</v>
      </c>
      <c r="D208" s="2">
        <v>16</v>
      </c>
      <c r="E208" s="2" t="s">
        <v>16</v>
      </c>
    </row>
    <row r="209" ht="14.25" spans="1:5">
      <c r="A209" s="2" t="s">
        <v>220</v>
      </c>
      <c r="B209" s="2" t="s">
        <v>179</v>
      </c>
      <c r="C209" s="2">
        <v>8</v>
      </c>
      <c r="D209" s="2">
        <v>17</v>
      </c>
      <c r="E209" s="2">
        <v>53.9</v>
      </c>
    </row>
    <row r="210" ht="14.25" spans="1:5">
      <c r="A210" s="2" t="s">
        <v>221</v>
      </c>
      <c r="B210" s="2" t="s">
        <v>179</v>
      </c>
      <c r="C210" s="2">
        <v>8</v>
      </c>
      <c r="D210" s="2">
        <v>18</v>
      </c>
      <c r="E210" s="2">
        <v>65</v>
      </c>
    </row>
    <row r="211" ht="14.25" spans="1:5">
      <c r="A211" s="2" t="s">
        <v>222</v>
      </c>
      <c r="B211" s="2" t="s">
        <v>179</v>
      </c>
      <c r="C211" s="2">
        <v>8</v>
      </c>
      <c r="D211" s="2">
        <v>19</v>
      </c>
      <c r="E211" s="2">
        <v>56.5</v>
      </c>
    </row>
    <row r="212" ht="14.25" spans="1:5">
      <c r="A212" s="2" t="s">
        <v>223</v>
      </c>
      <c r="B212" s="2" t="s">
        <v>179</v>
      </c>
      <c r="C212" s="2">
        <v>8</v>
      </c>
      <c r="D212" s="2">
        <v>20</v>
      </c>
      <c r="E212" s="2">
        <v>35.2</v>
      </c>
    </row>
    <row r="213" ht="14.25" spans="1:5">
      <c r="A213" s="2" t="s">
        <v>224</v>
      </c>
      <c r="B213" s="2" t="s">
        <v>179</v>
      </c>
      <c r="C213" s="2">
        <v>8</v>
      </c>
      <c r="D213" s="2">
        <v>21</v>
      </c>
      <c r="E213" s="2" t="s">
        <v>16</v>
      </c>
    </row>
    <row r="214" ht="14.25" spans="1:5">
      <c r="A214" s="2" t="s">
        <v>225</v>
      </c>
      <c r="B214" s="2" t="s">
        <v>179</v>
      </c>
      <c r="C214" s="2">
        <v>8</v>
      </c>
      <c r="D214" s="2">
        <v>22</v>
      </c>
      <c r="E214" s="2" t="s">
        <v>16</v>
      </c>
    </row>
    <row r="215" ht="14.25" spans="1:5">
      <c r="A215" s="2" t="s">
        <v>226</v>
      </c>
      <c r="B215" s="2" t="s">
        <v>179</v>
      </c>
      <c r="C215" s="2">
        <v>8</v>
      </c>
      <c r="D215" s="2">
        <v>23</v>
      </c>
      <c r="E215" s="2">
        <v>29.3</v>
      </c>
    </row>
    <row r="216" ht="14.25" spans="1:5">
      <c r="A216" s="2" t="s">
        <v>227</v>
      </c>
      <c r="B216" s="2" t="s">
        <v>179</v>
      </c>
      <c r="C216" s="2">
        <v>8</v>
      </c>
      <c r="D216" s="2">
        <v>24</v>
      </c>
      <c r="E216" s="2" t="s">
        <v>16</v>
      </c>
    </row>
    <row r="217" ht="14.25" spans="1:5">
      <c r="A217" s="2" t="s">
        <v>228</v>
      </c>
      <c r="B217" s="2" t="s">
        <v>179</v>
      </c>
      <c r="C217" s="2">
        <v>8</v>
      </c>
      <c r="D217" s="2">
        <v>25</v>
      </c>
      <c r="E217" s="2" t="s">
        <v>16</v>
      </c>
    </row>
    <row r="218" ht="14.25" spans="1:5">
      <c r="A218" s="2" t="s">
        <v>229</v>
      </c>
      <c r="B218" s="2" t="s">
        <v>179</v>
      </c>
      <c r="C218" s="2">
        <v>8</v>
      </c>
      <c r="D218" s="2">
        <v>26</v>
      </c>
      <c r="E218" s="2">
        <v>54.9</v>
      </c>
    </row>
    <row r="219" ht="14.25" spans="1:5">
      <c r="A219" s="2" t="s">
        <v>230</v>
      </c>
      <c r="B219" s="2" t="s">
        <v>179</v>
      </c>
      <c r="C219" s="2">
        <v>8</v>
      </c>
      <c r="D219" s="2">
        <v>27</v>
      </c>
      <c r="E219" s="2">
        <v>44.4</v>
      </c>
    </row>
    <row r="220" ht="14.25" spans="1:5">
      <c r="A220" s="2" t="s">
        <v>231</v>
      </c>
      <c r="B220" s="2" t="s">
        <v>179</v>
      </c>
      <c r="C220" s="2">
        <v>8</v>
      </c>
      <c r="D220" s="2">
        <v>28</v>
      </c>
      <c r="E220" s="2" t="s">
        <v>16</v>
      </c>
    </row>
    <row r="221" ht="14.25" spans="1:5">
      <c r="A221" s="2" t="s">
        <v>232</v>
      </c>
      <c r="B221" s="2" t="s">
        <v>179</v>
      </c>
      <c r="C221" s="2">
        <v>8</v>
      </c>
      <c r="D221" s="2">
        <v>29</v>
      </c>
      <c r="E221" s="2" t="s">
        <v>16</v>
      </c>
    </row>
    <row r="222" ht="14.25" spans="1:5">
      <c r="A222" s="2" t="s">
        <v>233</v>
      </c>
      <c r="B222" s="2" t="s">
        <v>179</v>
      </c>
      <c r="C222" s="2">
        <v>8</v>
      </c>
      <c r="D222" s="2">
        <v>30</v>
      </c>
      <c r="E222" s="2">
        <v>46.4</v>
      </c>
    </row>
    <row r="223" ht="14.25" spans="1:5">
      <c r="A223" s="2" t="s">
        <v>234</v>
      </c>
      <c r="B223" s="2" t="s">
        <v>179</v>
      </c>
      <c r="C223" s="2">
        <v>9</v>
      </c>
      <c r="D223" s="2">
        <v>1</v>
      </c>
      <c r="E223" s="2">
        <v>47</v>
      </c>
    </row>
    <row r="224" ht="14.25" spans="1:5">
      <c r="A224" s="2" t="s">
        <v>235</v>
      </c>
      <c r="B224" s="2" t="s">
        <v>179</v>
      </c>
      <c r="C224" s="2">
        <v>9</v>
      </c>
      <c r="D224" s="2">
        <v>2</v>
      </c>
      <c r="E224" s="2">
        <v>52.6</v>
      </c>
    </row>
    <row r="225" ht="14.25" spans="1:5">
      <c r="A225" s="2" t="s">
        <v>236</v>
      </c>
      <c r="B225" s="2" t="s">
        <v>179</v>
      </c>
      <c r="C225" s="2">
        <v>9</v>
      </c>
      <c r="D225" s="2">
        <v>3</v>
      </c>
      <c r="E225" s="2">
        <v>49.1</v>
      </c>
    </row>
    <row r="226" ht="14.25" spans="1:5">
      <c r="A226" s="2" t="s">
        <v>237</v>
      </c>
      <c r="B226" s="2" t="s">
        <v>179</v>
      </c>
      <c r="C226" s="2">
        <v>9</v>
      </c>
      <c r="D226" s="2">
        <v>4</v>
      </c>
      <c r="E226" s="2">
        <v>39.2</v>
      </c>
    </row>
    <row r="227" ht="14.25" spans="1:5">
      <c r="A227" s="2" t="s">
        <v>238</v>
      </c>
      <c r="B227" s="2" t="s">
        <v>179</v>
      </c>
      <c r="C227" s="2">
        <v>9</v>
      </c>
      <c r="D227" s="2">
        <v>5</v>
      </c>
      <c r="E227" s="2">
        <v>40.5</v>
      </c>
    </row>
    <row r="228" ht="14.25" spans="1:5">
      <c r="A228" s="2" t="s">
        <v>239</v>
      </c>
      <c r="B228" s="2" t="s">
        <v>179</v>
      </c>
      <c r="C228" s="2">
        <v>9</v>
      </c>
      <c r="D228" s="2">
        <v>6</v>
      </c>
      <c r="E228" s="2">
        <v>39.6</v>
      </c>
    </row>
    <row r="229" ht="14.25" spans="1:5">
      <c r="A229" s="2" t="s">
        <v>240</v>
      </c>
      <c r="B229" s="2" t="s">
        <v>179</v>
      </c>
      <c r="C229" s="2">
        <v>9</v>
      </c>
      <c r="D229" s="2">
        <v>7</v>
      </c>
      <c r="E229" s="2" t="s">
        <v>16</v>
      </c>
    </row>
    <row r="230" ht="14.25" spans="1:5">
      <c r="A230" s="2" t="s">
        <v>241</v>
      </c>
      <c r="B230" s="2" t="s">
        <v>179</v>
      </c>
      <c r="C230" s="2">
        <v>9</v>
      </c>
      <c r="D230" s="2">
        <v>8</v>
      </c>
      <c r="E230" s="2">
        <v>43.2</v>
      </c>
    </row>
    <row r="231" ht="14.25" spans="1:5">
      <c r="A231" s="2" t="s">
        <v>242</v>
      </c>
      <c r="B231" s="2" t="s">
        <v>179</v>
      </c>
      <c r="C231" s="2">
        <v>9</v>
      </c>
      <c r="D231" s="2">
        <v>9</v>
      </c>
      <c r="E231" s="2">
        <v>46.3</v>
      </c>
    </row>
    <row r="232" ht="14.25" spans="1:5">
      <c r="A232" s="2" t="s">
        <v>243</v>
      </c>
      <c r="B232" s="2" t="s">
        <v>179</v>
      </c>
      <c r="C232" s="2">
        <v>9</v>
      </c>
      <c r="D232" s="2">
        <v>10</v>
      </c>
      <c r="E232" s="2">
        <v>55.5</v>
      </c>
    </row>
    <row r="233" ht="14.25" spans="1:5">
      <c r="A233" s="2" t="s">
        <v>244</v>
      </c>
      <c r="B233" s="2" t="s">
        <v>179</v>
      </c>
      <c r="C233" s="2">
        <v>9</v>
      </c>
      <c r="D233" s="2">
        <v>11</v>
      </c>
      <c r="E233" s="2">
        <v>56.1</v>
      </c>
    </row>
    <row r="234" ht="14.25" spans="1:5">
      <c r="A234" s="2" t="s">
        <v>245</v>
      </c>
      <c r="B234" s="2" t="s">
        <v>179</v>
      </c>
      <c r="C234" s="2">
        <v>9</v>
      </c>
      <c r="D234" s="2">
        <v>12</v>
      </c>
      <c r="E234" s="2" t="s">
        <v>16</v>
      </c>
    </row>
    <row r="235" ht="14.25" spans="1:5">
      <c r="A235" s="2" t="s">
        <v>246</v>
      </c>
      <c r="B235" s="2" t="s">
        <v>179</v>
      </c>
      <c r="C235" s="2">
        <v>9</v>
      </c>
      <c r="D235" s="2">
        <v>13</v>
      </c>
      <c r="E235" s="2">
        <v>39.5</v>
      </c>
    </row>
    <row r="236" ht="14.25" spans="1:5">
      <c r="A236" s="2" t="s">
        <v>247</v>
      </c>
      <c r="B236" s="2" t="s">
        <v>179</v>
      </c>
      <c r="C236" s="2">
        <v>9</v>
      </c>
      <c r="D236" s="2">
        <v>14</v>
      </c>
      <c r="E236" s="2" t="s">
        <v>16</v>
      </c>
    </row>
    <row r="237" ht="14.25" spans="1:5">
      <c r="A237" s="2" t="s">
        <v>248</v>
      </c>
      <c r="B237" s="2" t="s">
        <v>179</v>
      </c>
      <c r="C237" s="2">
        <v>9</v>
      </c>
      <c r="D237" s="2">
        <v>15</v>
      </c>
      <c r="E237" s="2">
        <v>41.1</v>
      </c>
    </row>
    <row r="238" ht="14.25" spans="1:5">
      <c r="A238" s="2" t="s">
        <v>249</v>
      </c>
      <c r="B238" s="2" t="s">
        <v>179</v>
      </c>
      <c r="C238" s="2">
        <v>9</v>
      </c>
      <c r="D238" s="2">
        <v>16</v>
      </c>
      <c r="E238" s="2">
        <v>51.6</v>
      </c>
    </row>
    <row r="239" ht="14.25" spans="1:5">
      <c r="A239" s="2" t="s">
        <v>250</v>
      </c>
      <c r="B239" s="2" t="s">
        <v>179</v>
      </c>
      <c r="C239" s="2">
        <v>9</v>
      </c>
      <c r="D239" s="2">
        <v>17</v>
      </c>
      <c r="E239" s="2">
        <v>44.7</v>
      </c>
    </row>
    <row r="240" ht="14.25" spans="1:5">
      <c r="A240" s="2" t="s">
        <v>251</v>
      </c>
      <c r="B240" s="2" t="s">
        <v>179</v>
      </c>
      <c r="C240" s="2">
        <v>9</v>
      </c>
      <c r="D240" s="2">
        <v>18</v>
      </c>
      <c r="E240" s="2">
        <v>50.9</v>
      </c>
    </row>
    <row r="241" ht="14.25" spans="1:5">
      <c r="A241" s="2" t="s">
        <v>252</v>
      </c>
      <c r="B241" s="2" t="s">
        <v>179</v>
      </c>
      <c r="C241" s="2">
        <v>9</v>
      </c>
      <c r="D241" s="2">
        <v>19</v>
      </c>
      <c r="E241" s="2">
        <v>52.3</v>
      </c>
    </row>
    <row r="242" ht="14.25" spans="1:5">
      <c r="A242" s="2" t="s">
        <v>253</v>
      </c>
      <c r="B242" s="2" t="s">
        <v>179</v>
      </c>
      <c r="C242" s="2">
        <v>9</v>
      </c>
      <c r="D242" s="2">
        <v>20</v>
      </c>
      <c r="E242" s="2">
        <v>45.7</v>
      </c>
    </row>
    <row r="243" ht="14.25" spans="1:5">
      <c r="A243" s="2" t="s">
        <v>254</v>
      </c>
      <c r="B243" s="2" t="s">
        <v>179</v>
      </c>
      <c r="C243" s="2">
        <v>9</v>
      </c>
      <c r="D243" s="2">
        <v>21</v>
      </c>
      <c r="E243" s="2">
        <v>35.8</v>
      </c>
    </row>
    <row r="244" ht="14.25" spans="1:5">
      <c r="A244" s="2" t="s">
        <v>255</v>
      </c>
      <c r="B244" s="2" t="s">
        <v>179</v>
      </c>
      <c r="C244" s="2">
        <v>9</v>
      </c>
      <c r="D244" s="2">
        <v>22</v>
      </c>
      <c r="E244" s="2">
        <v>35.5</v>
      </c>
    </row>
    <row r="245" ht="14.25" spans="1:5">
      <c r="A245" s="2" t="s">
        <v>256</v>
      </c>
      <c r="B245" s="2" t="s">
        <v>179</v>
      </c>
      <c r="C245" s="2">
        <v>9</v>
      </c>
      <c r="D245" s="2">
        <v>23</v>
      </c>
      <c r="E245" s="2" t="s">
        <v>16</v>
      </c>
    </row>
    <row r="246" ht="14.25" spans="1:5">
      <c r="A246" s="2" t="s">
        <v>257</v>
      </c>
      <c r="B246" s="2" t="s">
        <v>179</v>
      </c>
      <c r="C246" s="2">
        <v>9</v>
      </c>
      <c r="D246" s="2">
        <v>24</v>
      </c>
      <c r="E246" s="2">
        <v>35.6</v>
      </c>
    </row>
    <row r="247" ht="14.25" spans="1:5">
      <c r="A247" s="2" t="s">
        <v>258</v>
      </c>
      <c r="B247" s="2" t="s">
        <v>179</v>
      </c>
      <c r="C247" s="2">
        <v>9</v>
      </c>
      <c r="D247" s="2">
        <v>25</v>
      </c>
      <c r="E247" s="2" t="s">
        <v>16</v>
      </c>
    </row>
    <row r="248" ht="14.25" spans="1:5">
      <c r="A248" s="2" t="s">
        <v>259</v>
      </c>
      <c r="B248" s="2" t="s">
        <v>179</v>
      </c>
      <c r="C248" s="2">
        <v>9</v>
      </c>
      <c r="D248" s="2">
        <v>26</v>
      </c>
      <c r="E248" s="2" t="s">
        <v>16</v>
      </c>
    </row>
    <row r="249" ht="14.25" spans="1:5">
      <c r="A249" s="2" t="s">
        <v>260</v>
      </c>
      <c r="B249" s="2" t="s">
        <v>179</v>
      </c>
      <c r="C249" s="2">
        <v>9</v>
      </c>
      <c r="D249" s="2">
        <v>27</v>
      </c>
      <c r="E249" s="2">
        <v>48.4</v>
      </c>
    </row>
    <row r="250" ht="14.25" spans="1:5">
      <c r="A250" s="2" t="s">
        <v>261</v>
      </c>
      <c r="B250" s="2" t="s">
        <v>179</v>
      </c>
      <c r="C250" s="2">
        <v>9</v>
      </c>
      <c r="D250" s="2">
        <v>28</v>
      </c>
      <c r="E250" s="2" t="s">
        <v>16</v>
      </c>
    </row>
    <row r="251" ht="14.25" spans="1:5">
      <c r="A251" s="2" t="s">
        <v>262</v>
      </c>
      <c r="B251" s="2" t="s">
        <v>179</v>
      </c>
      <c r="C251" s="2">
        <v>9</v>
      </c>
      <c r="D251" s="2">
        <v>29</v>
      </c>
      <c r="E251" s="2">
        <v>39.2</v>
      </c>
    </row>
    <row r="252" ht="14.25" spans="1:5">
      <c r="A252" s="2" t="s">
        <v>263</v>
      </c>
      <c r="B252" s="2" t="s">
        <v>179</v>
      </c>
      <c r="C252" s="2">
        <v>9</v>
      </c>
      <c r="D252" s="2">
        <v>30</v>
      </c>
      <c r="E252" s="2" t="s">
        <v>16</v>
      </c>
    </row>
    <row r="253" ht="14.25" spans="1:5">
      <c r="A253" s="2" t="s">
        <v>264</v>
      </c>
      <c r="B253" s="2" t="s">
        <v>179</v>
      </c>
      <c r="C253" s="2">
        <v>10</v>
      </c>
      <c r="D253" s="2">
        <v>1</v>
      </c>
      <c r="E253" s="2" t="s">
        <v>16</v>
      </c>
    </row>
    <row r="254" ht="14.25" spans="1:5">
      <c r="A254" s="2" t="s">
        <v>265</v>
      </c>
      <c r="B254" s="2" t="s">
        <v>179</v>
      </c>
      <c r="C254" s="2">
        <v>10</v>
      </c>
      <c r="D254" s="2">
        <v>2</v>
      </c>
      <c r="E254" s="2" t="s">
        <v>16</v>
      </c>
    </row>
    <row r="255" ht="14.25" spans="1:5">
      <c r="A255" s="2" t="s">
        <v>266</v>
      </c>
      <c r="B255" s="2" t="s">
        <v>179</v>
      </c>
      <c r="C255" s="2">
        <v>10</v>
      </c>
      <c r="D255" s="2">
        <v>3</v>
      </c>
      <c r="E255" s="2">
        <v>47.6</v>
      </c>
    </row>
    <row r="256" ht="14.25" spans="1:5">
      <c r="A256" s="2" t="s">
        <v>267</v>
      </c>
      <c r="B256" s="2" t="s">
        <v>179</v>
      </c>
      <c r="C256" s="2">
        <v>10</v>
      </c>
      <c r="D256" s="2">
        <v>4</v>
      </c>
      <c r="E256" s="2">
        <v>51.9</v>
      </c>
    </row>
    <row r="257" ht="14.25" spans="1:5">
      <c r="A257" s="2" t="s">
        <v>268</v>
      </c>
      <c r="B257" s="2" t="s">
        <v>179</v>
      </c>
      <c r="C257" s="2">
        <v>10</v>
      </c>
      <c r="D257" s="2">
        <v>5</v>
      </c>
      <c r="E257" s="2">
        <v>33.2</v>
      </c>
    </row>
    <row r="258" ht="14.25" spans="1:5">
      <c r="A258" s="2" t="s">
        <v>269</v>
      </c>
      <c r="B258" s="2" t="s">
        <v>179</v>
      </c>
      <c r="C258" s="2">
        <v>10</v>
      </c>
      <c r="D258" s="2">
        <v>6</v>
      </c>
      <c r="E258" s="2">
        <v>40.7</v>
      </c>
    </row>
    <row r="259" ht="14.25" spans="1:5">
      <c r="A259" s="2" t="s">
        <v>270</v>
      </c>
      <c r="B259" s="2" t="s">
        <v>179</v>
      </c>
      <c r="C259" s="2">
        <v>10</v>
      </c>
      <c r="D259" s="2">
        <v>7</v>
      </c>
      <c r="E259" s="2" t="s">
        <v>16</v>
      </c>
    </row>
    <row r="260" ht="14.25" spans="1:5">
      <c r="A260" s="2" t="s">
        <v>271</v>
      </c>
      <c r="B260" s="2" t="s">
        <v>179</v>
      </c>
      <c r="C260" s="2">
        <v>10</v>
      </c>
      <c r="D260" s="2">
        <v>8</v>
      </c>
      <c r="E260" s="2" t="s">
        <v>16</v>
      </c>
    </row>
    <row r="261" ht="14.25" spans="1:5">
      <c r="A261" s="2" t="s">
        <v>272</v>
      </c>
      <c r="B261" s="2" t="s">
        <v>179</v>
      </c>
      <c r="C261" s="2">
        <v>10</v>
      </c>
      <c r="D261" s="2">
        <v>9</v>
      </c>
      <c r="E261" s="2" t="s">
        <v>16</v>
      </c>
    </row>
    <row r="262" ht="14.25" spans="1:5">
      <c r="A262" s="2" t="s">
        <v>273</v>
      </c>
      <c r="B262" s="2" t="s">
        <v>179</v>
      </c>
      <c r="C262" s="2">
        <v>10</v>
      </c>
      <c r="D262" s="2">
        <v>10</v>
      </c>
      <c r="E262" s="2">
        <v>56.6</v>
      </c>
    </row>
    <row r="263" ht="14.25" spans="1:5">
      <c r="A263" s="2" t="s">
        <v>274</v>
      </c>
      <c r="B263" s="2" t="s">
        <v>179</v>
      </c>
      <c r="C263" s="2">
        <v>10</v>
      </c>
      <c r="D263" s="2">
        <v>11</v>
      </c>
      <c r="E263" s="2">
        <v>50.7</v>
      </c>
    </row>
    <row r="264" ht="14.25" spans="1:5">
      <c r="A264" s="2" t="s">
        <v>275</v>
      </c>
      <c r="B264" s="2" t="s">
        <v>179</v>
      </c>
      <c r="C264" s="2">
        <v>10</v>
      </c>
      <c r="D264" s="2">
        <v>12</v>
      </c>
      <c r="E264" s="2" t="s">
        <v>16</v>
      </c>
    </row>
    <row r="265" ht="14.25" spans="1:5">
      <c r="A265" s="2" t="s">
        <v>276</v>
      </c>
      <c r="B265" s="2" t="s">
        <v>179</v>
      </c>
      <c r="C265" s="2">
        <v>10</v>
      </c>
      <c r="D265" s="2">
        <v>13</v>
      </c>
      <c r="E265" s="2">
        <v>38.4</v>
      </c>
    </row>
    <row r="266" ht="14.25" spans="1:5">
      <c r="A266" s="2" t="s">
        <v>277</v>
      </c>
      <c r="B266" s="2" t="s">
        <v>179</v>
      </c>
      <c r="C266" s="2">
        <v>10</v>
      </c>
      <c r="D266" s="2">
        <v>14</v>
      </c>
      <c r="E266" s="2" t="s">
        <v>16</v>
      </c>
    </row>
    <row r="267" ht="14.25" spans="1:5">
      <c r="A267" s="2" t="s">
        <v>278</v>
      </c>
      <c r="B267" s="2" t="s">
        <v>179</v>
      </c>
      <c r="C267" s="2">
        <v>10</v>
      </c>
      <c r="D267" s="2">
        <v>15</v>
      </c>
      <c r="E267" s="2">
        <v>54.9</v>
      </c>
    </row>
    <row r="268" ht="14.25" spans="1:5">
      <c r="A268" s="2" t="s">
        <v>279</v>
      </c>
      <c r="B268" s="2" t="s">
        <v>179</v>
      </c>
      <c r="C268" s="2">
        <v>10</v>
      </c>
      <c r="D268" s="2">
        <v>16</v>
      </c>
      <c r="E268" s="2">
        <v>47.4</v>
      </c>
    </row>
    <row r="269" ht="14.25" spans="1:5">
      <c r="A269" s="2" t="s">
        <v>280</v>
      </c>
      <c r="B269" s="2" t="s">
        <v>179</v>
      </c>
      <c r="C269" s="2">
        <v>10</v>
      </c>
      <c r="D269" s="2">
        <v>17</v>
      </c>
      <c r="E269" s="2" t="s">
        <v>16</v>
      </c>
    </row>
    <row r="270" ht="14.25" spans="1:5">
      <c r="A270" s="2" t="s">
        <v>281</v>
      </c>
      <c r="B270" s="2" t="s">
        <v>179</v>
      </c>
      <c r="C270" s="2">
        <v>10</v>
      </c>
      <c r="D270" s="2">
        <v>18</v>
      </c>
      <c r="E270" s="2" t="s">
        <v>16</v>
      </c>
    </row>
    <row r="271" ht="14.25" spans="1:5">
      <c r="A271" s="2" t="s">
        <v>282</v>
      </c>
      <c r="B271" s="2" t="s">
        <v>179</v>
      </c>
      <c r="C271" s="2">
        <v>10</v>
      </c>
      <c r="D271" s="2">
        <v>19</v>
      </c>
      <c r="E271" s="2" t="s">
        <v>16</v>
      </c>
    </row>
    <row r="272" ht="14.25" spans="1:5">
      <c r="A272" s="2" t="s">
        <v>283</v>
      </c>
      <c r="B272" s="2" t="s">
        <v>179</v>
      </c>
      <c r="C272" s="2">
        <v>10</v>
      </c>
      <c r="D272" s="2">
        <v>20</v>
      </c>
      <c r="E272" s="2" t="s">
        <v>16</v>
      </c>
    </row>
    <row r="273" ht="14.25" spans="1:5">
      <c r="A273" s="2" t="s">
        <v>284</v>
      </c>
      <c r="B273" s="2" t="s">
        <v>179</v>
      </c>
      <c r="C273" s="2">
        <v>10</v>
      </c>
      <c r="D273" s="2">
        <v>21</v>
      </c>
      <c r="E273" s="2" t="s">
        <v>16</v>
      </c>
    </row>
    <row r="274" ht="14.25" spans="1:5">
      <c r="A274" s="2" t="s">
        <v>285</v>
      </c>
      <c r="B274" s="2" t="s">
        <v>179</v>
      </c>
      <c r="C274" s="2">
        <v>10</v>
      </c>
      <c r="D274" s="2">
        <v>22</v>
      </c>
      <c r="E274" s="2" t="s">
        <v>16</v>
      </c>
    </row>
    <row r="275" ht="14.25" spans="1:5">
      <c r="A275" s="2" t="s">
        <v>286</v>
      </c>
      <c r="B275" s="2" t="s">
        <v>179</v>
      </c>
      <c r="C275" s="2">
        <v>10</v>
      </c>
      <c r="D275" s="2">
        <v>23</v>
      </c>
      <c r="E275" s="2" t="s">
        <v>16</v>
      </c>
    </row>
    <row r="276" ht="14.25" spans="1:5">
      <c r="A276" s="2" t="s">
        <v>287</v>
      </c>
      <c r="B276" s="2" t="s">
        <v>179</v>
      </c>
      <c r="C276" s="2">
        <v>10</v>
      </c>
      <c r="D276" s="2">
        <v>24</v>
      </c>
      <c r="E276" s="2" t="s">
        <v>16</v>
      </c>
    </row>
    <row r="277" ht="14.25" spans="1:5">
      <c r="A277" s="2" t="s">
        <v>288</v>
      </c>
      <c r="B277" s="2" t="s">
        <v>179</v>
      </c>
      <c r="C277" s="2">
        <v>10</v>
      </c>
      <c r="D277" s="2">
        <v>25</v>
      </c>
      <c r="E277" s="2">
        <v>47.6</v>
      </c>
    </row>
    <row r="278" ht="14.25" spans="1:5">
      <c r="A278" s="2" t="s">
        <v>289</v>
      </c>
      <c r="B278" s="2" t="s">
        <v>179</v>
      </c>
      <c r="C278" s="2">
        <v>10</v>
      </c>
      <c r="D278" s="2">
        <v>26</v>
      </c>
      <c r="E278" s="2" t="s">
        <v>16</v>
      </c>
    </row>
    <row r="279" ht="14.25" spans="1:5">
      <c r="A279" s="2" t="s">
        <v>290</v>
      </c>
      <c r="B279" s="2" t="s">
        <v>179</v>
      </c>
      <c r="C279" s="2">
        <v>10</v>
      </c>
      <c r="D279" s="2">
        <v>27</v>
      </c>
      <c r="E279" s="2">
        <v>48.6</v>
      </c>
    </row>
    <row r="280" ht="14.25" spans="1:5">
      <c r="A280" s="2" t="s">
        <v>291</v>
      </c>
      <c r="B280" s="2" t="s">
        <v>179</v>
      </c>
      <c r="C280" s="2">
        <v>10</v>
      </c>
      <c r="D280" s="2">
        <v>28</v>
      </c>
      <c r="E280" s="2" t="s">
        <v>16</v>
      </c>
    </row>
    <row r="281" ht="14.25" spans="1:5">
      <c r="A281" s="2" t="s">
        <v>292</v>
      </c>
      <c r="B281" s="2" t="s">
        <v>179</v>
      </c>
      <c r="C281" s="2">
        <v>10</v>
      </c>
      <c r="D281" s="2">
        <v>29</v>
      </c>
      <c r="E281" s="2">
        <v>60.1</v>
      </c>
    </row>
    <row r="282" ht="14.25" spans="1:5">
      <c r="A282" s="2" t="s">
        <v>293</v>
      </c>
      <c r="B282" s="2" t="s">
        <v>179</v>
      </c>
      <c r="C282" s="2">
        <v>10</v>
      </c>
      <c r="D282" s="2">
        <v>30</v>
      </c>
      <c r="E282" s="2">
        <v>46</v>
      </c>
    </row>
    <row r="283" ht="14.25" spans="1:5">
      <c r="A283" s="2" t="s">
        <v>294</v>
      </c>
      <c r="B283" s="2" t="s">
        <v>179</v>
      </c>
      <c r="C283" s="2">
        <v>11</v>
      </c>
      <c r="D283" s="2">
        <v>1</v>
      </c>
      <c r="E283" s="2" t="s">
        <v>16</v>
      </c>
    </row>
    <row r="284" ht="14.25" spans="1:5">
      <c r="A284" s="2" t="s">
        <v>295</v>
      </c>
      <c r="B284" s="2" t="s">
        <v>179</v>
      </c>
      <c r="C284" s="2">
        <v>11</v>
      </c>
      <c r="D284" s="2">
        <v>2</v>
      </c>
      <c r="E284" s="2">
        <v>56</v>
      </c>
    </row>
    <row r="285" ht="14.25" spans="1:5">
      <c r="A285" s="2" t="s">
        <v>296</v>
      </c>
      <c r="B285" s="2" t="s">
        <v>179</v>
      </c>
      <c r="C285" s="2">
        <v>11</v>
      </c>
      <c r="D285" s="2">
        <v>3</v>
      </c>
      <c r="E285" s="2">
        <v>35.9</v>
      </c>
    </row>
    <row r="286" ht="14.25" spans="1:5">
      <c r="A286" s="2" t="s">
        <v>297</v>
      </c>
      <c r="B286" s="2" t="s">
        <v>179</v>
      </c>
      <c r="C286" s="2">
        <v>11</v>
      </c>
      <c r="D286" s="2">
        <v>4</v>
      </c>
      <c r="E286" s="2" t="s">
        <v>16</v>
      </c>
    </row>
    <row r="287" ht="14.25" spans="1:5">
      <c r="A287" s="2" t="s">
        <v>298</v>
      </c>
      <c r="B287" s="2" t="s">
        <v>179</v>
      </c>
      <c r="C287" s="2">
        <v>11</v>
      </c>
      <c r="D287" s="2">
        <v>5</v>
      </c>
      <c r="E287" s="2" t="s">
        <v>16</v>
      </c>
    </row>
    <row r="288" ht="14.25" spans="1:5">
      <c r="A288" s="2" t="s">
        <v>299</v>
      </c>
      <c r="B288" s="2" t="s">
        <v>179</v>
      </c>
      <c r="C288" s="2">
        <v>11</v>
      </c>
      <c r="D288" s="2">
        <v>6</v>
      </c>
      <c r="E288" s="2" t="s">
        <v>16</v>
      </c>
    </row>
    <row r="289" ht="14.25" spans="1:5">
      <c r="A289" s="2" t="s">
        <v>300</v>
      </c>
      <c r="B289" s="2" t="s">
        <v>179</v>
      </c>
      <c r="C289" s="2">
        <v>11</v>
      </c>
      <c r="D289" s="2">
        <v>7</v>
      </c>
      <c r="E289" s="2" t="s">
        <v>16</v>
      </c>
    </row>
    <row r="290" ht="14.25" spans="1:5">
      <c r="A290" s="2" t="s">
        <v>301</v>
      </c>
      <c r="B290" s="2" t="s">
        <v>179</v>
      </c>
      <c r="C290" s="2">
        <v>11</v>
      </c>
      <c r="D290" s="2">
        <v>8</v>
      </c>
      <c r="E290" s="2" t="s">
        <v>16</v>
      </c>
    </row>
    <row r="291" ht="14.25" spans="1:5">
      <c r="A291" s="2" t="s">
        <v>302</v>
      </c>
      <c r="B291" s="2" t="s">
        <v>179</v>
      </c>
      <c r="C291" s="2">
        <v>11</v>
      </c>
      <c r="D291" s="2">
        <v>9</v>
      </c>
      <c r="E291" s="2" t="s">
        <v>16</v>
      </c>
    </row>
    <row r="292" ht="14.25" spans="1:5">
      <c r="A292" s="2" t="s">
        <v>303</v>
      </c>
      <c r="B292" s="2" t="s">
        <v>179</v>
      </c>
      <c r="C292" s="2">
        <v>11</v>
      </c>
      <c r="D292" s="2">
        <v>10</v>
      </c>
      <c r="E292" s="2">
        <v>42.1</v>
      </c>
    </row>
    <row r="293" ht="14.25" spans="1:5">
      <c r="A293" s="2" t="s">
        <v>304</v>
      </c>
      <c r="B293" s="2" t="s">
        <v>179</v>
      </c>
      <c r="C293" s="2">
        <v>11</v>
      </c>
      <c r="D293" s="2">
        <v>11</v>
      </c>
      <c r="E293" s="2" t="s">
        <v>16</v>
      </c>
    </row>
    <row r="294" ht="14.25" spans="1:5">
      <c r="A294" s="2" t="s">
        <v>305</v>
      </c>
      <c r="B294" s="2" t="s">
        <v>179</v>
      </c>
      <c r="C294" s="2">
        <v>11</v>
      </c>
      <c r="D294" s="2">
        <v>12</v>
      </c>
      <c r="E294" s="2">
        <v>42.7</v>
      </c>
    </row>
    <row r="295" ht="14.25" spans="1:5">
      <c r="A295" s="2" t="s">
        <v>306</v>
      </c>
      <c r="B295" s="2" t="s">
        <v>179</v>
      </c>
      <c r="C295" s="2">
        <v>11</v>
      </c>
      <c r="D295" s="2">
        <v>13</v>
      </c>
      <c r="E295" s="2" t="s">
        <v>16</v>
      </c>
    </row>
    <row r="296" ht="14.25" spans="1:5">
      <c r="A296" s="2" t="s">
        <v>307</v>
      </c>
      <c r="B296" s="2" t="s">
        <v>308</v>
      </c>
      <c r="C296" s="2">
        <v>11</v>
      </c>
      <c r="D296" s="2">
        <v>14</v>
      </c>
      <c r="E296" s="2" t="s">
        <v>16</v>
      </c>
    </row>
    <row r="297" ht="14.25" spans="1:5">
      <c r="A297" s="2" t="s">
        <v>309</v>
      </c>
      <c r="B297" s="2" t="s">
        <v>308</v>
      </c>
      <c r="C297" s="2">
        <v>11</v>
      </c>
      <c r="D297" s="2">
        <v>15</v>
      </c>
      <c r="E297" s="2" t="s">
        <v>16</v>
      </c>
    </row>
    <row r="298" ht="14.25" spans="1:5">
      <c r="A298" s="2" t="s">
        <v>310</v>
      </c>
      <c r="B298" s="2" t="s">
        <v>308</v>
      </c>
      <c r="C298" s="2">
        <v>11</v>
      </c>
      <c r="D298" s="2">
        <v>16</v>
      </c>
      <c r="E298" s="2" t="s">
        <v>16</v>
      </c>
    </row>
    <row r="299" ht="14.25" spans="1:5">
      <c r="A299" s="2" t="s">
        <v>311</v>
      </c>
      <c r="B299" s="2" t="s">
        <v>308</v>
      </c>
      <c r="C299" s="2">
        <v>11</v>
      </c>
      <c r="D299" s="2">
        <v>17</v>
      </c>
      <c r="E299" s="2" t="s">
        <v>16</v>
      </c>
    </row>
    <row r="300" ht="14.25" spans="1:5">
      <c r="A300" s="2" t="s">
        <v>312</v>
      </c>
      <c r="B300" s="2" t="s">
        <v>308</v>
      </c>
      <c r="C300" s="2">
        <v>11</v>
      </c>
      <c r="D300" s="2">
        <v>18</v>
      </c>
      <c r="E300" s="2">
        <v>48</v>
      </c>
    </row>
    <row r="301" ht="14.25" spans="1:5">
      <c r="A301" s="2" t="s">
        <v>313</v>
      </c>
      <c r="B301" s="2" t="s">
        <v>308</v>
      </c>
      <c r="C301" s="2">
        <v>11</v>
      </c>
      <c r="D301" s="2">
        <v>19</v>
      </c>
      <c r="E301" s="2">
        <v>48.7</v>
      </c>
    </row>
    <row r="302" ht="14.25" spans="1:5">
      <c r="A302" s="2" t="s">
        <v>314</v>
      </c>
      <c r="B302" s="2" t="s">
        <v>308</v>
      </c>
      <c r="C302" s="2">
        <v>11</v>
      </c>
      <c r="D302" s="2">
        <v>20</v>
      </c>
      <c r="E302" s="2" t="s">
        <v>16</v>
      </c>
    </row>
    <row r="303" ht="14.25" spans="1:5">
      <c r="A303" s="2" t="s">
        <v>315</v>
      </c>
      <c r="B303" s="2" t="s">
        <v>308</v>
      </c>
      <c r="C303" s="2">
        <v>11</v>
      </c>
      <c r="D303" s="2">
        <v>21</v>
      </c>
      <c r="E303" s="2">
        <v>52</v>
      </c>
    </row>
    <row r="304" ht="14.25" spans="1:5">
      <c r="A304" s="2" t="s">
        <v>316</v>
      </c>
      <c r="B304" s="2" t="s">
        <v>308</v>
      </c>
      <c r="C304" s="2">
        <v>11</v>
      </c>
      <c r="D304" s="2">
        <v>22</v>
      </c>
      <c r="E304" s="2" t="s">
        <v>16</v>
      </c>
    </row>
    <row r="305" ht="14.25" spans="1:5">
      <c r="A305" s="2" t="s">
        <v>317</v>
      </c>
      <c r="B305" s="2" t="s">
        <v>308</v>
      </c>
      <c r="C305" s="2">
        <v>11</v>
      </c>
      <c r="D305" s="2">
        <v>23</v>
      </c>
      <c r="E305" s="2">
        <v>60.1</v>
      </c>
    </row>
    <row r="306" ht="14.25" spans="1:5">
      <c r="A306" s="2" t="s">
        <v>318</v>
      </c>
      <c r="B306" s="2" t="s">
        <v>308</v>
      </c>
      <c r="C306" s="2">
        <v>11</v>
      </c>
      <c r="D306" s="2">
        <v>24</v>
      </c>
      <c r="E306" s="2">
        <v>51.9</v>
      </c>
    </row>
    <row r="307" ht="14.25" spans="1:5">
      <c r="A307" s="2" t="s">
        <v>319</v>
      </c>
      <c r="B307" s="2" t="s">
        <v>308</v>
      </c>
      <c r="C307" s="2">
        <v>11</v>
      </c>
      <c r="D307" s="2">
        <v>25</v>
      </c>
      <c r="E307" s="2" t="s">
        <v>16</v>
      </c>
    </row>
    <row r="308" ht="14.25" spans="1:5">
      <c r="A308" s="2" t="s">
        <v>320</v>
      </c>
      <c r="B308" s="2" t="s">
        <v>308</v>
      </c>
      <c r="C308" s="2">
        <v>11</v>
      </c>
      <c r="D308" s="2">
        <v>26</v>
      </c>
      <c r="E308" s="2">
        <v>60.1</v>
      </c>
    </row>
    <row r="309" ht="14.25" spans="1:5">
      <c r="A309" s="2" t="s">
        <v>321</v>
      </c>
      <c r="B309" s="2" t="s">
        <v>308</v>
      </c>
      <c r="C309" s="2">
        <v>11</v>
      </c>
      <c r="D309" s="2">
        <v>27</v>
      </c>
      <c r="E309" s="2" t="s">
        <v>16</v>
      </c>
    </row>
    <row r="310" ht="14.25" spans="1:5">
      <c r="A310" s="2" t="s">
        <v>322</v>
      </c>
      <c r="B310" s="2" t="s">
        <v>308</v>
      </c>
      <c r="C310" s="2">
        <v>11</v>
      </c>
      <c r="D310" s="2">
        <v>28</v>
      </c>
      <c r="E310" s="2">
        <v>47.4</v>
      </c>
    </row>
    <row r="311" ht="14.25" spans="1:5">
      <c r="A311" s="2" t="s">
        <v>323</v>
      </c>
      <c r="B311" s="2" t="s">
        <v>308</v>
      </c>
      <c r="C311" s="2">
        <v>11</v>
      </c>
      <c r="D311" s="2">
        <v>29</v>
      </c>
      <c r="E311" s="2" t="s">
        <v>16</v>
      </c>
    </row>
    <row r="312" ht="14.25" spans="1:5">
      <c r="A312" s="2" t="s">
        <v>324</v>
      </c>
      <c r="B312" s="2" t="s">
        <v>308</v>
      </c>
      <c r="C312" s="2">
        <v>11</v>
      </c>
      <c r="D312" s="2">
        <v>30</v>
      </c>
      <c r="E312" s="2" t="s">
        <v>16</v>
      </c>
    </row>
    <row r="313" ht="14.25" spans="1:5">
      <c r="A313" s="2" t="s">
        <v>325</v>
      </c>
      <c r="B313" s="2" t="s">
        <v>308</v>
      </c>
      <c r="C313" s="2">
        <v>12</v>
      </c>
      <c r="D313" s="2">
        <v>1</v>
      </c>
      <c r="E313" s="2">
        <v>54.8</v>
      </c>
    </row>
    <row r="314" ht="14.25" spans="1:5">
      <c r="A314" s="2" t="s">
        <v>326</v>
      </c>
      <c r="B314" s="2" t="s">
        <v>308</v>
      </c>
      <c r="C314" s="2">
        <v>12</v>
      </c>
      <c r="D314" s="2">
        <v>2</v>
      </c>
      <c r="E314" s="2">
        <v>48</v>
      </c>
    </row>
    <row r="315" ht="14.25" spans="1:5">
      <c r="A315" s="2" t="s">
        <v>327</v>
      </c>
      <c r="B315" s="2" t="s">
        <v>308</v>
      </c>
      <c r="C315" s="2">
        <v>12</v>
      </c>
      <c r="D315" s="2">
        <v>3</v>
      </c>
      <c r="E315" s="2">
        <v>62</v>
      </c>
    </row>
    <row r="316" ht="14.25" spans="1:5">
      <c r="A316" s="2" t="s">
        <v>328</v>
      </c>
      <c r="B316" s="2" t="s">
        <v>308</v>
      </c>
      <c r="C316" s="2">
        <v>12</v>
      </c>
      <c r="D316" s="2">
        <v>4</v>
      </c>
      <c r="E316" s="2">
        <v>62.7</v>
      </c>
    </row>
    <row r="317" ht="14.25" spans="1:5">
      <c r="A317" s="2" t="s">
        <v>329</v>
      </c>
      <c r="B317" s="2" t="s">
        <v>308</v>
      </c>
      <c r="C317" s="2">
        <v>12</v>
      </c>
      <c r="D317" s="2">
        <v>5</v>
      </c>
      <c r="E317" s="2">
        <v>51.5</v>
      </c>
    </row>
    <row r="318" ht="14.25" spans="1:5">
      <c r="A318" s="2" t="s">
        <v>330</v>
      </c>
      <c r="B318" s="2" t="s">
        <v>308</v>
      </c>
      <c r="C318" s="2">
        <v>12</v>
      </c>
      <c r="D318" s="2">
        <v>6</v>
      </c>
      <c r="E318" s="2" t="s">
        <v>16</v>
      </c>
    </row>
    <row r="319" ht="14.25" spans="1:5">
      <c r="A319" s="2" t="s">
        <v>331</v>
      </c>
      <c r="B319" s="2" t="s">
        <v>308</v>
      </c>
      <c r="C319" s="2">
        <v>12</v>
      </c>
      <c r="D319" s="2">
        <v>7</v>
      </c>
      <c r="E319" s="2" t="s">
        <v>16</v>
      </c>
    </row>
    <row r="320" ht="14.25" spans="1:5">
      <c r="A320" s="2" t="s">
        <v>332</v>
      </c>
      <c r="B320" s="2" t="s">
        <v>308</v>
      </c>
      <c r="C320" s="2">
        <v>12</v>
      </c>
      <c r="D320" s="2">
        <v>8</v>
      </c>
      <c r="E320" s="2" t="s">
        <v>16</v>
      </c>
    </row>
    <row r="321" ht="14.25" spans="1:5">
      <c r="A321" s="2" t="s">
        <v>333</v>
      </c>
      <c r="B321" s="2" t="s">
        <v>334</v>
      </c>
      <c r="C321" s="2">
        <v>12</v>
      </c>
      <c r="D321" s="2">
        <v>9</v>
      </c>
      <c r="E321" s="2" t="s">
        <v>16</v>
      </c>
    </row>
    <row r="322" ht="14.25" spans="1:5">
      <c r="A322" s="2" t="s">
        <v>335</v>
      </c>
      <c r="B322" s="2" t="s">
        <v>334</v>
      </c>
      <c r="C322" s="2">
        <v>12</v>
      </c>
      <c r="D322" s="2">
        <v>10</v>
      </c>
      <c r="E322" s="2">
        <v>48.1</v>
      </c>
    </row>
    <row r="323" ht="14.25" spans="1:5">
      <c r="A323" s="2" t="s">
        <v>336</v>
      </c>
      <c r="B323" s="2" t="s">
        <v>334</v>
      </c>
      <c r="C323" s="2">
        <v>12</v>
      </c>
      <c r="D323" s="2">
        <v>11</v>
      </c>
      <c r="E323" s="2">
        <v>37.5</v>
      </c>
    </row>
    <row r="324" ht="14.25" spans="1:5">
      <c r="A324" s="2" t="s">
        <v>337</v>
      </c>
      <c r="B324" s="2" t="s">
        <v>334</v>
      </c>
      <c r="C324" s="2">
        <v>12</v>
      </c>
      <c r="D324" s="2">
        <v>12</v>
      </c>
      <c r="E324" s="2">
        <v>39.2</v>
      </c>
    </row>
    <row r="325" ht="14.25" spans="1:5">
      <c r="A325" s="2" t="s">
        <v>338</v>
      </c>
      <c r="B325" s="2" t="s">
        <v>334</v>
      </c>
      <c r="C325" s="2">
        <v>12</v>
      </c>
      <c r="D325" s="2">
        <v>13</v>
      </c>
      <c r="E325" s="2">
        <v>46</v>
      </c>
    </row>
    <row r="326" ht="14.25" spans="1:5">
      <c r="A326" s="2" t="s">
        <v>339</v>
      </c>
      <c r="B326" s="2" t="s">
        <v>334</v>
      </c>
      <c r="C326" s="2">
        <v>12</v>
      </c>
      <c r="D326" s="2">
        <v>14</v>
      </c>
      <c r="E326" s="2">
        <v>60.2</v>
      </c>
    </row>
    <row r="327" ht="14.25" spans="1:5">
      <c r="A327" s="2" t="s">
        <v>340</v>
      </c>
      <c r="B327" s="2" t="s">
        <v>334</v>
      </c>
      <c r="C327" s="2">
        <v>12</v>
      </c>
      <c r="D327" s="2">
        <v>15</v>
      </c>
      <c r="E327" s="2">
        <v>41.8</v>
      </c>
    </row>
    <row r="328" ht="14.25" spans="1:5">
      <c r="A328" s="2" t="s">
        <v>341</v>
      </c>
      <c r="B328" s="2" t="s">
        <v>334</v>
      </c>
      <c r="C328" s="2">
        <v>12</v>
      </c>
      <c r="D328" s="2">
        <v>16</v>
      </c>
      <c r="E328" s="2" t="s">
        <v>16</v>
      </c>
    </row>
    <row r="329" ht="14.25" spans="1:5">
      <c r="A329" s="2" t="s">
        <v>342</v>
      </c>
      <c r="B329" s="2" t="s">
        <v>334</v>
      </c>
      <c r="C329" s="2">
        <v>12</v>
      </c>
      <c r="D329" s="2">
        <v>17</v>
      </c>
      <c r="E329" s="2">
        <v>45.7</v>
      </c>
    </row>
    <row r="330" ht="14.25" spans="1:5">
      <c r="A330" s="2" t="s">
        <v>343</v>
      </c>
      <c r="B330" s="2" t="s">
        <v>334</v>
      </c>
      <c r="C330" s="2">
        <v>12</v>
      </c>
      <c r="D330" s="2">
        <v>18</v>
      </c>
      <c r="E330" s="2">
        <v>50</v>
      </c>
    </row>
    <row r="331" ht="14.25" spans="1:5">
      <c r="A331" s="2" t="s">
        <v>344</v>
      </c>
      <c r="B331" s="2" t="s">
        <v>334</v>
      </c>
      <c r="C331" s="2">
        <v>12</v>
      </c>
      <c r="D331" s="2">
        <v>19</v>
      </c>
      <c r="E331" s="2">
        <v>55.5</v>
      </c>
    </row>
    <row r="332" ht="14.25" spans="1:5">
      <c r="A332" s="2" t="s">
        <v>345</v>
      </c>
      <c r="B332" s="2" t="s">
        <v>334</v>
      </c>
      <c r="C332" s="2">
        <v>12</v>
      </c>
      <c r="D332" s="2">
        <v>20</v>
      </c>
      <c r="E332" s="2">
        <v>50.9</v>
      </c>
    </row>
    <row r="333" ht="14.25" spans="1:5">
      <c r="A333" s="2" t="s">
        <v>346</v>
      </c>
      <c r="B333" s="2" t="s">
        <v>334</v>
      </c>
      <c r="C333" s="2">
        <v>12</v>
      </c>
      <c r="D333" s="2">
        <v>21</v>
      </c>
      <c r="E333" s="2" t="s">
        <v>16</v>
      </c>
    </row>
    <row r="334" ht="14.25" spans="1:5">
      <c r="A334" s="2" t="s">
        <v>347</v>
      </c>
      <c r="B334" s="2" t="s">
        <v>334</v>
      </c>
      <c r="C334" s="2">
        <v>12</v>
      </c>
      <c r="D334" s="2">
        <v>22</v>
      </c>
      <c r="E334" s="2">
        <v>50.6</v>
      </c>
    </row>
    <row r="335" ht="14.25" spans="1:5">
      <c r="A335" s="2" t="s">
        <v>348</v>
      </c>
      <c r="B335" s="2" t="s">
        <v>334</v>
      </c>
      <c r="C335" s="2">
        <v>12</v>
      </c>
      <c r="D335" s="2">
        <v>23</v>
      </c>
      <c r="E335" s="2">
        <v>39.7</v>
      </c>
    </row>
    <row r="336" ht="14.25" spans="1:5">
      <c r="A336" s="2" t="s">
        <v>349</v>
      </c>
      <c r="B336" s="2" t="s">
        <v>334</v>
      </c>
      <c r="C336" s="2">
        <v>12</v>
      </c>
      <c r="D336" s="2">
        <v>24</v>
      </c>
      <c r="E336" s="2">
        <v>58.1</v>
      </c>
    </row>
    <row r="337" ht="14.25" spans="1:5">
      <c r="A337" s="2" t="s">
        <v>350</v>
      </c>
      <c r="B337" s="2" t="s">
        <v>334</v>
      </c>
      <c r="C337" s="2">
        <v>12</v>
      </c>
      <c r="D337" s="2">
        <v>25</v>
      </c>
      <c r="E337" s="2">
        <v>40.2</v>
      </c>
    </row>
    <row r="338" ht="14.25" spans="1:5">
      <c r="A338" s="2" t="s">
        <v>351</v>
      </c>
      <c r="B338" s="2" t="s">
        <v>334</v>
      </c>
      <c r="C338" s="2">
        <v>12</v>
      </c>
      <c r="D338" s="2">
        <v>26</v>
      </c>
      <c r="E338" s="2" t="s">
        <v>16</v>
      </c>
    </row>
    <row r="339" ht="14.25" spans="1:5">
      <c r="A339" s="2" t="s">
        <v>352</v>
      </c>
      <c r="B339" s="2" t="s">
        <v>334</v>
      </c>
      <c r="C339" s="2">
        <v>12</v>
      </c>
      <c r="D339" s="2">
        <v>27</v>
      </c>
      <c r="E339" s="2">
        <v>67.3</v>
      </c>
    </row>
    <row r="340" ht="14.25" spans="1:5">
      <c r="A340" s="2" t="s">
        <v>353</v>
      </c>
      <c r="B340" s="2" t="s">
        <v>334</v>
      </c>
      <c r="C340" s="2">
        <v>12</v>
      </c>
      <c r="D340" s="2">
        <v>28</v>
      </c>
      <c r="E340" s="2">
        <v>50</v>
      </c>
    </row>
    <row r="341" ht="14.25" spans="1:5">
      <c r="A341" s="2" t="s">
        <v>354</v>
      </c>
      <c r="B341" s="2" t="s">
        <v>334</v>
      </c>
      <c r="C341" s="2">
        <v>12</v>
      </c>
      <c r="D341" s="2">
        <v>29</v>
      </c>
      <c r="E341" s="2" t="s">
        <v>16</v>
      </c>
    </row>
    <row r="342" ht="14.25" spans="1:5">
      <c r="A342" s="2" t="s">
        <v>355</v>
      </c>
      <c r="B342" s="2" t="s">
        <v>334</v>
      </c>
      <c r="C342" s="2">
        <v>12</v>
      </c>
      <c r="D342" s="2">
        <v>30</v>
      </c>
      <c r="E342" s="2">
        <v>38.2</v>
      </c>
    </row>
    <row r="343" ht="14.25" spans="1:5">
      <c r="A343" s="2" t="s">
        <v>356</v>
      </c>
      <c r="B343" s="2" t="s">
        <v>334</v>
      </c>
      <c r="C343" s="2">
        <v>13</v>
      </c>
      <c r="D343" s="2">
        <v>1</v>
      </c>
      <c r="E343" s="2" t="s">
        <v>16</v>
      </c>
    </row>
    <row r="344" ht="14.25" spans="1:5">
      <c r="A344" s="2" t="s">
        <v>357</v>
      </c>
      <c r="B344" s="2" t="s">
        <v>334</v>
      </c>
      <c r="C344" s="2">
        <v>13</v>
      </c>
      <c r="D344" s="2">
        <v>2</v>
      </c>
      <c r="E344" s="2" t="s">
        <v>16</v>
      </c>
    </row>
    <row r="345" ht="14.25" spans="1:5">
      <c r="A345" s="2" t="s">
        <v>358</v>
      </c>
      <c r="B345" s="2" t="s">
        <v>334</v>
      </c>
      <c r="C345" s="2">
        <v>13</v>
      </c>
      <c r="D345" s="2">
        <v>3</v>
      </c>
      <c r="E345" s="2">
        <v>41.9</v>
      </c>
    </row>
    <row r="346" ht="14.25" spans="1:5">
      <c r="A346" s="2" t="s">
        <v>359</v>
      </c>
      <c r="B346" s="2" t="s">
        <v>334</v>
      </c>
      <c r="C346" s="2">
        <v>13</v>
      </c>
      <c r="D346" s="2">
        <v>4</v>
      </c>
      <c r="E346" s="2">
        <v>47.6</v>
      </c>
    </row>
    <row r="347" ht="14.25" spans="1:5">
      <c r="A347" s="2" t="s">
        <v>360</v>
      </c>
      <c r="B347" s="2" t="s">
        <v>334</v>
      </c>
      <c r="C347" s="2">
        <v>13</v>
      </c>
      <c r="D347" s="2">
        <v>5</v>
      </c>
      <c r="E347" s="2" t="s">
        <v>16</v>
      </c>
    </row>
    <row r="348" ht="14.25" spans="1:5">
      <c r="A348" s="2" t="s">
        <v>361</v>
      </c>
      <c r="B348" s="2" t="s">
        <v>334</v>
      </c>
      <c r="C348" s="2">
        <v>13</v>
      </c>
      <c r="D348" s="2">
        <v>6</v>
      </c>
      <c r="E348" s="2">
        <v>50</v>
      </c>
    </row>
    <row r="349" ht="14.25" spans="1:5">
      <c r="A349" s="2" t="s">
        <v>362</v>
      </c>
      <c r="B349" s="2" t="s">
        <v>334</v>
      </c>
      <c r="C349" s="2">
        <v>13</v>
      </c>
      <c r="D349" s="2">
        <v>7</v>
      </c>
      <c r="E349" s="2" t="s">
        <v>16</v>
      </c>
    </row>
    <row r="350" ht="14.25" spans="1:5">
      <c r="A350" s="2" t="s">
        <v>363</v>
      </c>
      <c r="B350" s="2" t="s">
        <v>334</v>
      </c>
      <c r="C350" s="2">
        <v>13</v>
      </c>
      <c r="D350" s="2">
        <v>8</v>
      </c>
      <c r="E350" s="2">
        <v>47.7</v>
      </c>
    </row>
    <row r="351" ht="14.25" spans="1:5">
      <c r="A351" s="2" t="s">
        <v>364</v>
      </c>
      <c r="B351" s="2" t="s">
        <v>334</v>
      </c>
      <c r="C351" s="2">
        <v>13</v>
      </c>
      <c r="D351" s="2">
        <v>9</v>
      </c>
      <c r="E351" s="2" t="s">
        <v>16</v>
      </c>
    </row>
    <row r="352" ht="14.25" spans="1:5">
      <c r="A352" s="2" t="s">
        <v>365</v>
      </c>
      <c r="B352" s="2" t="s">
        <v>334</v>
      </c>
      <c r="C352" s="2">
        <v>13</v>
      </c>
      <c r="D352" s="2">
        <v>10</v>
      </c>
      <c r="E352" s="2">
        <v>62.7</v>
      </c>
    </row>
    <row r="353" ht="14.25" spans="1:5">
      <c r="A353" s="2" t="s">
        <v>366</v>
      </c>
      <c r="B353" s="2" t="s">
        <v>334</v>
      </c>
      <c r="C353" s="2">
        <v>13</v>
      </c>
      <c r="D353" s="2">
        <v>11</v>
      </c>
      <c r="E353" s="2">
        <v>60.5</v>
      </c>
    </row>
    <row r="354" ht="14.25" spans="1:5">
      <c r="A354" s="2" t="s">
        <v>367</v>
      </c>
      <c r="B354" s="2" t="s">
        <v>334</v>
      </c>
      <c r="C354" s="2">
        <v>13</v>
      </c>
      <c r="D354" s="2">
        <v>12</v>
      </c>
      <c r="E354" s="2">
        <v>45</v>
      </c>
    </row>
    <row r="355" ht="14.25" spans="1:5">
      <c r="A355" s="2" t="s">
        <v>368</v>
      </c>
      <c r="B355" s="2" t="s">
        <v>334</v>
      </c>
      <c r="C355" s="2">
        <v>13</v>
      </c>
      <c r="D355" s="2">
        <v>13</v>
      </c>
      <c r="E355" s="2">
        <v>47.7</v>
      </c>
    </row>
    <row r="356" ht="14.25" spans="1:5">
      <c r="A356" s="2" t="s">
        <v>369</v>
      </c>
      <c r="B356" s="2" t="s">
        <v>334</v>
      </c>
      <c r="C356" s="2">
        <v>13</v>
      </c>
      <c r="D356" s="2">
        <v>14</v>
      </c>
      <c r="E356" s="2">
        <v>56.9</v>
      </c>
    </row>
    <row r="357" ht="14.25" spans="1:5">
      <c r="A357" s="2" t="s">
        <v>370</v>
      </c>
      <c r="B357" s="2" t="s">
        <v>334</v>
      </c>
      <c r="C357" s="2">
        <v>13</v>
      </c>
      <c r="D357" s="2">
        <v>15</v>
      </c>
      <c r="E357" s="2">
        <v>39.3</v>
      </c>
    </row>
    <row r="358" ht="14.25" spans="1:5">
      <c r="A358" s="2" t="s">
        <v>371</v>
      </c>
      <c r="B358" s="2" t="s">
        <v>334</v>
      </c>
      <c r="C358" s="2">
        <v>13</v>
      </c>
      <c r="D358" s="2">
        <v>16</v>
      </c>
      <c r="E358" s="2" t="s">
        <v>16</v>
      </c>
    </row>
    <row r="359" ht="14.25" spans="1:5">
      <c r="A359" s="2" t="s">
        <v>372</v>
      </c>
      <c r="B359" s="2" t="s">
        <v>334</v>
      </c>
      <c r="C359" s="2">
        <v>13</v>
      </c>
      <c r="D359" s="2">
        <v>17</v>
      </c>
      <c r="E359" s="2" t="s">
        <v>16</v>
      </c>
    </row>
    <row r="360" ht="14.25" spans="1:5">
      <c r="A360" s="2" t="s">
        <v>373</v>
      </c>
      <c r="B360" s="2" t="s">
        <v>334</v>
      </c>
      <c r="C360" s="2">
        <v>13</v>
      </c>
      <c r="D360" s="2">
        <v>18</v>
      </c>
      <c r="E360" s="2">
        <v>49.6</v>
      </c>
    </row>
    <row r="361" ht="14.25" spans="1:5">
      <c r="A361" s="2" t="s">
        <v>374</v>
      </c>
      <c r="B361" s="2" t="s">
        <v>334</v>
      </c>
      <c r="C361" s="2">
        <v>13</v>
      </c>
      <c r="D361" s="2">
        <v>19</v>
      </c>
      <c r="E361" s="2">
        <v>52.6</v>
      </c>
    </row>
    <row r="362" ht="14.25" spans="1:5">
      <c r="A362" s="2" t="s">
        <v>375</v>
      </c>
      <c r="B362" s="2" t="s">
        <v>334</v>
      </c>
      <c r="C362" s="2">
        <v>13</v>
      </c>
      <c r="D362" s="2">
        <v>20</v>
      </c>
      <c r="E362" s="2">
        <v>54.9</v>
      </c>
    </row>
    <row r="363" ht="14.25" spans="1:5">
      <c r="A363" s="2" t="s">
        <v>376</v>
      </c>
      <c r="B363" s="2" t="s">
        <v>334</v>
      </c>
      <c r="C363" s="2">
        <v>13</v>
      </c>
      <c r="D363" s="2">
        <v>21</v>
      </c>
      <c r="E363" s="2">
        <v>57.2</v>
      </c>
    </row>
    <row r="364" ht="14.25" spans="1:5">
      <c r="A364" s="2" t="s">
        <v>377</v>
      </c>
      <c r="B364" s="2" t="s">
        <v>334</v>
      </c>
      <c r="C364" s="2">
        <v>13</v>
      </c>
      <c r="D364" s="2">
        <v>22</v>
      </c>
      <c r="E364" s="2" t="s">
        <v>16</v>
      </c>
    </row>
    <row r="365" ht="14.25" spans="1:5">
      <c r="A365" s="2" t="s">
        <v>378</v>
      </c>
      <c r="B365" s="2" t="s">
        <v>334</v>
      </c>
      <c r="C365" s="2">
        <v>13</v>
      </c>
      <c r="D365" s="2">
        <v>23</v>
      </c>
      <c r="E365" s="2">
        <v>40.2</v>
      </c>
    </row>
    <row r="366" ht="14.25" spans="1:5">
      <c r="A366" s="2" t="s">
        <v>379</v>
      </c>
      <c r="B366" s="2" t="s">
        <v>334</v>
      </c>
      <c r="C366" s="2">
        <v>13</v>
      </c>
      <c r="D366" s="2">
        <v>24</v>
      </c>
      <c r="E366" s="2">
        <v>41.9</v>
      </c>
    </row>
    <row r="367" ht="14.25" spans="1:5">
      <c r="A367" s="2" t="s">
        <v>380</v>
      </c>
      <c r="B367" s="2" t="s">
        <v>334</v>
      </c>
      <c r="C367" s="2">
        <v>13</v>
      </c>
      <c r="D367" s="2">
        <v>25</v>
      </c>
      <c r="E367" s="2">
        <v>59.6</v>
      </c>
    </row>
    <row r="368" ht="14.25" spans="1:5">
      <c r="A368" s="2" t="s">
        <v>381</v>
      </c>
      <c r="B368" s="2" t="s">
        <v>334</v>
      </c>
      <c r="C368" s="2">
        <v>13</v>
      </c>
      <c r="D368" s="2">
        <v>26</v>
      </c>
      <c r="E368" s="2" t="s">
        <v>16</v>
      </c>
    </row>
    <row r="369" ht="14.25" spans="1:5">
      <c r="A369" s="2" t="s">
        <v>382</v>
      </c>
      <c r="B369" s="2" t="s">
        <v>334</v>
      </c>
      <c r="C369" s="2">
        <v>13</v>
      </c>
      <c r="D369" s="2">
        <v>27</v>
      </c>
      <c r="E369" s="2">
        <v>53</v>
      </c>
    </row>
    <row r="370" ht="14.25" spans="1:5">
      <c r="A370" s="2" t="s">
        <v>383</v>
      </c>
      <c r="B370" s="2" t="s">
        <v>334</v>
      </c>
      <c r="C370" s="2">
        <v>13</v>
      </c>
      <c r="D370" s="2">
        <v>28</v>
      </c>
      <c r="E370" s="2">
        <v>58.1</v>
      </c>
    </row>
    <row r="371" ht="14.25" spans="1:5">
      <c r="A371" s="2" t="s">
        <v>384</v>
      </c>
      <c r="B371" s="2" t="s">
        <v>334</v>
      </c>
      <c r="C371" s="2">
        <v>13</v>
      </c>
      <c r="D371" s="2">
        <v>29</v>
      </c>
      <c r="E371" s="2">
        <v>60.2</v>
      </c>
    </row>
    <row r="372" ht="14.25" spans="1:5">
      <c r="A372" s="2" t="s">
        <v>385</v>
      </c>
      <c r="B372" s="2" t="s">
        <v>334</v>
      </c>
      <c r="C372" s="2">
        <v>13</v>
      </c>
      <c r="D372" s="2">
        <v>30</v>
      </c>
      <c r="E372" s="2">
        <v>53.9</v>
      </c>
    </row>
    <row r="373" ht="14.25" spans="1:5">
      <c r="A373" s="2" t="s">
        <v>386</v>
      </c>
      <c r="B373" s="2" t="s">
        <v>334</v>
      </c>
      <c r="C373" s="2">
        <v>14</v>
      </c>
      <c r="D373" s="2">
        <v>1</v>
      </c>
      <c r="E373" s="2" t="s">
        <v>16</v>
      </c>
    </row>
    <row r="374" ht="14.25" spans="1:5">
      <c r="A374" s="2" t="s">
        <v>387</v>
      </c>
      <c r="B374" s="2" t="s">
        <v>334</v>
      </c>
      <c r="C374" s="2">
        <v>14</v>
      </c>
      <c r="D374" s="2">
        <v>2</v>
      </c>
      <c r="E374" s="2">
        <v>62</v>
      </c>
    </row>
    <row r="375" ht="14.25" spans="1:5">
      <c r="A375" s="2" t="s">
        <v>388</v>
      </c>
      <c r="B375" s="2" t="s">
        <v>334</v>
      </c>
      <c r="C375" s="2">
        <v>14</v>
      </c>
      <c r="D375" s="2">
        <v>3</v>
      </c>
      <c r="E375" s="2">
        <v>55.5</v>
      </c>
    </row>
    <row r="376" ht="14.25" spans="1:5">
      <c r="A376" s="2" t="s">
        <v>389</v>
      </c>
      <c r="B376" s="2" t="s">
        <v>334</v>
      </c>
      <c r="C376" s="2">
        <v>14</v>
      </c>
      <c r="D376" s="2">
        <v>4</v>
      </c>
      <c r="E376" s="2">
        <v>49.3</v>
      </c>
    </row>
    <row r="377" ht="14.25" spans="1:5">
      <c r="A377" s="2" t="s">
        <v>390</v>
      </c>
      <c r="B377" s="2" t="s">
        <v>334</v>
      </c>
      <c r="C377" s="2">
        <v>14</v>
      </c>
      <c r="D377" s="2">
        <v>5</v>
      </c>
      <c r="E377" s="2">
        <v>64</v>
      </c>
    </row>
    <row r="378" ht="14.25" spans="1:5">
      <c r="A378" s="2" t="s">
        <v>391</v>
      </c>
      <c r="B378" s="2" t="s">
        <v>334</v>
      </c>
      <c r="C378" s="2">
        <v>14</v>
      </c>
      <c r="D378" s="2">
        <v>6</v>
      </c>
      <c r="E378" s="2">
        <v>63</v>
      </c>
    </row>
    <row r="379" ht="14.25" spans="1:5">
      <c r="A379" s="2" t="s">
        <v>392</v>
      </c>
      <c r="B379" s="2" t="s">
        <v>334</v>
      </c>
      <c r="C379" s="2">
        <v>14</v>
      </c>
      <c r="D379" s="2">
        <v>7</v>
      </c>
      <c r="E379" s="2" t="s">
        <v>16</v>
      </c>
    </row>
    <row r="380" ht="14.25" spans="1:5">
      <c r="A380" s="2" t="s">
        <v>393</v>
      </c>
      <c r="B380" s="2" t="s">
        <v>334</v>
      </c>
      <c r="C380" s="2">
        <v>14</v>
      </c>
      <c r="D380" s="2">
        <v>8</v>
      </c>
      <c r="E380" s="2" t="s">
        <v>16</v>
      </c>
    </row>
    <row r="381" ht="14.25" spans="1:5">
      <c r="A381" s="2" t="s">
        <v>394</v>
      </c>
      <c r="B381" s="2" t="s">
        <v>334</v>
      </c>
      <c r="C381" s="2">
        <v>14</v>
      </c>
      <c r="D381" s="2">
        <v>9</v>
      </c>
      <c r="E381" s="2">
        <v>48.3</v>
      </c>
    </row>
    <row r="382" ht="14.25" spans="1:5">
      <c r="A382" s="2" t="s">
        <v>395</v>
      </c>
      <c r="B382" s="2" t="s">
        <v>334</v>
      </c>
      <c r="C382" s="2">
        <v>14</v>
      </c>
      <c r="D382" s="2">
        <v>10</v>
      </c>
      <c r="E382" s="2" t="s">
        <v>16</v>
      </c>
    </row>
    <row r="383" ht="14.25" spans="1:5">
      <c r="A383" s="2" t="s">
        <v>396</v>
      </c>
      <c r="B383" s="2" t="s">
        <v>334</v>
      </c>
      <c r="C383" s="2">
        <v>14</v>
      </c>
      <c r="D383" s="2">
        <v>11</v>
      </c>
      <c r="E383" s="2" t="s">
        <v>16</v>
      </c>
    </row>
    <row r="384" ht="14.25" spans="1:5">
      <c r="A384" s="2" t="s">
        <v>397</v>
      </c>
      <c r="B384" s="2" t="s">
        <v>334</v>
      </c>
      <c r="C384" s="2">
        <v>14</v>
      </c>
      <c r="D384" s="2">
        <v>12</v>
      </c>
      <c r="E384" s="2" t="s">
        <v>16</v>
      </c>
    </row>
    <row r="385" ht="14.25" spans="1:5">
      <c r="A385" s="2" t="s">
        <v>398</v>
      </c>
      <c r="B385" s="2" t="s">
        <v>334</v>
      </c>
      <c r="C385" s="2">
        <v>14</v>
      </c>
      <c r="D385" s="2">
        <v>13</v>
      </c>
      <c r="E385" s="2" t="s">
        <v>16</v>
      </c>
    </row>
    <row r="386" ht="14.25" spans="1:5">
      <c r="A386" s="2" t="s">
        <v>399</v>
      </c>
      <c r="B386" s="2" t="s">
        <v>334</v>
      </c>
      <c r="C386" s="2">
        <v>14</v>
      </c>
      <c r="D386" s="2">
        <v>14</v>
      </c>
      <c r="E386" s="2">
        <v>53.9</v>
      </c>
    </row>
    <row r="387" ht="14.25" spans="1:5">
      <c r="A387" s="2" t="s">
        <v>400</v>
      </c>
      <c r="B387" s="2" t="s">
        <v>334</v>
      </c>
      <c r="C387" s="2">
        <v>14</v>
      </c>
      <c r="D387" s="2">
        <v>15</v>
      </c>
      <c r="E387" s="2" t="s">
        <v>16</v>
      </c>
    </row>
    <row r="388" ht="14.25" spans="1:5">
      <c r="A388" s="2" t="s">
        <v>401</v>
      </c>
      <c r="B388" s="2" t="s">
        <v>334</v>
      </c>
      <c r="C388" s="2">
        <v>14</v>
      </c>
      <c r="D388" s="2">
        <v>16</v>
      </c>
      <c r="E388" s="2">
        <v>55</v>
      </c>
    </row>
    <row r="389" ht="14.25" spans="1:5">
      <c r="A389" s="2" t="s">
        <v>402</v>
      </c>
      <c r="B389" s="2" t="s">
        <v>334</v>
      </c>
      <c r="C389" s="2">
        <v>14</v>
      </c>
      <c r="D389" s="2">
        <v>17</v>
      </c>
      <c r="E389" s="2">
        <v>52.7</v>
      </c>
    </row>
    <row r="390" ht="14.25" spans="1:5">
      <c r="A390" s="2" t="s">
        <v>403</v>
      </c>
      <c r="B390" s="2" t="s">
        <v>334</v>
      </c>
      <c r="C390" s="2">
        <v>14</v>
      </c>
      <c r="D390" s="2">
        <v>18</v>
      </c>
      <c r="E390" s="2">
        <v>39.1</v>
      </c>
    </row>
    <row r="391" ht="14.25" spans="1:5">
      <c r="A391" s="2" t="s">
        <v>404</v>
      </c>
      <c r="B391" s="2" t="s">
        <v>334</v>
      </c>
      <c r="C391" s="2">
        <v>14</v>
      </c>
      <c r="D391" s="2">
        <v>19</v>
      </c>
      <c r="E391" s="2">
        <v>52.9</v>
      </c>
    </row>
    <row r="392" ht="14.25" spans="1:5">
      <c r="A392" s="2" t="s">
        <v>405</v>
      </c>
      <c r="B392" s="2" t="s">
        <v>334</v>
      </c>
      <c r="C392" s="2">
        <v>14</v>
      </c>
      <c r="D392" s="2">
        <v>20</v>
      </c>
      <c r="E392" s="2">
        <v>51.7</v>
      </c>
    </row>
    <row r="393" ht="14.25" spans="1:5">
      <c r="A393" s="2" t="s">
        <v>406</v>
      </c>
      <c r="B393" s="2" t="s">
        <v>334</v>
      </c>
      <c r="C393" s="2">
        <v>14</v>
      </c>
      <c r="D393" s="2">
        <v>21</v>
      </c>
      <c r="E393" s="2" t="s">
        <v>16</v>
      </c>
    </row>
    <row r="394" ht="14.25" spans="1:5">
      <c r="A394" s="2" t="s">
        <v>407</v>
      </c>
      <c r="B394" s="2" t="s">
        <v>334</v>
      </c>
      <c r="C394" s="2">
        <v>14</v>
      </c>
      <c r="D394" s="2">
        <v>22</v>
      </c>
      <c r="E394" s="2" t="s">
        <v>16</v>
      </c>
    </row>
    <row r="395" ht="14.25" spans="1:5">
      <c r="A395" s="2" t="s">
        <v>408</v>
      </c>
      <c r="B395" s="2" t="s">
        <v>334</v>
      </c>
      <c r="C395" s="2">
        <v>14</v>
      </c>
      <c r="D395" s="2">
        <v>23</v>
      </c>
      <c r="E395" s="2">
        <v>42.5</v>
      </c>
    </row>
    <row r="396" ht="14.25" spans="1:5">
      <c r="A396" s="2" t="s">
        <v>409</v>
      </c>
      <c r="B396" s="2" t="s">
        <v>334</v>
      </c>
      <c r="C396" s="2">
        <v>14</v>
      </c>
      <c r="D396" s="2">
        <v>24</v>
      </c>
      <c r="E396" s="2">
        <v>56.8</v>
      </c>
    </row>
    <row r="397" ht="14.25" spans="1:5">
      <c r="A397" s="2" t="s">
        <v>410</v>
      </c>
      <c r="B397" s="2" t="s">
        <v>334</v>
      </c>
      <c r="C397" s="2">
        <v>14</v>
      </c>
      <c r="D397" s="2">
        <v>25</v>
      </c>
      <c r="E397" s="2">
        <v>57.2</v>
      </c>
    </row>
    <row r="398" ht="14.25" spans="1:5">
      <c r="A398" s="2" t="s">
        <v>411</v>
      </c>
      <c r="B398" s="2" t="s">
        <v>334</v>
      </c>
      <c r="C398" s="2">
        <v>14</v>
      </c>
      <c r="D398" s="2">
        <v>26</v>
      </c>
      <c r="E398" s="2">
        <v>51.6</v>
      </c>
    </row>
    <row r="399" ht="14.25" spans="1:5">
      <c r="A399" s="2" t="s">
        <v>412</v>
      </c>
      <c r="B399" s="2" t="s">
        <v>334</v>
      </c>
      <c r="C399" s="2">
        <v>14</v>
      </c>
      <c r="D399" s="2">
        <v>27</v>
      </c>
      <c r="E399" s="2">
        <v>44.2</v>
      </c>
    </row>
    <row r="400" ht="14.25" spans="1:5">
      <c r="A400" s="2" t="s">
        <v>413</v>
      </c>
      <c r="B400" s="2" t="s">
        <v>334</v>
      </c>
      <c r="C400" s="2">
        <v>14</v>
      </c>
      <c r="D400" s="2">
        <v>28</v>
      </c>
      <c r="E400" s="2">
        <v>38.3</v>
      </c>
    </row>
    <row r="401" ht="14.25" spans="1:5">
      <c r="A401" s="2" t="s">
        <v>414</v>
      </c>
      <c r="B401" s="2" t="s">
        <v>334</v>
      </c>
      <c r="C401" s="2">
        <v>14</v>
      </c>
      <c r="D401" s="2">
        <v>29</v>
      </c>
      <c r="E401" s="2">
        <v>43.4</v>
      </c>
    </row>
    <row r="402" ht="14.25" spans="1:5">
      <c r="A402" s="2" t="s">
        <v>415</v>
      </c>
      <c r="B402" s="2" t="s">
        <v>334</v>
      </c>
      <c r="C402" s="2">
        <v>14</v>
      </c>
      <c r="D402" s="2">
        <v>30</v>
      </c>
      <c r="E402" s="2" t="s">
        <v>16</v>
      </c>
    </row>
    <row r="403" ht="14.25" spans="1:5">
      <c r="A403" s="2" t="s">
        <v>416</v>
      </c>
      <c r="B403" s="2" t="s">
        <v>334</v>
      </c>
      <c r="C403" s="2">
        <v>15</v>
      </c>
      <c r="D403" s="2">
        <v>1</v>
      </c>
      <c r="E403" s="2" t="s">
        <v>16</v>
      </c>
    </row>
    <row r="404" ht="14.25" spans="1:5">
      <c r="A404" s="2" t="s">
        <v>417</v>
      </c>
      <c r="B404" s="2" t="s">
        <v>334</v>
      </c>
      <c r="C404" s="2">
        <v>15</v>
      </c>
      <c r="D404" s="2">
        <v>2</v>
      </c>
      <c r="E404" s="2" t="s">
        <v>16</v>
      </c>
    </row>
    <row r="405" ht="14.25" spans="1:5">
      <c r="A405" s="2" t="s">
        <v>418</v>
      </c>
      <c r="B405" s="2" t="s">
        <v>334</v>
      </c>
      <c r="C405" s="2">
        <v>15</v>
      </c>
      <c r="D405" s="2">
        <v>3</v>
      </c>
      <c r="E405" s="2" t="s">
        <v>16</v>
      </c>
    </row>
    <row r="406" ht="14.25" spans="1:5">
      <c r="A406" s="2" t="s">
        <v>419</v>
      </c>
      <c r="B406" s="2" t="s">
        <v>334</v>
      </c>
      <c r="C406" s="2">
        <v>15</v>
      </c>
      <c r="D406" s="2">
        <v>4</v>
      </c>
      <c r="E406" s="2">
        <v>47.3</v>
      </c>
    </row>
    <row r="407" ht="14.25" spans="1:5">
      <c r="A407" s="2" t="s">
        <v>420</v>
      </c>
      <c r="B407" s="2" t="s">
        <v>334</v>
      </c>
      <c r="C407" s="2">
        <v>15</v>
      </c>
      <c r="D407" s="2">
        <v>5</v>
      </c>
      <c r="E407" s="2" t="s">
        <v>16</v>
      </c>
    </row>
    <row r="408" ht="14.25" spans="1:5">
      <c r="A408" s="2" t="s">
        <v>421</v>
      </c>
      <c r="B408" s="2" t="s">
        <v>334</v>
      </c>
      <c r="C408" s="2">
        <v>15</v>
      </c>
      <c r="D408" s="2">
        <v>6</v>
      </c>
      <c r="E408" s="2" t="s">
        <v>16</v>
      </c>
    </row>
    <row r="409" ht="14.25" spans="1:5">
      <c r="A409" s="2" t="s">
        <v>422</v>
      </c>
      <c r="B409" s="2" t="s">
        <v>334</v>
      </c>
      <c r="C409" s="2">
        <v>15</v>
      </c>
      <c r="D409" s="2">
        <v>7</v>
      </c>
      <c r="E409" s="2" t="s">
        <v>16</v>
      </c>
    </row>
    <row r="410" ht="14.25" spans="1:5">
      <c r="A410" s="2" t="s">
        <v>423</v>
      </c>
      <c r="B410" s="2" t="s">
        <v>334</v>
      </c>
      <c r="C410" s="2">
        <v>15</v>
      </c>
      <c r="D410" s="2">
        <v>8</v>
      </c>
      <c r="E410" s="2" t="s">
        <v>16</v>
      </c>
    </row>
    <row r="411" ht="14.25" spans="1:5">
      <c r="A411" s="2" t="s">
        <v>424</v>
      </c>
      <c r="B411" s="2" t="s">
        <v>334</v>
      </c>
      <c r="C411" s="2">
        <v>15</v>
      </c>
      <c r="D411" s="2">
        <v>9</v>
      </c>
      <c r="E411" s="2" t="s">
        <v>16</v>
      </c>
    </row>
    <row r="412" ht="14.25" spans="1:5">
      <c r="A412" s="2" t="s">
        <v>425</v>
      </c>
      <c r="B412" s="2" t="s">
        <v>334</v>
      </c>
      <c r="C412" s="2">
        <v>15</v>
      </c>
      <c r="D412" s="2">
        <v>10</v>
      </c>
      <c r="E412" s="2" t="s">
        <v>16</v>
      </c>
    </row>
    <row r="413" ht="14.25" spans="1:5">
      <c r="A413" s="2" t="s">
        <v>426</v>
      </c>
      <c r="B413" s="2" t="s">
        <v>427</v>
      </c>
      <c r="C413" s="2">
        <v>16</v>
      </c>
      <c r="D413" s="2">
        <v>1</v>
      </c>
      <c r="E413" s="2">
        <v>71</v>
      </c>
    </row>
    <row r="414" ht="14.25" spans="1:5">
      <c r="A414" s="2" t="s">
        <v>428</v>
      </c>
      <c r="B414" s="2" t="s">
        <v>427</v>
      </c>
      <c r="C414" s="2">
        <v>16</v>
      </c>
      <c r="D414" s="2">
        <v>2</v>
      </c>
      <c r="E414" s="2">
        <v>72</v>
      </c>
    </row>
    <row r="415" ht="14.25" spans="1:5">
      <c r="A415" s="2" t="s">
        <v>429</v>
      </c>
      <c r="B415" s="2" t="s">
        <v>427</v>
      </c>
      <c r="C415" s="2">
        <v>16</v>
      </c>
      <c r="D415" s="2">
        <v>3</v>
      </c>
      <c r="E415" s="2">
        <v>77.7</v>
      </c>
    </row>
    <row r="416" ht="14.25" spans="1:5">
      <c r="A416" s="2" t="s">
        <v>430</v>
      </c>
      <c r="B416" s="2" t="s">
        <v>427</v>
      </c>
      <c r="C416" s="2">
        <v>16</v>
      </c>
      <c r="D416" s="2">
        <v>4</v>
      </c>
      <c r="E416" s="2" t="s">
        <v>16</v>
      </c>
    </row>
    <row r="417" ht="14.25" spans="1:5">
      <c r="A417" s="2" t="s">
        <v>431</v>
      </c>
      <c r="B417" s="2" t="s">
        <v>427</v>
      </c>
      <c r="C417" s="2">
        <v>16</v>
      </c>
      <c r="D417" s="2">
        <v>5</v>
      </c>
      <c r="E417" s="2" t="s">
        <v>16</v>
      </c>
    </row>
    <row r="418" ht="14.25" spans="1:5">
      <c r="A418" s="2" t="s">
        <v>432</v>
      </c>
      <c r="B418" s="2" t="s">
        <v>427</v>
      </c>
      <c r="C418" s="2">
        <v>16</v>
      </c>
      <c r="D418" s="2">
        <v>6</v>
      </c>
      <c r="E418" s="2">
        <v>66.9</v>
      </c>
    </row>
    <row r="419" ht="14.25" spans="1:5">
      <c r="A419" s="2" t="s">
        <v>433</v>
      </c>
      <c r="B419" s="2" t="s">
        <v>427</v>
      </c>
      <c r="C419" s="2">
        <v>16</v>
      </c>
      <c r="D419" s="2">
        <v>7</v>
      </c>
      <c r="E419" s="2" t="s">
        <v>16</v>
      </c>
    </row>
    <row r="420" ht="14.25" spans="1:5">
      <c r="A420" s="2" t="s">
        <v>434</v>
      </c>
      <c r="B420" s="2" t="s">
        <v>427</v>
      </c>
      <c r="C420" s="2">
        <v>16</v>
      </c>
      <c r="D420" s="2">
        <v>8</v>
      </c>
      <c r="E420" s="2" t="s">
        <v>16</v>
      </c>
    </row>
    <row r="421" ht="14.25" spans="1:5">
      <c r="A421" s="2" t="s">
        <v>435</v>
      </c>
      <c r="B421" s="2" t="s">
        <v>436</v>
      </c>
      <c r="C421" s="2">
        <v>16</v>
      </c>
      <c r="D421" s="2">
        <v>9</v>
      </c>
      <c r="E421" s="2" t="s">
        <v>16</v>
      </c>
    </row>
    <row r="422" ht="14.25" spans="1:5">
      <c r="A422" s="2" t="s">
        <v>437</v>
      </c>
      <c r="B422" s="2" t="s">
        <v>436</v>
      </c>
      <c r="C422" s="2">
        <v>16</v>
      </c>
      <c r="D422" s="2">
        <v>10</v>
      </c>
      <c r="E422" s="2">
        <v>57.4</v>
      </c>
    </row>
    <row r="423" ht="14.25" spans="1:5">
      <c r="A423" s="2" t="s">
        <v>438</v>
      </c>
      <c r="B423" s="2" t="s">
        <v>436</v>
      </c>
      <c r="C423" s="2">
        <v>16</v>
      </c>
      <c r="D423" s="2">
        <v>11</v>
      </c>
      <c r="E423" s="2" t="s">
        <v>16</v>
      </c>
    </row>
    <row r="424" ht="14.25" spans="1:5">
      <c r="A424" s="2" t="s">
        <v>439</v>
      </c>
      <c r="B424" s="2" t="s">
        <v>436</v>
      </c>
      <c r="C424" s="2">
        <v>16</v>
      </c>
      <c r="D424" s="2">
        <v>12</v>
      </c>
      <c r="E424" s="2">
        <v>63.9</v>
      </c>
    </row>
    <row r="425" ht="14.25" spans="1:5">
      <c r="A425" s="2" t="s">
        <v>440</v>
      </c>
      <c r="B425" s="2" t="s">
        <v>436</v>
      </c>
      <c r="C425" s="2">
        <v>16</v>
      </c>
      <c r="D425" s="2">
        <v>13</v>
      </c>
      <c r="E425" s="2">
        <v>67.1</v>
      </c>
    </row>
    <row r="426" ht="14.25" spans="1:5">
      <c r="A426" s="2" t="s">
        <v>441</v>
      </c>
      <c r="B426" s="2" t="s">
        <v>442</v>
      </c>
      <c r="C426" s="2">
        <v>16</v>
      </c>
      <c r="D426" s="2">
        <v>14</v>
      </c>
      <c r="E426" s="2" t="s">
        <v>16</v>
      </c>
    </row>
    <row r="427" ht="14.25" spans="1:5">
      <c r="A427" s="2" t="s">
        <v>443</v>
      </c>
      <c r="B427" s="2" t="s">
        <v>442</v>
      </c>
      <c r="C427" s="2">
        <v>16</v>
      </c>
      <c r="D427" s="2">
        <v>15</v>
      </c>
      <c r="E427" s="2">
        <v>67.8</v>
      </c>
    </row>
    <row r="428" ht="14.25" spans="1:5">
      <c r="A428" s="2" t="s">
        <v>444</v>
      </c>
      <c r="B428" s="2" t="s">
        <v>442</v>
      </c>
      <c r="C428" s="2">
        <v>16</v>
      </c>
      <c r="D428" s="2">
        <v>16</v>
      </c>
      <c r="E428" s="2" t="s">
        <v>16</v>
      </c>
    </row>
    <row r="429" ht="14.25" spans="1:5">
      <c r="A429" s="2" t="s">
        <v>445</v>
      </c>
      <c r="B429" s="2" t="s">
        <v>442</v>
      </c>
      <c r="C429" s="2">
        <v>16</v>
      </c>
      <c r="D429" s="2">
        <v>17</v>
      </c>
      <c r="E429" s="2" t="s">
        <v>16</v>
      </c>
    </row>
    <row r="430" ht="14.25" spans="1:5">
      <c r="A430" s="2" t="s">
        <v>446</v>
      </c>
      <c r="B430" s="2" t="s">
        <v>442</v>
      </c>
      <c r="C430" s="2">
        <v>16</v>
      </c>
      <c r="D430" s="2">
        <v>18</v>
      </c>
      <c r="E430" s="2" t="s">
        <v>16</v>
      </c>
    </row>
    <row r="431" ht="14.25" spans="1:5">
      <c r="A431" s="2" t="s">
        <v>447</v>
      </c>
      <c r="B431" s="2" t="s">
        <v>442</v>
      </c>
      <c r="C431" s="2">
        <v>16</v>
      </c>
      <c r="D431" s="2">
        <v>19</v>
      </c>
      <c r="E431" s="2" t="s">
        <v>16</v>
      </c>
    </row>
    <row r="432" ht="14.25" spans="1:5">
      <c r="A432" s="2" t="s">
        <v>448</v>
      </c>
      <c r="B432" s="2" t="s">
        <v>442</v>
      </c>
      <c r="C432" s="2">
        <v>16</v>
      </c>
      <c r="D432" s="2">
        <v>20</v>
      </c>
      <c r="E432" s="2" t="s">
        <v>16</v>
      </c>
    </row>
    <row r="433" ht="14.25" spans="1:5">
      <c r="A433" s="2" t="s">
        <v>449</v>
      </c>
      <c r="B433" s="2" t="s">
        <v>442</v>
      </c>
      <c r="C433" s="2">
        <v>16</v>
      </c>
      <c r="D433" s="2">
        <v>21</v>
      </c>
      <c r="E433" s="2" t="s">
        <v>16</v>
      </c>
    </row>
    <row r="434" ht="14.25" spans="1:5">
      <c r="A434" s="2" t="s">
        <v>450</v>
      </c>
      <c r="B434" s="2" t="s">
        <v>442</v>
      </c>
      <c r="C434" s="2">
        <v>16</v>
      </c>
      <c r="D434" s="2">
        <v>22</v>
      </c>
      <c r="E434" s="2">
        <v>61.6</v>
      </c>
    </row>
    <row r="435" ht="14.25" spans="1:5">
      <c r="A435" s="2" t="s">
        <v>451</v>
      </c>
      <c r="B435" s="2" t="s">
        <v>442</v>
      </c>
      <c r="C435" s="2">
        <v>16</v>
      </c>
      <c r="D435" s="2">
        <v>23</v>
      </c>
      <c r="E435" s="2" t="s">
        <v>16</v>
      </c>
    </row>
    <row r="436" ht="14.25" spans="1:5">
      <c r="A436" s="2" t="s">
        <v>452</v>
      </c>
      <c r="B436" s="2" t="s">
        <v>442</v>
      </c>
      <c r="C436" s="2">
        <v>16</v>
      </c>
      <c r="D436" s="2">
        <v>24</v>
      </c>
      <c r="E436" s="2" t="s">
        <v>16</v>
      </c>
    </row>
    <row r="437" ht="14.25" spans="1:5">
      <c r="A437" s="2" t="s">
        <v>453</v>
      </c>
      <c r="B437" s="2" t="s">
        <v>442</v>
      </c>
      <c r="C437" s="2">
        <v>16</v>
      </c>
      <c r="D437" s="2">
        <v>25</v>
      </c>
      <c r="E437" s="2">
        <v>68.2</v>
      </c>
    </row>
    <row r="438" ht="14.25" spans="1:5">
      <c r="A438" s="2" t="s">
        <v>454</v>
      </c>
      <c r="B438" s="2" t="s">
        <v>442</v>
      </c>
      <c r="C438" s="2">
        <v>16</v>
      </c>
      <c r="D438" s="2">
        <v>26</v>
      </c>
      <c r="E438" s="2">
        <v>69</v>
      </c>
    </row>
    <row r="439" ht="14.25" spans="1:5">
      <c r="A439" s="2" t="s">
        <v>455</v>
      </c>
      <c r="B439" s="2" t="s">
        <v>442</v>
      </c>
      <c r="C439" s="2">
        <v>16</v>
      </c>
      <c r="D439" s="2">
        <v>27</v>
      </c>
      <c r="E439" s="2">
        <v>66.1</v>
      </c>
    </row>
    <row r="440" ht="14.25" spans="1:5">
      <c r="A440" s="2" t="s">
        <v>456</v>
      </c>
      <c r="B440" s="2" t="s">
        <v>442</v>
      </c>
      <c r="C440" s="2">
        <v>16</v>
      </c>
      <c r="D440" s="2">
        <v>28</v>
      </c>
      <c r="E440" s="2" t="s">
        <v>16</v>
      </c>
    </row>
    <row r="441" ht="14.25" spans="1:5">
      <c r="A441" s="2" t="s">
        <v>457</v>
      </c>
      <c r="B441" s="2" t="s">
        <v>442</v>
      </c>
      <c r="C441" s="2">
        <v>16</v>
      </c>
      <c r="D441" s="2">
        <v>29</v>
      </c>
      <c r="E441" s="2">
        <v>70.1</v>
      </c>
    </row>
    <row r="442" ht="14.25" spans="1:5">
      <c r="A442" s="2" t="s">
        <v>458</v>
      </c>
      <c r="B442" s="2" t="s">
        <v>442</v>
      </c>
      <c r="C442" s="2">
        <v>16</v>
      </c>
      <c r="D442" s="2">
        <v>30</v>
      </c>
      <c r="E442" s="2">
        <v>57.1</v>
      </c>
    </row>
    <row r="443" ht="14.25" spans="1:5">
      <c r="A443" s="2" t="s">
        <v>459</v>
      </c>
      <c r="B443" s="2" t="s">
        <v>442</v>
      </c>
      <c r="C443" s="2">
        <v>17</v>
      </c>
      <c r="D443" s="2">
        <v>1</v>
      </c>
      <c r="E443" s="2" t="s">
        <v>16</v>
      </c>
    </row>
    <row r="444" ht="14.25" spans="1:5">
      <c r="A444" s="2" t="s">
        <v>460</v>
      </c>
      <c r="B444" s="2" t="s">
        <v>442</v>
      </c>
      <c r="C444" s="2">
        <v>17</v>
      </c>
      <c r="D444" s="2">
        <v>2</v>
      </c>
      <c r="E444" s="2">
        <v>61.3</v>
      </c>
    </row>
    <row r="445" ht="14.25" spans="1:5">
      <c r="A445" s="2" t="s">
        <v>461</v>
      </c>
      <c r="B445" s="2" t="s">
        <v>442</v>
      </c>
      <c r="C445" s="2">
        <v>17</v>
      </c>
      <c r="D445" s="2">
        <v>3</v>
      </c>
      <c r="E445" s="2">
        <v>63.6</v>
      </c>
    </row>
    <row r="446" ht="14.25" spans="1:5">
      <c r="A446" s="2" t="s">
        <v>462</v>
      </c>
      <c r="B446" s="2" t="s">
        <v>463</v>
      </c>
      <c r="C446" s="2">
        <v>17</v>
      </c>
      <c r="D446" s="2">
        <v>4</v>
      </c>
      <c r="E446" s="2">
        <v>63.4</v>
      </c>
    </row>
    <row r="447" ht="14.25" spans="1:5">
      <c r="A447" s="2" t="s">
        <v>464</v>
      </c>
      <c r="B447" s="2" t="s">
        <v>463</v>
      </c>
      <c r="C447" s="2">
        <v>17</v>
      </c>
      <c r="D447" s="2">
        <v>5</v>
      </c>
      <c r="E447" s="2" t="s">
        <v>16</v>
      </c>
    </row>
    <row r="448" ht="14.25" spans="1:5">
      <c r="A448" s="2" t="s">
        <v>465</v>
      </c>
      <c r="B448" s="2" t="s">
        <v>463</v>
      </c>
      <c r="C448" s="2">
        <v>17</v>
      </c>
      <c r="D448" s="2">
        <v>6</v>
      </c>
      <c r="E448" s="2" t="s">
        <v>16</v>
      </c>
    </row>
    <row r="449" ht="14.25" spans="1:5">
      <c r="A449" s="2" t="s">
        <v>466</v>
      </c>
      <c r="B449" s="2" t="s">
        <v>463</v>
      </c>
      <c r="C449" s="2">
        <v>17</v>
      </c>
      <c r="D449" s="2">
        <v>7</v>
      </c>
      <c r="E449" s="2" t="s">
        <v>16</v>
      </c>
    </row>
    <row r="450" ht="14.25" spans="1:5">
      <c r="A450" s="2" t="s">
        <v>467</v>
      </c>
      <c r="B450" s="2" t="s">
        <v>463</v>
      </c>
      <c r="C450" s="2">
        <v>17</v>
      </c>
      <c r="D450" s="2">
        <v>8</v>
      </c>
      <c r="E450" s="2">
        <v>63.6</v>
      </c>
    </row>
    <row r="451" ht="14.25" spans="1:5">
      <c r="A451" s="2" t="s">
        <v>468</v>
      </c>
      <c r="B451" s="2" t="s">
        <v>463</v>
      </c>
      <c r="C451" s="2">
        <v>17</v>
      </c>
      <c r="D451" s="2">
        <v>9</v>
      </c>
      <c r="E451" s="2" t="s">
        <v>16</v>
      </c>
    </row>
    <row r="452" ht="14.25" spans="1:5">
      <c r="A452" s="2" t="s">
        <v>469</v>
      </c>
      <c r="B452" s="2" t="s">
        <v>463</v>
      </c>
      <c r="C452" s="2">
        <v>17</v>
      </c>
      <c r="D452" s="2">
        <v>10</v>
      </c>
      <c r="E452" s="2" t="s">
        <v>16</v>
      </c>
    </row>
    <row r="453" ht="14.25" spans="1:5">
      <c r="A453" s="2" t="s">
        <v>470</v>
      </c>
      <c r="B453" s="2" t="s">
        <v>463</v>
      </c>
      <c r="C453" s="2">
        <v>17</v>
      </c>
      <c r="D453" s="2">
        <v>11</v>
      </c>
      <c r="E453" s="2">
        <v>55.2</v>
      </c>
    </row>
    <row r="454" ht="14.25" spans="1:5">
      <c r="A454" s="2" t="s">
        <v>471</v>
      </c>
      <c r="B454" s="2" t="s">
        <v>463</v>
      </c>
      <c r="C454" s="2">
        <v>17</v>
      </c>
      <c r="D454" s="2">
        <v>12</v>
      </c>
      <c r="E454" s="2">
        <v>57.5</v>
      </c>
    </row>
    <row r="455" ht="14.25" spans="1:5">
      <c r="A455" s="2" t="s">
        <v>472</v>
      </c>
      <c r="B455" s="2" t="s">
        <v>463</v>
      </c>
      <c r="C455" s="2">
        <v>17</v>
      </c>
      <c r="D455" s="2">
        <v>13</v>
      </c>
      <c r="E455" s="2">
        <v>57.4</v>
      </c>
    </row>
    <row r="456" ht="14.25" spans="1:5">
      <c r="A456" s="2" t="s">
        <v>473</v>
      </c>
      <c r="B456" s="2" t="s">
        <v>463</v>
      </c>
      <c r="C456" s="2">
        <v>17</v>
      </c>
      <c r="D456" s="2">
        <v>14</v>
      </c>
      <c r="E456" s="2" t="s">
        <v>16</v>
      </c>
    </row>
    <row r="457" ht="14.25" spans="1:5">
      <c r="A457" s="2" t="s">
        <v>474</v>
      </c>
      <c r="B457" s="2" t="s">
        <v>463</v>
      </c>
      <c r="C457" s="2">
        <v>17</v>
      </c>
      <c r="D457" s="2">
        <v>15</v>
      </c>
      <c r="E457" s="2">
        <v>62.6</v>
      </c>
    </row>
    <row r="458" ht="14.25" spans="1:5">
      <c r="A458" s="2" t="s">
        <v>475</v>
      </c>
      <c r="B458" s="2" t="s">
        <v>463</v>
      </c>
      <c r="C458" s="2">
        <v>17</v>
      </c>
      <c r="D458" s="2">
        <v>16</v>
      </c>
      <c r="E458" s="2">
        <v>49.1</v>
      </c>
    </row>
    <row r="459" ht="14.25" spans="1:5">
      <c r="A459" s="2" t="s">
        <v>476</v>
      </c>
      <c r="B459" s="2" t="s">
        <v>463</v>
      </c>
      <c r="C459" s="2">
        <v>17</v>
      </c>
      <c r="D459" s="2">
        <v>17</v>
      </c>
      <c r="E459" s="2">
        <v>61.3</v>
      </c>
    </row>
    <row r="460" ht="14.25" spans="1:5">
      <c r="A460" s="2" t="s">
        <v>477</v>
      </c>
      <c r="B460" s="2" t="s">
        <v>463</v>
      </c>
      <c r="C460" s="2">
        <v>17</v>
      </c>
      <c r="D460" s="2">
        <v>18</v>
      </c>
      <c r="E460" s="2" t="s">
        <v>16</v>
      </c>
    </row>
    <row r="461" ht="14.25" spans="1:5">
      <c r="A461" s="2" t="s">
        <v>478</v>
      </c>
      <c r="B461" s="2" t="s">
        <v>463</v>
      </c>
      <c r="C461" s="2">
        <v>17</v>
      </c>
      <c r="D461" s="2">
        <v>19</v>
      </c>
      <c r="E461" s="2">
        <v>49.7</v>
      </c>
    </row>
    <row r="462" ht="14.25" spans="1:5">
      <c r="A462" s="2" t="s">
        <v>479</v>
      </c>
      <c r="B462" s="2" t="s">
        <v>463</v>
      </c>
      <c r="C462" s="2">
        <v>17</v>
      </c>
      <c r="D462" s="2">
        <v>20</v>
      </c>
      <c r="E462" s="2" t="s">
        <v>16</v>
      </c>
    </row>
    <row r="463" ht="14.25" spans="1:5">
      <c r="A463" s="2" t="s">
        <v>480</v>
      </c>
      <c r="B463" s="2" t="s">
        <v>463</v>
      </c>
      <c r="C463" s="2">
        <v>17</v>
      </c>
      <c r="D463" s="2">
        <v>21</v>
      </c>
      <c r="E463" s="2" t="s">
        <v>16</v>
      </c>
    </row>
    <row r="464" ht="14.25" spans="1:5">
      <c r="A464" s="2" t="s">
        <v>481</v>
      </c>
      <c r="B464" s="2" t="s">
        <v>463</v>
      </c>
      <c r="C464" s="2">
        <v>17</v>
      </c>
      <c r="D464" s="2">
        <v>22</v>
      </c>
      <c r="E464" s="2">
        <v>64.7</v>
      </c>
    </row>
    <row r="465" ht="14.25" spans="1:5">
      <c r="A465" s="2" t="s">
        <v>482</v>
      </c>
      <c r="B465" s="2" t="s">
        <v>483</v>
      </c>
      <c r="C465" s="2">
        <v>17</v>
      </c>
      <c r="D465" s="2">
        <v>23</v>
      </c>
      <c r="E465" s="2">
        <v>64.8</v>
      </c>
    </row>
    <row r="466" ht="14.25" spans="1:5">
      <c r="A466" s="2" t="s">
        <v>484</v>
      </c>
      <c r="B466" s="2" t="s">
        <v>483</v>
      </c>
      <c r="C466" s="2">
        <v>17</v>
      </c>
      <c r="D466" s="2">
        <v>24</v>
      </c>
      <c r="E466" s="2">
        <v>55.3</v>
      </c>
    </row>
    <row r="467" ht="14.25" spans="1:5">
      <c r="A467" s="2" t="s">
        <v>485</v>
      </c>
      <c r="B467" s="2" t="s">
        <v>483</v>
      </c>
      <c r="C467" s="2">
        <v>17</v>
      </c>
      <c r="D467" s="2">
        <v>25</v>
      </c>
      <c r="E467" s="2" t="s">
        <v>16</v>
      </c>
    </row>
    <row r="468" ht="14.25" spans="1:5">
      <c r="A468" s="2" t="s">
        <v>486</v>
      </c>
      <c r="B468" s="2" t="s">
        <v>483</v>
      </c>
      <c r="C468" s="2">
        <v>17</v>
      </c>
      <c r="D468" s="2">
        <v>26</v>
      </c>
      <c r="E468" s="2" t="s">
        <v>16</v>
      </c>
    </row>
    <row r="469" ht="14.25" spans="1:5">
      <c r="A469" s="2" t="s">
        <v>487</v>
      </c>
      <c r="B469" s="2" t="s">
        <v>483</v>
      </c>
      <c r="C469" s="2">
        <v>17</v>
      </c>
      <c r="D469" s="2">
        <v>27</v>
      </c>
      <c r="E469" s="2" t="s">
        <v>16</v>
      </c>
    </row>
    <row r="470" ht="14.25" spans="1:5">
      <c r="A470" s="2" t="s">
        <v>488</v>
      </c>
      <c r="B470" s="2" t="s">
        <v>483</v>
      </c>
      <c r="C470" s="2">
        <v>17</v>
      </c>
      <c r="D470" s="2">
        <v>28</v>
      </c>
      <c r="E470" s="2" t="s">
        <v>16</v>
      </c>
    </row>
    <row r="471" ht="14.25" spans="1:5">
      <c r="A471" s="2" t="s">
        <v>489</v>
      </c>
      <c r="B471" s="2" t="s">
        <v>490</v>
      </c>
      <c r="C471" s="2">
        <v>17</v>
      </c>
      <c r="D471" s="2">
        <v>29</v>
      </c>
      <c r="E471" s="2" t="s">
        <v>16</v>
      </c>
    </row>
    <row r="472" ht="14.25" spans="1:5">
      <c r="A472" s="2" t="s">
        <v>491</v>
      </c>
      <c r="B472" s="2" t="s">
        <v>490</v>
      </c>
      <c r="C472" s="2">
        <v>17</v>
      </c>
      <c r="D472" s="2">
        <v>30</v>
      </c>
      <c r="E472" s="2">
        <v>58.1</v>
      </c>
    </row>
    <row r="473" ht="14.25" spans="1:5">
      <c r="A473" s="2" t="s">
        <v>492</v>
      </c>
      <c r="B473" s="2" t="s">
        <v>490</v>
      </c>
      <c r="C473" s="2">
        <v>18</v>
      </c>
      <c r="D473" s="2">
        <v>1</v>
      </c>
      <c r="E473" s="2">
        <v>72.5</v>
      </c>
    </row>
    <row r="474" ht="14.25" spans="1:5">
      <c r="A474" s="2" t="s">
        <v>493</v>
      </c>
      <c r="B474" s="2" t="s">
        <v>490</v>
      </c>
      <c r="C474" s="2">
        <v>18</v>
      </c>
      <c r="D474" s="2">
        <v>2</v>
      </c>
      <c r="E474" s="2">
        <v>50.1</v>
      </c>
    </row>
    <row r="475" ht="14.25" spans="1:5">
      <c r="A475" s="2" t="s">
        <v>494</v>
      </c>
      <c r="B475" s="2" t="s">
        <v>495</v>
      </c>
      <c r="C475" s="2">
        <v>18</v>
      </c>
      <c r="D475" s="2">
        <v>3</v>
      </c>
      <c r="E475" s="2">
        <v>41.5</v>
      </c>
    </row>
    <row r="476" ht="14.25" spans="1:5">
      <c r="A476" s="2" t="s">
        <v>496</v>
      </c>
      <c r="B476" s="2" t="s">
        <v>495</v>
      </c>
      <c r="C476" s="2">
        <v>18</v>
      </c>
      <c r="D476" s="2">
        <v>4</v>
      </c>
      <c r="E476" s="2" t="s">
        <v>16</v>
      </c>
    </row>
    <row r="477" ht="14.25" spans="1:5">
      <c r="A477" s="2" t="s">
        <v>497</v>
      </c>
      <c r="B477" s="2" t="s">
        <v>495</v>
      </c>
      <c r="C477" s="2">
        <v>18</v>
      </c>
      <c r="D477" s="2">
        <v>5</v>
      </c>
      <c r="E477" s="2">
        <v>52.1</v>
      </c>
    </row>
    <row r="478" ht="14.25" spans="1:5">
      <c r="A478" s="2" t="s">
        <v>498</v>
      </c>
      <c r="B478" s="2" t="s">
        <v>495</v>
      </c>
      <c r="C478" s="2">
        <v>18</v>
      </c>
      <c r="D478" s="2">
        <v>6</v>
      </c>
      <c r="E478" s="2">
        <v>55.2</v>
      </c>
    </row>
    <row r="479" ht="14.25" spans="1:5">
      <c r="A479" s="2" t="s">
        <v>499</v>
      </c>
      <c r="B479" s="2" t="s">
        <v>495</v>
      </c>
      <c r="C479" s="2">
        <v>18</v>
      </c>
      <c r="D479" s="2">
        <v>7</v>
      </c>
      <c r="E479" s="2" t="s">
        <v>16</v>
      </c>
    </row>
    <row r="480" ht="14.25" spans="1:5">
      <c r="A480" s="2" t="s">
        <v>500</v>
      </c>
      <c r="B480" s="2" t="s">
        <v>495</v>
      </c>
      <c r="C480" s="2">
        <v>18</v>
      </c>
      <c r="D480" s="2">
        <v>8</v>
      </c>
      <c r="E480" s="2" t="s">
        <v>16</v>
      </c>
    </row>
    <row r="481" ht="14.25" spans="1:5">
      <c r="A481" s="2" t="s">
        <v>501</v>
      </c>
      <c r="B481" s="2" t="s">
        <v>495</v>
      </c>
      <c r="C481" s="2">
        <v>18</v>
      </c>
      <c r="D481" s="2">
        <v>9</v>
      </c>
      <c r="E481" s="2">
        <v>56.3</v>
      </c>
    </row>
    <row r="482" ht="14.25" spans="1:5">
      <c r="A482" s="2" t="s">
        <v>502</v>
      </c>
      <c r="B482" s="2" t="s">
        <v>495</v>
      </c>
      <c r="C482" s="2">
        <v>18</v>
      </c>
      <c r="D482" s="2">
        <v>10</v>
      </c>
      <c r="E482" s="2">
        <v>69.2</v>
      </c>
    </row>
    <row r="483" ht="14.25" spans="1:5">
      <c r="A483" s="2" t="s">
        <v>503</v>
      </c>
      <c r="B483" s="2" t="s">
        <v>495</v>
      </c>
      <c r="C483" s="2">
        <v>18</v>
      </c>
      <c r="D483" s="2">
        <v>11</v>
      </c>
      <c r="E483" s="2">
        <v>59.6</v>
      </c>
    </row>
    <row r="484" ht="14.25" spans="1:5">
      <c r="A484" s="2" t="s">
        <v>504</v>
      </c>
      <c r="B484" s="2" t="s">
        <v>495</v>
      </c>
      <c r="C484" s="2">
        <v>18</v>
      </c>
      <c r="D484" s="2">
        <v>12</v>
      </c>
      <c r="E484" s="2">
        <v>44.6</v>
      </c>
    </row>
    <row r="485" ht="14.25" spans="1:5">
      <c r="A485" s="2" t="s">
        <v>505</v>
      </c>
      <c r="B485" s="2" t="s">
        <v>495</v>
      </c>
      <c r="C485" s="2">
        <v>18</v>
      </c>
      <c r="D485" s="2">
        <v>13</v>
      </c>
      <c r="E485" s="2">
        <v>60.5</v>
      </c>
    </row>
    <row r="486" ht="14.25" spans="1:5">
      <c r="A486" s="2" t="s">
        <v>506</v>
      </c>
      <c r="B486" s="2" t="s">
        <v>495</v>
      </c>
      <c r="C486" s="2">
        <v>18</v>
      </c>
      <c r="D486" s="2">
        <v>14</v>
      </c>
      <c r="E486" s="2">
        <v>61.2</v>
      </c>
    </row>
    <row r="487" ht="14.25" spans="1:5">
      <c r="A487" s="2" t="s">
        <v>507</v>
      </c>
      <c r="B487" s="2" t="s">
        <v>495</v>
      </c>
      <c r="C487" s="2">
        <v>18</v>
      </c>
      <c r="D487" s="2">
        <v>15</v>
      </c>
      <c r="E487" s="2">
        <v>63.4</v>
      </c>
    </row>
    <row r="488" ht="14.25" spans="1:5">
      <c r="A488" s="2" t="s">
        <v>508</v>
      </c>
      <c r="B488" s="2" t="s">
        <v>495</v>
      </c>
      <c r="C488" s="2">
        <v>18</v>
      </c>
      <c r="D488" s="2">
        <v>16</v>
      </c>
      <c r="E488" s="2">
        <v>60.3</v>
      </c>
    </row>
    <row r="489" ht="14.25" spans="1:5">
      <c r="A489" s="2" t="s">
        <v>509</v>
      </c>
      <c r="B489" s="2" t="s">
        <v>495</v>
      </c>
      <c r="C489" s="2">
        <v>18</v>
      </c>
      <c r="D489" s="2">
        <v>17</v>
      </c>
      <c r="E489" s="2">
        <v>45.1</v>
      </c>
    </row>
    <row r="490" ht="14.25" spans="1:5">
      <c r="A490" s="2" t="s">
        <v>510</v>
      </c>
      <c r="B490" s="2" t="s">
        <v>495</v>
      </c>
      <c r="C490" s="2">
        <v>18</v>
      </c>
      <c r="D490" s="2">
        <v>18</v>
      </c>
      <c r="E490" s="2">
        <v>56.7</v>
      </c>
    </row>
    <row r="491" ht="14.25" spans="1:5">
      <c r="A491" s="2" t="s">
        <v>511</v>
      </c>
      <c r="B491" s="2" t="s">
        <v>495</v>
      </c>
      <c r="C491" s="2">
        <v>18</v>
      </c>
      <c r="D491" s="2">
        <v>19</v>
      </c>
      <c r="E491" s="2">
        <v>58.3</v>
      </c>
    </row>
    <row r="492" ht="14.25" spans="1:5">
      <c r="A492" s="2" t="s">
        <v>512</v>
      </c>
      <c r="B492" s="2" t="s">
        <v>495</v>
      </c>
      <c r="C492" s="2">
        <v>18</v>
      </c>
      <c r="D492" s="2">
        <v>20</v>
      </c>
      <c r="E492" s="2">
        <v>65.6</v>
      </c>
    </row>
    <row r="493" ht="14.25" spans="1:5">
      <c r="A493" s="2" t="s">
        <v>513</v>
      </c>
      <c r="B493" s="2" t="s">
        <v>495</v>
      </c>
      <c r="C493" s="2">
        <v>18</v>
      </c>
      <c r="D493" s="2">
        <v>21</v>
      </c>
      <c r="E493" s="2">
        <v>51.7</v>
      </c>
    </row>
    <row r="494" ht="14.25" spans="1:5">
      <c r="A494" s="2" t="s">
        <v>514</v>
      </c>
      <c r="B494" s="2" t="s">
        <v>495</v>
      </c>
      <c r="C494" s="2">
        <v>18</v>
      </c>
      <c r="D494" s="2">
        <v>22</v>
      </c>
      <c r="E494" s="2">
        <v>77.8</v>
      </c>
    </row>
    <row r="495" ht="14.25" spans="1:5">
      <c r="A495" s="2" t="s">
        <v>515</v>
      </c>
      <c r="B495" s="2" t="s">
        <v>495</v>
      </c>
      <c r="C495" s="2">
        <v>18</v>
      </c>
      <c r="D495" s="2">
        <v>23</v>
      </c>
      <c r="E495" s="2">
        <v>57</v>
      </c>
    </row>
    <row r="496" ht="14.25" spans="1:5">
      <c r="A496" s="2" t="s">
        <v>516</v>
      </c>
      <c r="B496" s="2" t="s">
        <v>495</v>
      </c>
      <c r="C496" s="2">
        <v>18</v>
      </c>
      <c r="D496" s="2">
        <v>24</v>
      </c>
      <c r="E496" s="2">
        <v>39.1</v>
      </c>
    </row>
    <row r="497" ht="14.25" spans="1:5">
      <c r="A497" s="2" t="s">
        <v>517</v>
      </c>
      <c r="B497" s="2" t="s">
        <v>495</v>
      </c>
      <c r="C497" s="2">
        <v>18</v>
      </c>
      <c r="D497" s="2">
        <v>25</v>
      </c>
      <c r="E497" s="2">
        <v>54.3</v>
      </c>
    </row>
    <row r="498" ht="14.25" spans="1:5">
      <c r="A498" s="2" t="s">
        <v>518</v>
      </c>
      <c r="B498" s="2" t="s">
        <v>495</v>
      </c>
      <c r="C498" s="2">
        <v>18</v>
      </c>
      <c r="D498" s="2">
        <v>26</v>
      </c>
      <c r="E498" s="2">
        <v>51.7</v>
      </c>
    </row>
    <row r="499" ht="14.25" spans="1:5">
      <c r="A499" s="2" t="s">
        <v>519</v>
      </c>
      <c r="B499" s="2" t="s">
        <v>495</v>
      </c>
      <c r="C499" s="2">
        <v>18</v>
      </c>
      <c r="D499" s="2">
        <v>27</v>
      </c>
      <c r="E499" s="2" t="s">
        <v>16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27"/>
  <sheetViews>
    <sheetView tabSelected="1" workbookViewId="0">
      <selection activeCell="G24" sqref="G24"/>
    </sheetView>
  </sheetViews>
  <sheetFormatPr defaultColWidth="9" defaultRowHeight="13.5" outlineLevelCol="4"/>
  <cols>
    <col min="1" max="1" width="13.25" style="1" customWidth="1"/>
    <col min="2" max="2" width="19.125" style="1" customWidth="1"/>
    <col min="3" max="5" width="9" style="1"/>
  </cols>
  <sheetData>
    <row r="1" s="1" customFormat="1" ht="36" customHeight="1" spans="1:5">
      <c r="A1" s="2" t="s">
        <v>0</v>
      </c>
      <c r="B1" s="2" t="s">
        <v>1</v>
      </c>
      <c r="C1" s="2" t="s">
        <v>2</v>
      </c>
      <c r="D1" s="2" t="s">
        <v>3</v>
      </c>
      <c r="E1" s="3" t="s">
        <v>520</v>
      </c>
    </row>
    <row r="2" ht="14.25" spans="1:5">
      <c r="A2" s="2" t="str">
        <f>"2020020101"</f>
        <v>2020020101</v>
      </c>
      <c r="B2" s="2" t="s">
        <v>521</v>
      </c>
      <c r="C2" s="2">
        <v>1</v>
      </c>
      <c r="D2" s="2">
        <v>1</v>
      </c>
      <c r="E2" s="3">
        <v>54.1</v>
      </c>
    </row>
    <row r="3" ht="14.25" spans="1:5">
      <c r="A3" s="2" t="str">
        <f>"2020020102"</f>
        <v>2020020102</v>
      </c>
      <c r="B3" s="2" t="s">
        <v>521</v>
      </c>
      <c r="C3" s="2">
        <v>1</v>
      </c>
      <c r="D3" s="2">
        <v>2</v>
      </c>
      <c r="E3" s="3">
        <v>71.5</v>
      </c>
    </row>
    <row r="4" ht="14.25" spans="1:5">
      <c r="A4" s="2" t="str">
        <f>"2020020103"</f>
        <v>2020020103</v>
      </c>
      <c r="B4" s="2" t="s">
        <v>521</v>
      </c>
      <c r="C4" s="2">
        <v>1</v>
      </c>
      <c r="D4" s="2">
        <v>3</v>
      </c>
      <c r="E4" s="3" t="s">
        <v>16</v>
      </c>
    </row>
    <row r="5" ht="14.25" spans="1:5">
      <c r="A5" s="2" t="str">
        <f>"2020020104"</f>
        <v>2020020104</v>
      </c>
      <c r="B5" s="2" t="s">
        <v>521</v>
      </c>
      <c r="C5" s="2">
        <v>1</v>
      </c>
      <c r="D5" s="2">
        <v>4</v>
      </c>
      <c r="E5" s="3" t="s">
        <v>16</v>
      </c>
    </row>
    <row r="6" ht="14.25" spans="1:5">
      <c r="A6" s="2" t="str">
        <f>"2020020105"</f>
        <v>2020020105</v>
      </c>
      <c r="B6" s="2" t="s">
        <v>521</v>
      </c>
      <c r="C6" s="2">
        <v>1</v>
      </c>
      <c r="D6" s="2">
        <v>5</v>
      </c>
      <c r="E6" s="3">
        <v>67.6</v>
      </c>
    </row>
    <row r="7" ht="14.25" spans="1:5">
      <c r="A7" s="2" t="str">
        <f>"2020020106"</f>
        <v>2020020106</v>
      </c>
      <c r="B7" s="2" t="s">
        <v>521</v>
      </c>
      <c r="C7" s="2">
        <v>1</v>
      </c>
      <c r="D7" s="2">
        <v>6</v>
      </c>
      <c r="E7" s="3">
        <v>65.9</v>
      </c>
    </row>
    <row r="8" ht="14.25" spans="1:5">
      <c r="A8" s="2" t="str">
        <f>"2020020107"</f>
        <v>2020020107</v>
      </c>
      <c r="B8" s="2" t="s">
        <v>521</v>
      </c>
      <c r="C8" s="2">
        <v>1</v>
      </c>
      <c r="D8" s="2">
        <v>7</v>
      </c>
      <c r="E8" s="3">
        <v>73.8</v>
      </c>
    </row>
    <row r="9" ht="14.25" spans="1:5">
      <c r="A9" s="2" t="str">
        <f>"2020020108"</f>
        <v>2020020108</v>
      </c>
      <c r="B9" s="2" t="s">
        <v>521</v>
      </c>
      <c r="C9" s="2">
        <v>1</v>
      </c>
      <c r="D9" s="2">
        <v>8</v>
      </c>
      <c r="E9" s="3">
        <v>54.9</v>
      </c>
    </row>
    <row r="10" ht="14.25" spans="1:5">
      <c r="A10" s="2" t="str">
        <f>"2020020109"</f>
        <v>2020020109</v>
      </c>
      <c r="B10" s="2" t="s">
        <v>521</v>
      </c>
      <c r="C10" s="2">
        <v>1</v>
      </c>
      <c r="D10" s="2">
        <v>9</v>
      </c>
      <c r="E10" s="3" t="s">
        <v>16</v>
      </c>
    </row>
    <row r="11" ht="14.25" spans="1:5">
      <c r="A11" s="2" t="str">
        <f>"2020020110"</f>
        <v>2020020110</v>
      </c>
      <c r="B11" s="2" t="s">
        <v>521</v>
      </c>
      <c r="C11" s="2">
        <v>1</v>
      </c>
      <c r="D11" s="2">
        <v>10</v>
      </c>
      <c r="E11" s="3">
        <v>58.1</v>
      </c>
    </row>
    <row r="12" ht="14.25" spans="1:5">
      <c r="A12" s="2" t="str">
        <f>"2020020111"</f>
        <v>2020020111</v>
      </c>
      <c r="B12" s="2" t="s">
        <v>521</v>
      </c>
      <c r="C12" s="2">
        <v>1</v>
      </c>
      <c r="D12" s="2">
        <v>11</v>
      </c>
      <c r="E12" s="3">
        <v>68.9</v>
      </c>
    </row>
    <row r="13" ht="14.25" spans="1:5">
      <c r="A13" s="2" t="str">
        <f>"2020020112"</f>
        <v>2020020112</v>
      </c>
      <c r="B13" s="2" t="s">
        <v>521</v>
      </c>
      <c r="C13" s="2">
        <v>1</v>
      </c>
      <c r="D13" s="2">
        <v>12</v>
      </c>
      <c r="E13" s="3" t="s">
        <v>16</v>
      </c>
    </row>
    <row r="14" ht="14.25" spans="1:5">
      <c r="A14" s="2" t="str">
        <f>"2020020113"</f>
        <v>2020020113</v>
      </c>
      <c r="B14" s="2" t="s">
        <v>521</v>
      </c>
      <c r="C14" s="2">
        <v>1</v>
      </c>
      <c r="D14" s="2">
        <v>13</v>
      </c>
      <c r="E14" s="3">
        <v>69.5</v>
      </c>
    </row>
    <row r="15" ht="14.25" spans="1:5">
      <c r="A15" s="2" t="str">
        <f>"2020020114"</f>
        <v>2020020114</v>
      </c>
      <c r="B15" s="2" t="s">
        <v>521</v>
      </c>
      <c r="C15" s="2">
        <v>1</v>
      </c>
      <c r="D15" s="2">
        <v>14</v>
      </c>
      <c r="E15" s="3">
        <v>60.7</v>
      </c>
    </row>
    <row r="16" ht="14.25" spans="1:5">
      <c r="A16" s="2" t="str">
        <f>"2020020115"</f>
        <v>2020020115</v>
      </c>
      <c r="B16" s="2" t="s">
        <v>521</v>
      </c>
      <c r="C16" s="2">
        <v>1</v>
      </c>
      <c r="D16" s="2">
        <v>15</v>
      </c>
      <c r="E16" s="3">
        <v>69.9</v>
      </c>
    </row>
    <row r="17" ht="14.25" spans="1:5">
      <c r="A17" s="2" t="str">
        <f>"2020020116"</f>
        <v>2020020116</v>
      </c>
      <c r="B17" s="2" t="s">
        <v>521</v>
      </c>
      <c r="C17" s="2">
        <v>1</v>
      </c>
      <c r="D17" s="2">
        <v>16</v>
      </c>
      <c r="E17" s="3">
        <v>74.8</v>
      </c>
    </row>
    <row r="18" ht="14.25" spans="1:5">
      <c r="A18" s="2" t="str">
        <f>"2020020117"</f>
        <v>2020020117</v>
      </c>
      <c r="B18" s="2" t="s">
        <v>521</v>
      </c>
      <c r="C18" s="2">
        <v>1</v>
      </c>
      <c r="D18" s="2">
        <v>17</v>
      </c>
      <c r="E18" s="3">
        <v>68.9</v>
      </c>
    </row>
    <row r="19" ht="14.25" spans="1:5">
      <c r="A19" s="2" t="str">
        <f>"2020020118"</f>
        <v>2020020118</v>
      </c>
      <c r="B19" s="2" t="s">
        <v>521</v>
      </c>
      <c r="C19" s="2">
        <v>1</v>
      </c>
      <c r="D19" s="2">
        <v>18</v>
      </c>
      <c r="E19" s="3">
        <v>72.8</v>
      </c>
    </row>
    <row r="20" ht="14.25" spans="1:5">
      <c r="A20" s="2" t="str">
        <f>"2020020119"</f>
        <v>2020020119</v>
      </c>
      <c r="B20" s="2" t="s">
        <v>521</v>
      </c>
      <c r="C20" s="2">
        <v>1</v>
      </c>
      <c r="D20" s="2">
        <v>19</v>
      </c>
      <c r="E20" s="3">
        <v>83.3</v>
      </c>
    </row>
    <row r="21" ht="14.25" spans="1:5">
      <c r="A21" s="2" t="str">
        <f>"2020020120"</f>
        <v>2020020120</v>
      </c>
      <c r="B21" s="2" t="s">
        <v>521</v>
      </c>
      <c r="C21" s="2">
        <v>1</v>
      </c>
      <c r="D21" s="2">
        <v>20</v>
      </c>
      <c r="E21" s="3">
        <v>75.8</v>
      </c>
    </row>
    <row r="22" ht="14.25" spans="1:5">
      <c r="A22" s="2" t="str">
        <f>"2020020121"</f>
        <v>2020020121</v>
      </c>
      <c r="B22" s="2" t="s">
        <v>521</v>
      </c>
      <c r="C22" s="2">
        <v>1</v>
      </c>
      <c r="D22" s="2">
        <v>21</v>
      </c>
      <c r="E22" s="3">
        <v>70.8</v>
      </c>
    </row>
    <row r="23" ht="14.25" spans="1:5">
      <c r="A23" s="2" t="str">
        <f>"2020020122"</f>
        <v>2020020122</v>
      </c>
      <c r="B23" s="2" t="s">
        <v>521</v>
      </c>
      <c r="C23" s="2">
        <v>1</v>
      </c>
      <c r="D23" s="2">
        <v>22</v>
      </c>
      <c r="E23" s="3">
        <v>72.1</v>
      </c>
    </row>
    <row r="24" ht="14.25" spans="1:5">
      <c r="A24" s="2" t="str">
        <f>"2020020123"</f>
        <v>2020020123</v>
      </c>
      <c r="B24" s="2" t="s">
        <v>521</v>
      </c>
      <c r="C24" s="2">
        <v>1</v>
      </c>
      <c r="D24" s="2">
        <v>23</v>
      </c>
      <c r="E24" s="3">
        <v>58.1</v>
      </c>
    </row>
    <row r="25" ht="14.25" spans="1:5">
      <c r="A25" s="2" t="str">
        <f>"2020020124"</f>
        <v>2020020124</v>
      </c>
      <c r="B25" s="2" t="s">
        <v>521</v>
      </c>
      <c r="C25" s="2">
        <v>1</v>
      </c>
      <c r="D25" s="2">
        <v>24</v>
      </c>
      <c r="E25" s="3">
        <v>70.5</v>
      </c>
    </row>
    <row r="26" ht="14.25" spans="1:5">
      <c r="A26" s="2" t="str">
        <f>"2020020125"</f>
        <v>2020020125</v>
      </c>
      <c r="B26" s="2" t="s">
        <v>521</v>
      </c>
      <c r="C26" s="2">
        <v>1</v>
      </c>
      <c r="D26" s="2">
        <v>25</v>
      </c>
      <c r="E26" s="3">
        <v>0</v>
      </c>
    </row>
    <row r="27" ht="14.25" spans="1:5">
      <c r="A27" s="2" t="str">
        <f>"2020020126"</f>
        <v>2020020126</v>
      </c>
      <c r="B27" s="2" t="s">
        <v>521</v>
      </c>
      <c r="C27" s="2">
        <v>1</v>
      </c>
      <c r="D27" s="2">
        <v>26</v>
      </c>
      <c r="E27" s="3" t="s">
        <v>16</v>
      </c>
    </row>
    <row r="28" ht="14.25" spans="1:5">
      <c r="A28" s="2" t="str">
        <f>"2020020127"</f>
        <v>2020020127</v>
      </c>
      <c r="B28" s="2" t="s">
        <v>521</v>
      </c>
      <c r="C28" s="2">
        <v>1</v>
      </c>
      <c r="D28" s="2">
        <v>27</v>
      </c>
      <c r="E28" s="3">
        <v>76.7</v>
      </c>
    </row>
    <row r="29" ht="14.25" spans="1:5">
      <c r="A29" s="2" t="str">
        <f>"2020020128"</f>
        <v>2020020128</v>
      </c>
      <c r="B29" s="2" t="s">
        <v>521</v>
      </c>
      <c r="C29" s="2">
        <v>1</v>
      </c>
      <c r="D29" s="2">
        <v>28</v>
      </c>
      <c r="E29" s="3">
        <v>50.6</v>
      </c>
    </row>
    <row r="30" ht="14.25" spans="1:5">
      <c r="A30" s="2" t="str">
        <f>"2020020129"</f>
        <v>2020020129</v>
      </c>
      <c r="B30" s="2" t="s">
        <v>521</v>
      </c>
      <c r="C30" s="2">
        <v>1</v>
      </c>
      <c r="D30" s="2">
        <v>29</v>
      </c>
      <c r="E30" s="3" t="s">
        <v>16</v>
      </c>
    </row>
    <row r="31" ht="14.25" spans="1:5">
      <c r="A31" s="2" t="str">
        <f>"2020020130"</f>
        <v>2020020130</v>
      </c>
      <c r="B31" s="2" t="s">
        <v>521</v>
      </c>
      <c r="C31" s="2">
        <v>1</v>
      </c>
      <c r="D31" s="2">
        <v>30</v>
      </c>
      <c r="E31" s="3" t="s">
        <v>16</v>
      </c>
    </row>
    <row r="32" ht="14.25" spans="1:5">
      <c r="A32" s="2" t="str">
        <f>"2020020201"</f>
        <v>2020020201</v>
      </c>
      <c r="B32" s="2" t="s">
        <v>521</v>
      </c>
      <c r="C32" s="2">
        <v>2</v>
      </c>
      <c r="D32" s="2">
        <v>1</v>
      </c>
      <c r="E32" s="3">
        <v>66.9</v>
      </c>
    </row>
    <row r="33" ht="14.25" spans="1:5">
      <c r="A33" s="2" t="str">
        <f>"2020020202"</f>
        <v>2020020202</v>
      </c>
      <c r="B33" s="2" t="s">
        <v>521</v>
      </c>
      <c r="C33" s="2">
        <v>2</v>
      </c>
      <c r="D33" s="2">
        <v>2</v>
      </c>
      <c r="E33" s="3">
        <v>42.3</v>
      </c>
    </row>
    <row r="34" ht="14.25" spans="1:5">
      <c r="A34" s="2" t="str">
        <f>"2020020203"</f>
        <v>2020020203</v>
      </c>
      <c r="B34" s="2" t="s">
        <v>521</v>
      </c>
      <c r="C34" s="2">
        <v>2</v>
      </c>
      <c r="D34" s="2">
        <v>3</v>
      </c>
      <c r="E34" s="3">
        <v>53.2</v>
      </c>
    </row>
    <row r="35" ht="14.25" spans="1:5">
      <c r="A35" s="2" t="str">
        <f>"2020020204"</f>
        <v>2020020204</v>
      </c>
      <c r="B35" s="2" t="s">
        <v>521</v>
      </c>
      <c r="C35" s="2">
        <v>2</v>
      </c>
      <c r="D35" s="2">
        <v>4</v>
      </c>
      <c r="E35" s="3">
        <v>63</v>
      </c>
    </row>
    <row r="36" ht="14.25" spans="1:5">
      <c r="A36" s="2" t="str">
        <f>"2020020205"</f>
        <v>2020020205</v>
      </c>
      <c r="B36" s="2" t="s">
        <v>521</v>
      </c>
      <c r="C36" s="2">
        <v>2</v>
      </c>
      <c r="D36" s="2">
        <v>5</v>
      </c>
      <c r="E36" s="3" t="s">
        <v>16</v>
      </c>
    </row>
    <row r="37" ht="14.25" spans="1:5">
      <c r="A37" s="2" t="str">
        <f>"2020020206"</f>
        <v>2020020206</v>
      </c>
      <c r="B37" s="2" t="s">
        <v>521</v>
      </c>
      <c r="C37" s="2">
        <v>2</v>
      </c>
      <c r="D37" s="2">
        <v>6</v>
      </c>
      <c r="E37" s="3">
        <v>63.3</v>
      </c>
    </row>
    <row r="38" ht="14.25" spans="1:5">
      <c r="A38" s="2" t="str">
        <f>"2020020207"</f>
        <v>2020020207</v>
      </c>
      <c r="B38" s="2" t="s">
        <v>521</v>
      </c>
      <c r="C38" s="2">
        <v>2</v>
      </c>
      <c r="D38" s="2">
        <v>7</v>
      </c>
      <c r="E38" s="3" t="s">
        <v>16</v>
      </c>
    </row>
    <row r="39" ht="14.25" spans="1:5">
      <c r="A39" s="2" t="str">
        <f>"2020020208"</f>
        <v>2020020208</v>
      </c>
      <c r="B39" s="2" t="s">
        <v>521</v>
      </c>
      <c r="C39" s="2">
        <v>2</v>
      </c>
      <c r="D39" s="2">
        <v>8</v>
      </c>
      <c r="E39" s="3">
        <v>64.9</v>
      </c>
    </row>
    <row r="40" ht="14.25" spans="1:5">
      <c r="A40" s="2" t="str">
        <f>"2020020209"</f>
        <v>2020020209</v>
      </c>
      <c r="B40" s="2" t="s">
        <v>521</v>
      </c>
      <c r="C40" s="2">
        <v>2</v>
      </c>
      <c r="D40" s="2">
        <v>9</v>
      </c>
      <c r="E40" s="3" t="s">
        <v>16</v>
      </c>
    </row>
    <row r="41" ht="14.25" spans="1:5">
      <c r="A41" s="2" t="str">
        <f>"2020020210"</f>
        <v>2020020210</v>
      </c>
      <c r="B41" s="2" t="s">
        <v>521</v>
      </c>
      <c r="C41" s="2">
        <v>2</v>
      </c>
      <c r="D41" s="2">
        <v>10</v>
      </c>
      <c r="E41" s="3" t="s">
        <v>16</v>
      </c>
    </row>
    <row r="42" ht="14.25" spans="1:5">
      <c r="A42" s="2" t="str">
        <f>"2020020211"</f>
        <v>2020020211</v>
      </c>
      <c r="B42" s="2" t="s">
        <v>521</v>
      </c>
      <c r="C42" s="2">
        <v>2</v>
      </c>
      <c r="D42" s="2">
        <v>11</v>
      </c>
      <c r="E42" s="3">
        <v>52.1</v>
      </c>
    </row>
    <row r="43" ht="14.25" spans="1:5">
      <c r="A43" s="2" t="str">
        <f>"2020020212"</f>
        <v>2020020212</v>
      </c>
      <c r="B43" s="2" t="s">
        <v>521</v>
      </c>
      <c r="C43" s="2">
        <v>2</v>
      </c>
      <c r="D43" s="2">
        <v>12</v>
      </c>
      <c r="E43" s="3">
        <v>76</v>
      </c>
    </row>
    <row r="44" ht="14.25" spans="1:5">
      <c r="A44" s="2" t="str">
        <f>"2020020213"</f>
        <v>2020020213</v>
      </c>
      <c r="B44" s="2" t="s">
        <v>521</v>
      </c>
      <c r="C44" s="2">
        <v>2</v>
      </c>
      <c r="D44" s="2">
        <v>13</v>
      </c>
      <c r="E44" s="3">
        <v>53.1</v>
      </c>
    </row>
    <row r="45" ht="14.25" spans="1:5">
      <c r="A45" s="2" t="str">
        <f>"2020020214"</f>
        <v>2020020214</v>
      </c>
      <c r="B45" s="2" t="s">
        <v>521</v>
      </c>
      <c r="C45" s="2">
        <v>2</v>
      </c>
      <c r="D45" s="2">
        <v>14</v>
      </c>
      <c r="E45" s="3">
        <v>52.3</v>
      </c>
    </row>
    <row r="46" ht="14.25" spans="1:5">
      <c r="A46" s="2" t="str">
        <f>"2020020215"</f>
        <v>2020020215</v>
      </c>
      <c r="B46" s="2" t="s">
        <v>521</v>
      </c>
      <c r="C46" s="2">
        <v>2</v>
      </c>
      <c r="D46" s="2">
        <v>15</v>
      </c>
      <c r="E46" s="3">
        <v>64.9</v>
      </c>
    </row>
    <row r="47" ht="14.25" spans="1:5">
      <c r="A47" s="2" t="str">
        <f>"2020020216"</f>
        <v>2020020216</v>
      </c>
      <c r="B47" s="2" t="s">
        <v>521</v>
      </c>
      <c r="C47" s="2">
        <v>2</v>
      </c>
      <c r="D47" s="2">
        <v>16</v>
      </c>
      <c r="E47" s="3">
        <v>57.4</v>
      </c>
    </row>
    <row r="48" ht="14.25" spans="1:5">
      <c r="A48" s="2" t="str">
        <f>"2020020217"</f>
        <v>2020020217</v>
      </c>
      <c r="B48" s="2" t="s">
        <v>521</v>
      </c>
      <c r="C48" s="2">
        <v>2</v>
      </c>
      <c r="D48" s="2">
        <v>17</v>
      </c>
      <c r="E48" s="3">
        <v>65.3</v>
      </c>
    </row>
    <row r="49" ht="14.25" spans="1:5">
      <c r="A49" s="2" t="str">
        <f>"2020020218"</f>
        <v>2020020218</v>
      </c>
      <c r="B49" s="2" t="s">
        <v>521</v>
      </c>
      <c r="C49" s="2">
        <v>2</v>
      </c>
      <c r="D49" s="2">
        <v>18</v>
      </c>
      <c r="E49" s="3">
        <v>59.1</v>
      </c>
    </row>
    <row r="50" ht="14.25" spans="1:5">
      <c r="A50" s="2" t="str">
        <f>"2020020219"</f>
        <v>2020020219</v>
      </c>
      <c r="B50" s="2" t="s">
        <v>521</v>
      </c>
      <c r="C50" s="2">
        <v>2</v>
      </c>
      <c r="D50" s="2">
        <v>19</v>
      </c>
      <c r="E50" s="3">
        <v>73.4</v>
      </c>
    </row>
    <row r="51" ht="14.25" spans="1:5">
      <c r="A51" s="2" t="str">
        <f>"2020020220"</f>
        <v>2020020220</v>
      </c>
      <c r="B51" s="2" t="s">
        <v>521</v>
      </c>
      <c r="C51" s="2">
        <v>2</v>
      </c>
      <c r="D51" s="2">
        <v>20</v>
      </c>
      <c r="E51" s="3">
        <v>65.3</v>
      </c>
    </row>
    <row r="52" ht="14.25" spans="1:5">
      <c r="A52" s="2" t="str">
        <f>"2020020221"</f>
        <v>2020020221</v>
      </c>
      <c r="B52" s="2" t="s">
        <v>521</v>
      </c>
      <c r="C52" s="2">
        <v>2</v>
      </c>
      <c r="D52" s="2">
        <v>21</v>
      </c>
      <c r="E52" s="3" t="s">
        <v>16</v>
      </c>
    </row>
    <row r="53" ht="14.25" spans="1:5">
      <c r="A53" s="2" t="str">
        <f>"2020020222"</f>
        <v>2020020222</v>
      </c>
      <c r="B53" s="2" t="s">
        <v>521</v>
      </c>
      <c r="C53" s="2">
        <v>2</v>
      </c>
      <c r="D53" s="2">
        <v>22</v>
      </c>
      <c r="E53" s="3" t="s">
        <v>16</v>
      </c>
    </row>
    <row r="54" ht="14.25" spans="1:5">
      <c r="A54" s="2" t="str">
        <f>"2020020223"</f>
        <v>2020020223</v>
      </c>
      <c r="B54" s="2" t="s">
        <v>521</v>
      </c>
      <c r="C54" s="2">
        <v>2</v>
      </c>
      <c r="D54" s="2">
        <v>23</v>
      </c>
      <c r="E54" s="3" t="s">
        <v>16</v>
      </c>
    </row>
    <row r="55" ht="14.25" spans="1:5">
      <c r="A55" s="2" t="str">
        <f>"2020020224"</f>
        <v>2020020224</v>
      </c>
      <c r="B55" s="2" t="s">
        <v>521</v>
      </c>
      <c r="C55" s="2">
        <v>2</v>
      </c>
      <c r="D55" s="2">
        <v>24</v>
      </c>
      <c r="E55" s="3">
        <v>63.5</v>
      </c>
    </row>
    <row r="56" ht="14.25" spans="1:5">
      <c r="A56" s="2" t="str">
        <f>"2020020225"</f>
        <v>2020020225</v>
      </c>
      <c r="B56" s="2" t="s">
        <v>521</v>
      </c>
      <c r="C56" s="2">
        <v>2</v>
      </c>
      <c r="D56" s="2">
        <v>25</v>
      </c>
      <c r="E56" s="3">
        <v>49.3</v>
      </c>
    </row>
    <row r="57" ht="14.25" spans="1:5">
      <c r="A57" s="2" t="str">
        <f>"2020020226"</f>
        <v>2020020226</v>
      </c>
      <c r="B57" s="2" t="s">
        <v>521</v>
      </c>
      <c r="C57" s="2">
        <v>2</v>
      </c>
      <c r="D57" s="2">
        <v>26</v>
      </c>
      <c r="E57" s="3">
        <v>60.4</v>
      </c>
    </row>
    <row r="58" ht="14.25" spans="1:5">
      <c r="A58" s="2" t="str">
        <f>"2020020227"</f>
        <v>2020020227</v>
      </c>
      <c r="B58" s="2" t="s">
        <v>521</v>
      </c>
      <c r="C58" s="2">
        <v>2</v>
      </c>
      <c r="D58" s="2">
        <v>27</v>
      </c>
      <c r="E58" s="3">
        <v>71.2</v>
      </c>
    </row>
    <row r="59" ht="14.25" spans="1:5">
      <c r="A59" s="2" t="str">
        <f>"2020020228"</f>
        <v>2020020228</v>
      </c>
      <c r="B59" s="2" t="s">
        <v>521</v>
      </c>
      <c r="C59" s="2">
        <v>2</v>
      </c>
      <c r="D59" s="2">
        <v>28</v>
      </c>
      <c r="E59" s="3">
        <v>51.5</v>
      </c>
    </row>
    <row r="60" ht="14.25" spans="1:5">
      <c r="A60" s="2" t="str">
        <f>"2020020229"</f>
        <v>2020020229</v>
      </c>
      <c r="B60" s="2" t="s">
        <v>521</v>
      </c>
      <c r="C60" s="2">
        <v>2</v>
      </c>
      <c r="D60" s="2">
        <v>29</v>
      </c>
      <c r="E60" s="3">
        <v>63.3</v>
      </c>
    </row>
    <row r="61" ht="14.25" spans="1:5">
      <c r="A61" s="2" t="str">
        <f>"2020020230"</f>
        <v>2020020230</v>
      </c>
      <c r="B61" s="2" t="s">
        <v>521</v>
      </c>
      <c r="C61" s="2">
        <v>2</v>
      </c>
      <c r="D61" s="2">
        <v>30</v>
      </c>
      <c r="E61" s="3">
        <v>38.7</v>
      </c>
    </row>
    <row r="62" ht="14.25" spans="1:5">
      <c r="A62" s="2" t="str">
        <f>"2020020301"</f>
        <v>2020020301</v>
      </c>
      <c r="B62" s="2" t="s">
        <v>521</v>
      </c>
      <c r="C62" s="2">
        <v>3</v>
      </c>
      <c r="D62" s="2">
        <v>1</v>
      </c>
      <c r="E62" s="3" t="s">
        <v>16</v>
      </c>
    </row>
    <row r="63" ht="14.25" spans="1:5">
      <c r="A63" s="2" t="str">
        <f>"2020020302"</f>
        <v>2020020302</v>
      </c>
      <c r="B63" s="2" t="s">
        <v>521</v>
      </c>
      <c r="C63" s="2">
        <v>3</v>
      </c>
      <c r="D63" s="2">
        <v>2</v>
      </c>
      <c r="E63" s="3">
        <v>49.2</v>
      </c>
    </row>
    <row r="64" ht="14.25" spans="1:5">
      <c r="A64" s="2" t="str">
        <f>"2020020303"</f>
        <v>2020020303</v>
      </c>
      <c r="B64" s="2" t="s">
        <v>521</v>
      </c>
      <c r="C64" s="2">
        <v>3</v>
      </c>
      <c r="D64" s="2">
        <v>3</v>
      </c>
      <c r="E64" s="3" t="s">
        <v>16</v>
      </c>
    </row>
    <row r="65" ht="14.25" spans="1:5">
      <c r="A65" s="2" t="str">
        <f>"2020020304"</f>
        <v>2020020304</v>
      </c>
      <c r="B65" s="2" t="s">
        <v>521</v>
      </c>
      <c r="C65" s="2">
        <v>3</v>
      </c>
      <c r="D65" s="2">
        <v>4</v>
      </c>
      <c r="E65" s="3">
        <v>55.2</v>
      </c>
    </row>
    <row r="66" ht="14.25" spans="1:5">
      <c r="A66" s="2" t="str">
        <f>"2020020305"</f>
        <v>2020020305</v>
      </c>
      <c r="B66" s="2" t="s">
        <v>521</v>
      </c>
      <c r="C66" s="2">
        <v>3</v>
      </c>
      <c r="D66" s="2">
        <v>5</v>
      </c>
      <c r="E66" s="3">
        <v>65.9</v>
      </c>
    </row>
    <row r="67" ht="14.25" spans="1:5">
      <c r="A67" s="2" t="str">
        <f>"2020020306"</f>
        <v>2020020306</v>
      </c>
      <c r="B67" s="2" t="s">
        <v>521</v>
      </c>
      <c r="C67" s="2">
        <v>3</v>
      </c>
      <c r="D67" s="2">
        <v>6</v>
      </c>
      <c r="E67" s="3">
        <v>58.1</v>
      </c>
    </row>
    <row r="68" ht="14.25" spans="1:5">
      <c r="A68" s="2" t="str">
        <f>"2020020307"</f>
        <v>2020020307</v>
      </c>
      <c r="B68" s="2" t="s">
        <v>521</v>
      </c>
      <c r="C68" s="2">
        <v>3</v>
      </c>
      <c r="D68" s="2">
        <v>7</v>
      </c>
      <c r="E68" s="3" t="s">
        <v>16</v>
      </c>
    </row>
    <row r="69" ht="14.25" spans="1:5">
      <c r="A69" s="2" t="str">
        <f>"2020020308"</f>
        <v>2020020308</v>
      </c>
      <c r="B69" s="2" t="s">
        <v>521</v>
      </c>
      <c r="C69" s="2">
        <v>3</v>
      </c>
      <c r="D69" s="2">
        <v>8</v>
      </c>
      <c r="E69" s="3">
        <v>54.9</v>
      </c>
    </row>
    <row r="70" ht="14.25" spans="1:5">
      <c r="A70" s="2" t="str">
        <f>"2020020309"</f>
        <v>2020020309</v>
      </c>
      <c r="B70" s="2" t="s">
        <v>521</v>
      </c>
      <c r="C70" s="2">
        <v>3</v>
      </c>
      <c r="D70" s="2">
        <v>9</v>
      </c>
      <c r="E70" s="3">
        <v>79</v>
      </c>
    </row>
    <row r="71" ht="14.25" spans="1:5">
      <c r="A71" s="2" t="str">
        <f>"2020020310"</f>
        <v>2020020310</v>
      </c>
      <c r="B71" s="2" t="s">
        <v>521</v>
      </c>
      <c r="C71" s="2">
        <v>3</v>
      </c>
      <c r="D71" s="2">
        <v>10</v>
      </c>
      <c r="E71" s="3">
        <v>75.4</v>
      </c>
    </row>
    <row r="72" ht="14.25" spans="1:5">
      <c r="A72" s="2" t="str">
        <f>"2020020311"</f>
        <v>2020020311</v>
      </c>
      <c r="B72" s="2" t="s">
        <v>521</v>
      </c>
      <c r="C72" s="2">
        <v>3</v>
      </c>
      <c r="D72" s="2">
        <v>11</v>
      </c>
      <c r="E72" s="3">
        <v>56.8</v>
      </c>
    </row>
    <row r="73" ht="14.25" spans="1:5">
      <c r="A73" s="2" t="str">
        <f>"2020020312"</f>
        <v>2020020312</v>
      </c>
      <c r="B73" s="2" t="s">
        <v>521</v>
      </c>
      <c r="C73" s="2">
        <v>3</v>
      </c>
      <c r="D73" s="2">
        <v>12</v>
      </c>
      <c r="E73" s="3" t="s">
        <v>16</v>
      </c>
    </row>
    <row r="74" ht="14.25" spans="1:5">
      <c r="A74" s="2" t="str">
        <f>"2020020313"</f>
        <v>2020020313</v>
      </c>
      <c r="B74" s="2" t="s">
        <v>521</v>
      </c>
      <c r="C74" s="2">
        <v>3</v>
      </c>
      <c r="D74" s="2">
        <v>13</v>
      </c>
      <c r="E74" s="3" t="s">
        <v>16</v>
      </c>
    </row>
    <row r="75" ht="14.25" spans="1:5">
      <c r="A75" s="2" t="str">
        <f>"2020020314"</f>
        <v>2020020314</v>
      </c>
      <c r="B75" s="2" t="s">
        <v>521</v>
      </c>
      <c r="C75" s="2">
        <v>3</v>
      </c>
      <c r="D75" s="2">
        <v>14</v>
      </c>
      <c r="E75" s="3">
        <v>65.6</v>
      </c>
    </row>
    <row r="76" ht="14.25" spans="1:5">
      <c r="A76" s="2" t="str">
        <f>"2020020315"</f>
        <v>2020020315</v>
      </c>
      <c r="B76" s="2" t="s">
        <v>521</v>
      </c>
      <c r="C76" s="2">
        <v>3</v>
      </c>
      <c r="D76" s="2">
        <v>15</v>
      </c>
      <c r="E76" s="3">
        <v>64.3</v>
      </c>
    </row>
    <row r="77" ht="14.25" spans="1:5">
      <c r="A77" s="2" t="str">
        <f>"2020020316"</f>
        <v>2020020316</v>
      </c>
      <c r="B77" s="2" t="s">
        <v>521</v>
      </c>
      <c r="C77" s="2">
        <v>3</v>
      </c>
      <c r="D77" s="2">
        <v>16</v>
      </c>
      <c r="E77" s="3">
        <v>59</v>
      </c>
    </row>
    <row r="78" ht="14.25" spans="1:5">
      <c r="A78" s="2" t="str">
        <f>"2020020317"</f>
        <v>2020020317</v>
      </c>
      <c r="B78" s="2" t="s">
        <v>521</v>
      </c>
      <c r="C78" s="2">
        <v>3</v>
      </c>
      <c r="D78" s="2">
        <v>17</v>
      </c>
      <c r="E78" s="3" t="s">
        <v>16</v>
      </c>
    </row>
    <row r="79" ht="14.25" spans="1:5">
      <c r="A79" s="2" t="str">
        <f>"2020020318"</f>
        <v>2020020318</v>
      </c>
      <c r="B79" s="2" t="s">
        <v>521</v>
      </c>
      <c r="C79" s="2">
        <v>3</v>
      </c>
      <c r="D79" s="2">
        <v>18</v>
      </c>
      <c r="E79" s="3">
        <v>47.6</v>
      </c>
    </row>
    <row r="80" ht="14.25" spans="1:5">
      <c r="A80" s="2" t="str">
        <f>"2020020319"</f>
        <v>2020020319</v>
      </c>
      <c r="B80" s="2" t="s">
        <v>521</v>
      </c>
      <c r="C80" s="2">
        <v>3</v>
      </c>
      <c r="D80" s="2">
        <v>19</v>
      </c>
      <c r="E80" s="3">
        <v>69.5</v>
      </c>
    </row>
    <row r="81" ht="14.25" spans="1:5">
      <c r="A81" s="2" t="str">
        <f>"2020020320"</f>
        <v>2020020320</v>
      </c>
      <c r="B81" s="2" t="s">
        <v>521</v>
      </c>
      <c r="C81" s="2">
        <v>3</v>
      </c>
      <c r="D81" s="2">
        <v>20</v>
      </c>
      <c r="E81" s="3" t="s">
        <v>16</v>
      </c>
    </row>
    <row r="82" ht="14.25" spans="1:5">
      <c r="A82" s="2" t="str">
        <f>"2020020321"</f>
        <v>2020020321</v>
      </c>
      <c r="B82" s="2" t="s">
        <v>521</v>
      </c>
      <c r="C82" s="2">
        <v>3</v>
      </c>
      <c r="D82" s="2">
        <v>21</v>
      </c>
      <c r="E82" s="3">
        <v>60</v>
      </c>
    </row>
    <row r="83" ht="14.25" spans="1:5">
      <c r="A83" s="2" t="str">
        <f>"2020020322"</f>
        <v>2020020322</v>
      </c>
      <c r="B83" s="2" t="s">
        <v>521</v>
      </c>
      <c r="C83" s="2">
        <v>3</v>
      </c>
      <c r="D83" s="2">
        <v>22</v>
      </c>
      <c r="E83" s="3">
        <v>68.3</v>
      </c>
    </row>
    <row r="84" ht="14.25" spans="1:5">
      <c r="A84" s="2" t="str">
        <f>"2020020323"</f>
        <v>2020020323</v>
      </c>
      <c r="B84" s="2" t="s">
        <v>521</v>
      </c>
      <c r="C84" s="2">
        <v>3</v>
      </c>
      <c r="D84" s="2">
        <v>23</v>
      </c>
      <c r="E84" s="3">
        <v>53.4</v>
      </c>
    </row>
    <row r="85" ht="14.25" spans="1:5">
      <c r="A85" s="2" t="str">
        <f>"2020020324"</f>
        <v>2020020324</v>
      </c>
      <c r="B85" s="2" t="s">
        <v>521</v>
      </c>
      <c r="C85" s="2">
        <v>3</v>
      </c>
      <c r="D85" s="2">
        <v>24</v>
      </c>
      <c r="E85" s="3" t="s">
        <v>16</v>
      </c>
    </row>
    <row r="86" ht="14.25" spans="1:5">
      <c r="A86" s="2" t="str">
        <f>"2020020325"</f>
        <v>2020020325</v>
      </c>
      <c r="B86" s="2" t="s">
        <v>521</v>
      </c>
      <c r="C86" s="2">
        <v>3</v>
      </c>
      <c r="D86" s="2">
        <v>25</v>
      </c>
      <c r="E86" s="3">
        <v>64.2</v>
      </c>
    </row>
    <row r="87" ht="14.25" spans="1:5">
      <c r="A87" s="2" t="str">
        <f>"2020020326"</f>
        <v>2020020326</v>
      </c>
      <c r="B87" s="2" t="s">
        <v>521</v>
      </c>
      <c r="C87" s="2">
        <v>3</v>
      </c>
      <c r="D87" s="2">
        <v>26</v>
      </c>
      <c r="E87" s="3">
        <v>69.9</v>
      </c>
    </row>
    <row r="88" ht="14.25" spans="1:5">
      <c r="A88" s="2" t="str">
        <f>"2020020327"</f>
        <v>2020020327</v>
      </c>
      <c r="B88" s="2" t="s">
        <v>521</v>
      </c>
      <c r="C88" s="2">
        <v>3</v>
      </c>
      <c r="D88" s="2">
        <v>27</v>
      </c>
      <c r="E88" s="3">
        <v>49.2</v>
      </c>
    </row>
    <row r="89" ht="14.25" spans="1:5">
      <c r="A89" s="2" t="str">
        <f>"2020020328"</f>
        <v>2020020328</v>
      </c>
      <c r="B89" s="2" t="s">
        <v>521</v>
      </c>
      <c r="C89" s="2">
        <v>3</v>
      </c>
      <c r="D89" s="2">
        <v>28</v>
      </c>
      <c r="E89" s="3">
        <v>58.6</v>
      </c>
    </row>
    <row r="90" ht="14.25" spans="1:5">
      <c r="A90" s="2" t="str">
        <f>"2020020329"</f>
        <v>2020020329</v>
      </c>
      <c r="B90" s="2" t="s">
        <v>521</v>
      </c>
      <c r="C90" s="2">
        <v>3</v>
      </c>
      <c r="D90" s="2">
        <v>29</v>
      </c>
      <c r="E90" s="3" t="s">
        <v>16</v>
      </c>
    </row>
    <row r="91" ht="14.25" spans="1:5">
      <c r="A91" s="2" t="str">
        <f>"2020020330"</f>
        <v>2020020330</v>
      </c>
      <c r="B91" s="2" t="s">
        <v>521</v>
      </c>
      <c r="C91" s="2">
        <v>3</v>
      </c>
      <c r="D91" s="2">
        <v>30</v>
      </c>
      <c r="E91" s="3">
        <v>60.8</v>
      </c>
    </row>
    <row r="92" ht="14.25" spans="1:5">
      <c r="A92" s="2" t="str">
        <f>"2020020401"</f>
        <v>2020020401</v>
      </c>
      <c r="B92" s="2" t="s">
        <v>521</v>
      </c>
      <c r="C92" s="2">
        <v>4</v>
      </c>
      <c r="D92" s="2">
        <v>1</v>
      </c>
      <c r="E92" s="3">
        <v>60.7</v>
      </c>
    </row>
    <row r="93" ht="14.25" spans="1:5">
      <c r="A93" s="2" t="str">
        <f>"2020020402"</f>
        <v>2020020402</v>
      </c>
      <c r="B93" s="2" t="s">
        <v>521</v>
      </c>
      <c r="C93" s="2">
        <v>4</v>
      </c>
      <c r="D93" s="2">
        <v>2</v>
      </c>
      <c r="E93" s="3">
        <v>55.4</v>
      </c>
    </row>
    <row r="94" ht="14.25" spans="1:5">
      <c r="A94" s="2" t="str">
        <f>"2020020403"</f>
        <v>2020020403</v>
      </c>
      <c r="B94" s="2" t="s">
        <v>521</v>
      </c>
      <c r="C94" s="2">
        <v>4</v>
      </c>
      <c r="D94" s="2">
        <v>3</v>
      </c>
      <c r="E94" s="3" t="s">
        <v>16</v>
      </c>
    </row>
    <row r="95" ht="14.25" spans="1:5">
      <c r="A95" s="2" t="str">
        <f>"2020020404"</f>
        <v>2020020404</v>
      </c>
      <c r="B95" s="2" t="s">
        <v>521</v>
      </c>
      <c r="C95" s="2">
        <v>4</v>
      </c>
      <c r="D95" s="2">
        <v>4</v>
      </c>
      <c r="E95" s="3" t="s">
        <v>16</v>
      </c>
    </row>
    <row r="96" ht="14.25" spans="1:5">
      <c r="A96" s="2" t="str">
        <f>"2020020405"</f>
        <v>2020020405</v>
      </c>
      <c r="B96" s="2" t="s">
        <v>521</v>
      </c>
      <c r="C96" s="2">
        <v>4</v>
      </c>
      <c r="D96" s="2">
        <v>5</v>
      </c>
      <c r="E96" s="3">
        <v>76.2</v>
      </c>
    </row>
    <row r="97" ht="14.25" spans="1:5">
      <c r="A97" s="2" t="str">
        <f>"2020020406"</f>
        <v>2020020406</v>
      </c>
      <c r="B97" s="2" t="s">
        <v>521</v>
      </c>
      <c r="C97" s="2">
        <v>4</v>
      </c>
      <c r="D97" s="2">
        <v>6</v>
      </c>
      <c r="E97" s="3" t="s">
        <v>16</v>
      </c>
    </row>
    <row r="98" ht="14.25" spans="1:5">
      <c r="A98" s="2" t="str">
        <f>"2020020407"</f>
        <v>2020020407</v>
      </c>
      <c r="B98" s="2" t="s">
        <v>521</v>
      </c>
      <c r="C98" s="2">
        <v>4</v>
      </c>
      <c r="D98" s="2">
        <v>7</v>
      </c>
      <c r="E98" s="3">
        <v>60.6</v>
      </c>
    </row>
    <row r="99" ht="14.25" spans="1:5">
      <c r="A99" s="2" t="str">
        <f>"2020020408"</f>
        <v>2020020408</v>
      </c>
      <c r="B99" s="2" t="s">
        <v>521</v>
      </c>
      <c r="C99" s="2">
        <v>4</v>
      </c>
      <c r="D99" s="2">
        <v>8</v>
      </c>
      <c r="E99" s="3">
        <v>72.5</v>
      </c>
    </row>
    <row r="100" ht="14.25" spans="1:5">
      <c r="A100" s="2" t="str">
        <f>"2020020409"</f>
        <v>2020020409</v>
      </c>
      <c r="B100" s="2" t="s">
        <v>521</v>
      </c>
      <c r="C100" s="2">
        <v>4</v>
      </c>
      <c r="D100" s="2">
        <v>9</v>
      </c>
      <c r="E100" s="3">
        <v>68.8</v>
      </c>
    </row>
    <row r="101" ht="14.25" spans="1:5">
      <c r="A101" s="2" t="str">
        <f>"2020020410"</f>
        <v>2020020410</v>
      </c>
      <c r="B101" s="2" t="s">
        <v>521</v>
      </c>
      <c r="C101" s="2">
        <v>4</v>
      </c>
      <c r="D101" s="2">
        <v>10</v>
      </c>
      <c r="E101" s="3">
        <v>72.4</v>
      </c>
    </row>
    <row r="102" ht="14.25" spans="1:5">
      <c r="A102" s="2" t="str">
        <f>"2020020411"</f>
        <v>2020020411</v>
      </c>
      <c r="B102" s="2" t="s">
        <v>521</v>
      </c>
      <c r="C102" s="2">
        <v>4</v>
      </c>
      <c r="D102" s="2">
        <v>11</v>
      </c>
      <c r="E102" s="3">
        <v>64</v>
      </c>
    </row>
    <row r="103" ht="14.25" spans="1:5">
      <c r="A103" s="2" t="str">
        <f>"2020020412"</f>
        <v>2020020412</v>
      </c>
      <c r="B103" s="2" t="s">
        <v>521</v>
      </c>
      <c r="C103" s="2">
        <v>4</v>
      </c>
      <c r="D103" s="2">
        <v>12</v>
      </c>
      <c r="E103" s="3">
        <v>69.8</v>
      </c>
    </row>
    <row r="104" ht="14.25" spans="1:5">
      <c r="A104" s="2" t="str">
        <f>"2020020413"</f>
        <v>2020020413</v>
      </c>
      <c r="B104" s="2" t="s">
        <v>521</v>
      </c>
      <c r="C104" s="2">
        <v>4</v>
      </c>
      <c r="D104" s="2">
        <v>13</v>
      </c>
      <c r="E104" s="3" t="s">
        <v>16</v>
      </c>
    </row>
    <row r="105" ht="14.25" spans="1:5">
      <c r="A105" s="2" t="str">
        <f>"2020020414"</f>
        <v>2020020414</v>
      </c>
      <c r="B105" s="2" t="s">
        <v>521</v>
      </c>
      <c r="C105" s="2">
        <v>4</v>
      </c>
      <c r="D105" s="2">
        <v>14</v>
      </c>
      <c r="E105" s="3">
        <v>55.2</v>
      </c>
    </row>
    <row r="106" ht="14.25" spans="1:5">
      <c r="A106" s="2" t="str">
        <f>"2020020415"</f>
        <v>2020020415</v>
      </c>
      <c r="B106" s="2" t="s">
        <v>521</v>
      </c>
      <c r="C106" s="2">
        <v>4</v>
      </c>
      <c r="D106" s="2">
        <v>15</v>
      </c>
      <c r="E106" s="3">
        <v>59</v>
      </c>
    </row>
    <row r="107" ht="14.25" spans="1:5">
      <c r="A107" s="2" t="str">
        <f>"2020020416"</f>
        <v>2020020416</v>
      </c>
      <c r="B107" s="2" t="s">
        <v>521</v>
      </c>
      <c r="C107" s="2">
        <v>4</v>
      </c>
      <c r="D107" s="2">
        <v>16</v>
      </c>
      <c r="E107" s="3">
        <v>54.4</v>
      </c>
    </row>
    <row r="108" ht="14.25" spans="1:5">
      <c r="A108" s="2" t="str">
        <f>"2020020417"</f>
        <v>2020020417</v>
      </c>
      <c r="B108" s="2" t="s">
        <v>521</v>
      </c>
      <c r="C108" s="2">
        <v>4</v>
      </c>
      <c r="D108" s="2">
        <v>17</v>
      </c>
      <c r="E108" s="3">
        <v>72.2</v>
      </c>
    </row>
    <row r="109" ht="14.25" spans="1:5">
      <c r="A109" s="2" t="str">
        <f>"2020020418"</f>
        <v>2020020418</v>
      </c>
      <c r="B109" s="2" t="s">
        <v>521</v>
      </c>
      <c r="C109" s="2">
        <v>4</v>
      </c>
      <c r="D109" s="2">
        <v>18</v>
      </c>
      <c r="E109" s="3">
        <v>58.1</v>
      </c>
    </row>
    <row r="110" ht="14.25" spans="1:5">
      <c r="A110" s="2" t="str">
        <f>"2020020419"</f>
        <v>2020020419</v>
      </c>
      <c r="B110" s="2" t="s">
        <v>521</v>
      </c>
      <c r="C110" s="2">
        <v>4</v>
      </c>
      <c r="D110" s="2">
        <v>19</v>
      </c>
      <c r="E110" s="3" t="s">
        <v>16</v>
      </c>
    </row>
    <row r="111" ht="14.25" spans="1:5">
      <c r="A111" s="2" t="str">
        <f>"2020020420"</f>
        <v>2020020420</v>
      </c>
      <c r="B111" s="2" t="s">
        <v>521</v>
      </c>
      <c r="C111" s="2">
        <v>4</v>
      </c>
      <c r="D111" s="2">
        <v>20</v>
      </c>
      <c r="E111" s="3" t="s">
        <v>16</v>
      </c>
    </row>
    <row r="112" ht="14.25" spans="1:5">
      <c r="A112" s="2" t="str">
        <f>"2020020421"</f>
        <v>2020020421</v>
      </c>
      <c r="B112" s="2" t="s">
        <v>521</v>
      </c>
      <c r="C112" s="2">
        <v>4</v>
      </c>
      <c r="D112" s="2">
        <v>21</v>
      </c>
      <c r="E112" s="3">
        <v>62.4</v>
      </c>
    </row>
    <row r="113" ht="14.25" spans="1:5">
      <c r="A113" s="2" t="str">
        <f>"2020020422"</f>
        <v>2020020422</v>
      </c>
      <c r="B113" s="2" t="s">
        <v>521</v>
      </c>
      <c r="C113" s="2">
        <v>4</v>
      </c>
      <c r="D113" s="2">
        <v>22</v>
      </c>
      <c r="E113" s="3">
        <v>64.4</v>
      </c>
    </row>
    <row r="114" ht="14.25" spans="1:5">
      <c r="A114" s="2" t="str">
        <f>"2020020423"</f>
        <v>2020020423</v>
      </c>
      <c r="B114" s="2" t="s">
        <v>521</v>
      </c>
      <c r="C114" s="2">
        <v>4</v>
      </c>
      <c r="D114" s="2">
        <v>23</v>
      </c>
      <c r="E114" s="3">
        <v>45.9</v>
      </c>
    </row>
    <row r="115" ht="14.25" spans="1:5">
      <c r="A115" s="2" t="str">
        <f>"2020020424"</f>
        <v>2020020424</v>
      </c>
      <c r="B115" s="2" t="s">
        <v>521</v>
      </c>
      <c r="C115" s="2">
        <v>4</v>
      </c>
      <c r="D115" s="2">
        <v>24</v>
      </c>
      <c r="E115" s="3" t="s">
        <v>16</v>
      </c>
    </row>
    <row r="116" ht="14.25" spans="1:5">
      <c r="A116" s="2" t="str">
        <f>"2020020425"</f>
        <v>2020020425</v>
      </c>
      <c r="B116" s="2" t="s">
        <v>521</v>
      </c>
      <c r="C116" s="2">
        <v>4</v>
      </c>
      <c r="D116" s="2">
        <v>25</v>
      </c>
      <c r="E116" s="3">
        <v>77.4</v>
      </c>
    </row>
    <row r="117" ht="14.25" spans="1:5">
      <c r="A117" s="2" t="str">
        <f>"2020020426"</f>
        <v>2020020426</v>
      </c>
      <c r="B117" s="2" t="s">
        <v>521</v>
      </c>
      <c r="C117" s="2">
        <v>4</v>
      </c>
      <c r="D117" s="2">
        <v>26</v>
      </c>
      <c r="E117" s="3">
        <v>59.4</v>
      </c>
    </row>
    <row r="118" ht="14.25" spans="1:5">
      <c r="A118" s="2" t="str">
        <f>"2020020427"</f>
        <v>2020020427</v>
      </c>
      <c r="B118" s="2" t="s">
        <v>521</v>
      </c>
      <c r="C118" s="2">
        <v>4</v>
      </c>
      <c r="D118" s="2">
        <v>27</v>
      </c>
      <c r="E118" s="3" t="s">
        <v>16</v>
      </c>
    </row>
    <row r="119" ht="14.25" spans="1:5">
      <c r="A119" s="2" t="str">
        <f>"2020020428"</f>
        <v>2020020428</v>
      </c>
      <c r="B119" s="2" t="s">
        <v>521</v>
      </c>
      <c r="C119" s="2">
        <v>4</v>
      </c>
      <c r="D119" s="2">
        <v>28</v>
      </c>
      <c r="E119" s="3">
        <v>61.7</v>
      </c>
    </row>
    <row r="120" ht="14.25" spans="1:5">
      <c r="A120" s="2" t="str">
        <f>"2020020429"</f>
        <v>2020020429</v>
      </c>
      <c r="B120" s="2" t="s">
        <v>521</v>
      </c>
      <c r="C120" s="2">
        <v>4</v>
      </c>
      <c r="D120" s="2">
        <v>29</v>
      </c>
      <c r="E120" s="3">
        <v>56.4</v>
      </c>
    </row>
    <row r="121" ht="14.25" spans="1:5">
      <c r="A121" s="2" t="str">
        <f>"2020020430"</f>
        <v>2020020430</v>
      </c>
      <c r="B121" s="2" t="s">
        <v>521</v>
      </c>
      <c r="C121" s="2">
        <v>4</v>
      </c>
      <c r="D121" s="2">
        <v>30</v>
      </c>
      <c r="E121" s="3" t="s">
        <v>16</v>
      </c>
    </row>
    <row r="122" ht="14.25" spans="1:5">
      <c r="A122" s="2" t="str">
        <f>"2020020501"</f>
        <v>2020020501</v>
      </c>
      <c r="B122" s="2" t="s">
        <v>521</v>
      </c>
      <c r="C122" s="2">
        <v>5</v>
      </c>
      <c r="D122" s="2">
        <v>1</v>
      </c>
      <c r="E122" s="3" t="s">
        <v>16</v>
      </c>
    </row>
    <row r="123" ht="14.25" spans="1:5">
      <c r="A123" s="2" t="str">
        <f>"2020020502"</f>
        <v>2020020502</v>
      </c>
      <c r="B123" s="2" t="s">
        <v>521</v>
      </c>
      <c r="C123" s="2">
        <v>5</v>
      </c>
      <c r="D123" s="2">
        <v>2</v>
      </c>
      <c r="E123" s="3" t="s">
        <v>16</v>
      </c>
    </row>
    <row r="124" ht="14.25" spans="1:5">
      <c r="A124" s="2" t="str">
        <f>"2020020503"</f>
        <v>2020020503</v>
      </c>
      <c r="B124" s="2" t="s">
        <v>521</v>
      </c>
      <c r="C124" s="2">
        <v>5</v>
      </c>
      <c r="D124" s="2">
        <v>3</v>
      </c>
      <c r="E124" s="3" t="s">
        <v>16</v>
      </c>
    </row>
    <row r="125" ht="14.25" spans="1:5">
      <c r="A125" s="2" t="str">
        <f>"2020020504"</f>
        <v>2020020504</v>
      </c>
      <c r="B125" s="2" t="s">
        <v>521</v>
      </c>
      <c r="C125" s="2">
        <v>5</v>
      </c>
      <c r="D125" s="2">
        <v>4</v>
      </c>
      <c r="E125" s="3">
        <v>65</v>
      </c>
    </row>
    <row r="126" ht="14.25" spans="1:5">
      <c r="A126" s="2" t="str">
        <f>"2020020505"</f>
        <v>2020020505</v>
      </c>
      <c r="B126" s="2" t="s">
        <v>521</v>
      </c>
      <c r="C126" s="2">
        <v>5</v>
      </c>
      <c r="D126" s="2">
        <v>5</v>
      </c>
      <c r="E126" s="3" t="s">
        <v>16</v>
      </c>
    </row>
    <row r="127" ht="14.25" spans="1:5">
      <c r="A127" s="2" t="str">
        <f>"2020020506"</f>
        <v>2020020506</v>
      </c>
      <c r="B127" s="2" t="s">
        <v>521</v>
      </c>
      <c r="C127" s="2">
        <v>5</v>
      </c>
      <c r="D127" s="2">
        <v>6</v>
      </c>
      <c r="E127" s="3" t="s">
        <v>16</v>
      </c>
    </row>
    <row r="128" ht="14.25" spans="1:5">
      <c r="A128" s="2" t="str">
        <f>"2020020507"</f>
        <v>2020020507</v>
      </c>
      <c r="B128" s="2" t="s">
        <v>521</v>
      </c>
      <c r="C128" s="2">
        <v>5</v>
      </c>
      <c r="D128" s="2">
        <v>7</v>
      </c>
      <c r="E128" s="3" t="s">
        <v>16</v>
      </c>
    </row>
    <row r="129" ht="14.25" spans="1:5">
      <c r="A129" s="2" t="str">
        <f>"2020020508"</f>
        <v>2020020508</v>
      </c>
      <c r="B129" s="2" t="s">
        <v>521</v>
      </c>
      <c r="C129" s="2">
        <v>5</v>
      </c>
      <c r="D129" s="2">
        <v>8</v>
      </c>
      <c r="E129" s="3">
        <v>81.4</v>
      </c>
    </row>
    <row r="130" ht="14.25" spans="1:5">
      <c r="A130" s="2" t="str">
        <f>"2020020509"</f>
        <v>2020020509</v>
      </c>
      <c r="B130" s="2" t="s">
        <v>521</v>
      </c>
      <c r="C130" s="2">
        <v>5</v>
      </c>
      <c r="D130" s="2">
        <v>9</v>
      </c>
      <c r="E130" s="3">
        <v>73.2</v>
      </c>
    </row>
    <row r="131" ht="14.25" spans="1:5">
      <c r="A131" s="2" t="str">
        <f>"2020020510"</f>
        <v>2020020510</v>
      </c>
      <c r="B131" s="2" t="s">
        <v>521</v>
      </c>
      <c r="C131" s="2">
        <v>5</v>
      </c>
      <c r="D131" s="2">
        <v>10</v>
      </c>
      <c r="E131" s="3">
        <v>53.2</v>
      </c>
    </row>
    <row r="132" ht="14.25" spans="1:5">
      <c r="A132" s="2" t="str">
        <f>"2020020511"</f>
        <v>2020020511</v>
      </c>
      <c r="B132" s="2" t="s">
        <v>521</v>
      </c>
      <c r="C132" s="2">
        <v>5</v>
      </c>
      <c r="D132" s="2">
        <v>11</v>
      </c>
      <c r="E132" s="3">
        <v>67</v>
      </c>
    </row>
    <row r="133" ht="14.25" spans="1:5">
      <c r="A133" s="2" t="str">
        <f>"2020020512"</f>
        <v>2020020512</v>
      </c>
      <c r="B133" s="2" t="s">
        <v>521</v>
      </c>
      <c r="C133" s="2">
        <v>5</v>
      </c>
      <c r="D133" s="2">
        <v>12</v>
      </c>
      <c r="E133" s="3">
        <v>70.2</v>
      </c>
    </row>
    <row r="134" ht="14.25" spans="1:5">
      <c r="A134" s="2" t="str">
        <f>"2020020513"</f>
        <v>2020020513</v>
      </c>
      <c r="B134" s="2" t="s">
        <v>521</v>
      </c>
      <c r="C134" s="2">
        <v>5</v>
      </c>
      <c r="D134" s="2">
        <v>13</v>
      </c>
      <c r="E134" s="3">
        <v>50</v>
      </c>
    </row>
    <row r="135" ht="14.25" spans="1:5">
      <c r="A135" s="2" t="str">
        <f>"2020020514"</f>
        <v>2020020514</v>
      </c>
      <c r="B135" s="2" t="s">
        <v>521</v>
      </c>
      <c r="C135" s="2">
        <v>5</v>
      </c>
      <c r="D135" s="2">
        <v>14</v>
      </c>
      <c r="E135" s="3">
        <v>72.9</v>
      </c>
    </row>
    <row r="136" ht="14.25" spans="1:5">
      <c r="A136" s="2" t="str">
        <f>"2020020515"</f>
        <v>2020020515</v>
      </c>
      <c r="B136" s="2" t="s">
        <v>521</v>
      </c>
      <c r="C136" s="2">
        <v>5</v>
      </c>
      <c r="D136" s="2">
        <v>15</v>
      </c>
      <c r="E136" s="3">
        <v>74.1</v>
      </c>
    </row>
    <row r="137" ht="14.25" spans="1:5">
      <c r="A137" s="2" t="str">
        <f>"2020020516"</f>
        <v>2020020516</v>
      </c>
      <c r="B137" s="2" t="s">
        <v>521</v>
      </c>
      <c r="C137" s="2">
        <v>5</v>
      </c>
      <c r="D137" s="2">
        <v>16</v>
      </c>
      <c r="E137" s="3" t="s">
        <v>16</v>
      </c>
    </row>
    <row r="138" ht="14.25" spans="1:5">
      <c r="A138" s="2" t="str">
        <f>"2020020517"</f>
        <v>2020020517</v>
      </c>
      <c r="B138" s="2" t="s">
        <v>521</v>
      </c>
      <c r="C138" s="2">
        <v>5</v>
      </c>
      <c r="D138" s="2">
        <v>17</v>
      </c>
      <c r="E138" s="3" t="s">
        <v>16</v>
      </c>
    </row>
    <row r="139" ht="14.25" spans="1:5">
      <c r="A139" s="2" t="str">
        <f>"2020020518"</f>
        <v>2020020518</v>
      </c>
      <c r="B139" s="2" t="s">
        <v>521</v>
      </c>
      <c r="C139" s="2">
        <v>5</v>
      </c>
      <c r="D139" s="2">
        <v>18</v>
      </c>
      <c r="E139" s="3" t="s">
        <v>16</v>
      </c>
    </row>
    <row r="140" ht="14.25" spans="1:5">
      <c r="A140" s="2" t="str">
        <f>"2020020519"</f>
        <v>2020020519</v>
      </c>
      <c r="B140" s="2" t="s">
        <v>521</v>
      </c>
      <c r="C140" s="2">
        <v>5</v>
      </c>
      <c r="D140" s="2">
        <v>19</v>
      </c>
      <c r="E140" s="3">
        <v>78.4</v>
      </c>
    </row>
    <row r="141" ht="14.25" spans="1:5">
      <c r="A141" s="2" t="str">
        <f>"2020020520"</f>
        <v>2020020520</v>
      </c>
      <c r="B141" s="2" t="s">
        <v>521</v>
      </c>
      <c r="C141" s="2">
        <v>5</v>
      </c>
      <c r="D141" s="2">
        <v>20</v>
      </c>
      <c r="E141" s="3">
        <v>59.7</v>
      </c>
    </row>
    <row r="142" ht="14.25" spans="1:5">
      <c r="A142" s="2" t="str">
        <f>"2020020521"</f>
        <v>2020020521</v>
      </c>
      <c r="B142" s="2" t="s">
        <v>521</v>
      </c>
      <c r="C142" s="2">
        <v>5</v>
      </c>
      <c r="D142" s="2">
        <v>21</v>
      </c>
      <c r="E142" s="3" t="s">
        <v>16</v>
      </c>
    </row>
    <row r="143" ht="14.25" spans="1:5">
      <c r="A143" s="2" t="str">
        <f>"2020020522"</f>
        <v>2020020522</v>
      </c>
      <c r="B143" s="2" t="s">
        <v>521</v>
      </c>
      <c r="C143" s="2">
        <v>5</v>
      </c>
      <c r="D143" s="2">
        <v>22</v>
      </c>
      <c r="E143" s="3" t="s">
        <v>16</v>
      </c>
    </row>
    <row r="144" ht="14.25" spans="1:5">
      <c r="A144" s="2" t="str">
        <f>"2020020523"</f>
        <v>2020020523</v>
      </c>
      <c r="B144" s="2" t="s">
        <v>521</v>
      </c>
      <c r="C144" s="2">
        <v>5</v>
      </c>
      <c r="D144" s="2">
        <v>23</v>
      </c>
      <c r="E144" s="3" t="s">
        <v>16</v>
      </c>
    </row>
    <row r="145" ht="14.25" spans="1:5">
      <c r="A145" s="2" t="str">
        <f>"2020020524"</f>
        <v>2020020524</v>
      </c>
      <c r="B145" s="2" t="s">
        <v>521</v>
      </c>
      <c r="C145" s="2">
        <v>5</v>
      </c>
      <c r="D145" s="2">
        <v>24</v>
      </c>
      <c r="E145" s="3">
        <v>63.6</v>
      </c>
    </row>
    <row r="146" ht="14.25" spans="1:5">
      <c r="A146" s="2" t="str">
        <f>"2020020525"</f>
        <v>2020020525</v>
      </c>
      <c r="B146" s="2" t="s">
        <v>521</v>
      </c>
      <c r="C146" s="2">
        <v>5</v>
      </c>
      <c r="D146" s="2">
        <v>25</v>
      </c>
      <c r="E146" s="3" t="s">
        <v>16</v>
      </c>
    </row>
    <row r="147" ht="14.25" spans="1:5">
      <c r="A147" s="2" t="str">
        <f>"2020020526"</f>
        <v>2020020526</v>
      </c>
      <c r="B147" s="2" t="s">
        <v>521</v>
      </c>
      <c r="C147" s="2">
        <v>5</v>
      </c>
      <c r="D147" s="2">
        <v>26</v>
      </c>
      <c r="E147" s="3">
        <v>56</v>
      </c>
    </row>
    <row r="148" ht="14.25" spans="1:5">
      <c r="A148" s="2" t="str">
        <f>"2020020527"</f>
        <v>2020020527</v>
      </c>
      <c r="B148" s="2" t="s">
        <v>521</v>
      </c>
      <c r="C148" s="2">
        <v>5</v>
      </c>
      <c r="D148" s="2">
        <v>27</v>
      </c>
      <c r="E148" s="3" t="s">
        <v>16</v>
      </c>
    </row>
    <row r="149" ht="14.25" spans="1:5">
      <c r="A149" s="2" t="str">
        <f>"2020020528"</f>
        <v>2020020528</v>
      </c>
      <c r="B149" s="2" t="s">
        <v>521</v>
      </c>
      <c r="C149" s="2">
        <v>5</v>
      </c>
      <c r="D149" s="2">
        <v>28</v>
      </c>
      <c r="E149" s="3" t="s">
        <v>16</v>
      </c>
    </row>
    <row r="150" ht="14.25" spans="1:5">
      <c r="A150" s="2" t="str">
        <f>"2020020529"</f>
        <v>2020020529</v>
      </c>
      <c r="B150" s="2" t="s">
        <v>521</v>
      </c>
      <c r="C150" s="2">
        <v>5</v>
      </c>
      <c r="D150" s="2">
        <v>29</v>
      </c>
      <c r="E150" s="3" t="s">
        <v>16</v>
      </c>
    </row>
    <row r="151" ht="14.25" spans="1:5">
      <c r="A151" s="2" t="str">
        <f>"2020020530"</f>
        <v>2020020530</v>
      </c>
      <c r="B151" s="2" t="s">
        <v>521</v>
      </c>
      <c r="C151" s="2">
        <v>5</v>
      </c>
      <c r="D151" s="2">
        <v>30</v>
      </c>
      <c r="E151" s="3">
        <v>70.8</v>
      </c>
    </row>
    <row r="152" ht="14.25" spans="1:5">
      <c r="A152" s="2" t="str">
        <f>"2020020601"</f>
        <v>2020020601</v>
      </c>
      <c r="B152" s="2" t="s">
        <v>521</v>
      </c>
      <c r="C152" s="2">
        <v>6</v>
      </c>
      <c r="D152" s="2">
        <v>1</v>
      </c>
      <c r="E152" s="3">
        <v>61</v>
      </c>
    </row>
    <row r="153" ht="14.25" spans="1:5">
      <c r="A153" s="2" t="str">
        <f>"2020020602"</f>
        <v>2020020602</v>
      </c>
      <c r="B153" s="2" t="s">
        <v>521</v>
      </c>
      <c r="C153" s="2">
        <v>6</v>
      </c>
      <c r="D153" s="2">
        <v>2</v>
      </c>
      <c r="E153" s="3">
        <v>71.5</v>
      </c>
    </row>
    <row r="154" ht="14.25" spans="1:5">
      <c r="A154" s="2" t="str">
        <f>"2020020603"</f>
        <v>2020020603</v>
      </c>
      <c r="B154" s="2" t="s">
        <v>521</v>
      </c>
      <c r="C154" s="2">
        <v>6</v>
      </c>
      <c r="D154" s="2">
        <v>3</v>
      </c>
      <c r="E154" s="3">
        <v>77.7</v>
      </c>
    </row>
    <row r="155" ht="14.25" spans="1:5">
      <c r="A155" s="2" t="str">
        <f>"2020020604"</f>
        <v>2020020604</v>
      </c>
      <c r="B155" s="2" t="s">
        <v>521</v>
      </c>
      <c r="C155" s="2">
        <v>6</v>
      </c>
      <c r="D155" s="2">
        <v>4</v>
      </c>
      <c r="E155" s="3" t="s">
        <v>16</v>
      </c>
    </row>
    <row r="156" ht="14.25" spans="1:5">
      <c r="A156" s="2" t="str">
        <f>"2020020605"</f>
        <v>2020020605</v>
      </c>
      <c r="B156" s="2" t="s">
        <v>521</v>
      </c>
      <c r="C156" s="2">
        <v>6</v>
      </c>
      <c r="D156" s="2">
        <v>5</v>
      </c>
      <c r="E156" s="3">
        <v>76.8</v>
      </c>
    </row>
    <row r="157" ht="14.25" spans="1:5">
      <c r="A157" s="2" t="str">
        <f>"2020020606"</f>
        <v>2020020606</v>
      </c>
      <c r="B157" s="2" t="s">
        <v>521</v>
      </c>
      <c r="C157" s="2">
        <v>6</v>
      </c>
      <c r="D157" s="2">
        <v>6</v>
      </c>
      <c r="E157" s="3" t="s">
        <v>16</v>
      </c>
    </row>
    <row r="158" ht="14.25" spans="1:5">
      <c r="A158" s="2" t="str">
        <f>"2020020607"</f>
        <v>2020020607</v>
      </c>
      <c r="B158" s="2" t="s">
        <v>521</v>
      </c>
      <c r="C158" s="2">
        <v>6</v>
      </c>
      <c r="D158" s="2">
        <v>7</v>
      </c>
      <c r="E158" s="3">
        <v>51.9</v>
      </c>
    </row>
    <row r="159" ht="14.25" spans="1:5">
      <c r="A159" s="2" t="str">
        <f>"2020020608"</f>
        <v>2020020608</v>
      </c>
      <c r="B159" s="2" t="s">
        <v>521</v>
      </c>
      <c r="C159" s="2">
        <v>6</v>
      </c>
      <c r="D159" s="2">
        <v>8</v>
      </c>
      <c r="E159" s="3">
        <v>58.8</v>
      </c>
    </row>
    <row r="160" ht="14.25" spans="1:5">
      <c r="A160" s="2" t="str">
        <f>"2020020609"</f>
        <v>2020020609</v>
      </c>
      <c r="B160" s="2" t="s">
        <v>521</v>
      </c>
      <c r="C160" s="2">
        <v>6</v>
      </c>
      <c r="D160" s="2">
        <v>9</v>
      </c>
      <c r="E160" s="3">
        <v>67.2</v>
      </c>
    </row>
    <row r="161" ht="14.25" spans="1:5">
      <c r="A161" s="2" t="str">
        <f>"2020020610"</f>
        <v>2020020610</v>
      </c>
      <c r="B161" s="2" t="s">
        <v>521</v>
      </c>
      <c r="C161" s="2">
        <v>6</v>
      </c>
      <c r="D161" s="2">
        <v>10</v>
      </c>
      <c r="E161" s="3" t="s">
        <v>16</v>
      </c>
    </row>
    <row r="162" ht="14.25" spans="1:5">
      <c r="A162" s="2" t="str">
        <f>"2020020611"</f>
        <v>2020020611</v>
      </c>
      <c r="B162" s="2" t="s">
        <v>521</v>
      </c>
      <c r="C162" s="2">
        <v>6</v>
      </c>
      <c r="D162" s="2">
        <v>11</v>
      </c>
      <c r="E162" s="3">
        <v>67.6</v>
      </c>
    </row>
    <row r="163" ht="14.25" spans="1:5">
      <c r="A163" s="2" t="str">
        <f>"2020020612"</f>
        <v>2020020612</v>
      </c>
      <c r="B163" s="2" t="s">
        <v>521</v>
      </c>
      <c r="C163" s="2">
        <v>6</v>
      </c>
      <c r="D163" s="2">
        <v>12</v>
      </c>
      <c r="E163" s="3">
        <v>44.7</v>
      </c>
    </row>
    <row r="164" ht="14.25" spans="1:5">
      <c r="A164" s="2" t="str">
        <f>"2020020613"</f>
        <v>2020020613</v>
      </c>
      <c r="B164" s="2" t="s">
        <v>521</v>
      </c>
      <c r="C164" s="2">
        <v>6</v>
      </c>
      <c r="D164" s="2">
        <v>13</v>
      </c>
      <c r="E164" s="3" t="s">
        <v>16</v>
      </c>
    </row>
    <row r="165" ht="14.25" spans="1:5">
      <c r="A165" s="2" t="str">
        <f>"2020020614"</f>
        <v>2020020614</v>
      </c>
      <c r="B165" s="2" t="s">
        <v>521</v>
      </c>
      <c r="C165" s="2">
        <v>6</v>
      </c>
      <c r="D165" s="2">
        <v>14</v>
      </c>
      <c r="E165" s="3" t="s">
        <v>16</v>
      </c>
    </row>
    <row r="166" ht="14.25" spans="1:5">
      <c r="A166" s="2" t="str">
        <f>"2020020615"</f>
        <v>2020020615</v>
      </c>
      <c r="B166" s="2" t="s">
        <v>521</v>
      </c>
      <c r="C166" s="2">
        <v>6</v>
      </c>
      <c r="D166" s="2">
        <v>15</v>
      </c>
      <c r="E166" s="3">
        <v>74.4</v>
      </c>
    </row>
    <row r="167" ht="14.25" spans="1:5">
      <c r="A167" s="2" t="str">
        <f>"2020020616"</f>
        <v>2020020616</v>
      </c>
      <c r="B167" s="2" t="s">
        <v>521</v>
      </c>
      <c r="C167" s="2">
        <v>6</v>
      </c>
      <c r="D167" s="2">
        <v>16</v>
      </c>
      <c r="E167" s="3" t="s">
        <v>16</v>
      </c>
    </row>
    <row r="168" ht="14.25" spans="1:5">
      <c r="A168" s="2" t="str">
        <f>"2020020617"</f>
        <v>2020020617</v>
      </c>
      <c r="B168" s="2" t="s">
        <v>521</v>
      </c>
      <c r="C168" s="2">
        <v>6</v>
      </c>
      <c r="D168" s="2">
        <v>17</v>
      </c>
      <c r="E168" s="3" t="s">
        <v>16</v>
      </c>
    </row>
    <row r="169" ht="14.25" spans="1:5">
      <c r="A169" s="2" t="str">
        <f>"2020020618"</f>
        <v>2020020618</v>
      </c>
      <c r="B169" s="2" t="s">
        <v>521</v>
      </c>
      <c r="C169" s="2">
        <v>6</v>
      </c>
      <c r="D169" s="2">
        <v>18</v>
      </c>
      <c r="E169" s="3" t="s">
        <v>16</v>
      </c>
    </row>
    <row r="170" ht="14.25" spans="1:5">
      <c r="A170" s="2" t="str">
        <f>"2020020619"</f>
        <v>2020020619</v>
      </c>
      <c r="B170" s="2" t="s">
        <v>521</v>
      </c>
      <c r="C170" s="2">
        <v>6</v>
      </c>
      <c r="D170" s="2">
        <v>19</v>
      </c>
      <c r="E170" s="3" t="s">
        <v>16</v>
      </c>
    </row>
    <row r="171" ht="14.25" spans="1:5">
      <c r="A171" s="2" t="str">
        <f>"2020020620"</f>
        <v>2020020620</v>
      </c>
      <c r="B171" s="2" t="s">
        <v>521</v>
      </c>
      <c r="C171" s="2">
        <v>6</v>
      </c>
      <c r="D171" s="2">
        <v>20</v>
      </c>
      <c r="E171" s="3" t="s">
        <v>16</v>
      </c>
    </row>
    <row r="172" ht="14.25" spans="1:5">
      <c r="A172" s="2" t="str">
        <f>"2020020621"</f>
        <v>2020020621</v>
      </c>
      <c r="B172" s="2" t="s">
        <v>521</v>
      </c>
      <c r="C172" s="2">
        <v>6</v>
      </c>
      <c r="D172" s="2">
        <v>21</v>
      </c>
      <c r="E172" s="3" t="s">
        <v>16</v>
      </c>
    </row>
    <row r="173" ht="14.25" spans="1:5">
      <c r="A173" s="2" t="str">
        <f>"2020020622"</f>
        <v>2020020622</v>
      </c>
      <c r="B173" s="2" t="s">
        <v>521</v>
      </c>
      <c r="C173" s="2">
        <v>6</v>
      </c>
      <c r="D173" s="2">
        <v>22</v>
      </c>
      <c r="E173" s="3">
        <v>57.2</v>
      </c>
    </row>
    <row r="174" ht="14.25" spans="1:5">
      <c r="A174" s="2" t="str">
        <f>"2020020623"</f>
        <v>2020020623</v>
      </c>
      <c r="B174" s="2" t="s">
        <v>521</v>
      </c>
      <c r="C174" s="2">
        <v>6</v>
      </c>
      <c r="D174" s="2">
        <v>23</v>
      </c>
      <c r="E174" s="3" t="s">
        <v>16</v>
      </c>
    </row>
    <row r="175" ht="14.25" spans="1:5">
      <c r="A175" s="2" t="str">
        <f>"2020020624"</f>
        <v>2020020624</v>
      </c>
      <c r="B175" s="2" t="s">
        <v>521</v>
      </c>
      <c r="C175" s="2">
        <v>6</v>
      </c>
      <c r="D175" s="2">
        <v>24</v>
      </c>
      <c r="E175" s="3" t="s">
        <v>16</v>
      </c>
    </row>
    <row r="176" ht="14.25" spans="1:5">
      <c r="A176" s="2" t="str">
        <f>"2020020625"</f>
        <v>2020020625</v>
      </c>
      <c r="B176" s="2" t="s">
        <v>521</v>
      </c>
      <c r="C176" s="2">
        <v>6</v>
      </c>
      <c r="D176" s="2">
        <v>25</v>
      </c>
      <c r="E176" s="3">
        <v>63</v>
      </c>
    </row>
    <row r="177" ht="14.25" spans="1:5">
      <c r="A177" s="2" t="str">
        <f>"2020020626"</f>
        <v>2020020626</v>
      </c>
      <c r="B177" s="2" t="s">
        <v>521</v>
      </c>
      <c r="C177" s="2">
        <v>6</v>
      </c>
      <c r="D177" s="2">
        <v>26</v>
      </c>
      <c r="E177" s="3">
        <v>51.4</v>
      </c>
    </row>
    <row r="178" ht="14.25" spans="1:5">
      <c r="A178" s="2" t="str">
        <f>"2020020627"</f>
        <v>2020020627</v>
      </c>
      <c r="B178" s="2" t="s">
        <v>521</v>
      </c>
      <c r="C178" s="2">
        <v>6</v>
      </c>
      <c r="D178" s="2">
        <v>27</v>
      </c>
      <c r="E178" s="3">
        <v>82</v>
      </c>
    </row>
    <row r="179" ht="14.25" spans="1:5">
      <c r="A179" s="2" t="str">
        <f>"2020020628"</f>
        <v>2020020628</v>
      </c>
      <c r="B179" s="2" t="s">
        <v>521</v>
      </c>
      <c r="C179" s="2">
        <v>6</v>
      </c>
      <c r="D179" s="2">
        <v>28</v>
      </c>
      <c r="E179" s="3">
        <v>58.1</v>
      </c>
    </row>
    <row r="180" ht="14.25" spans="1:5">
      <c r="A180" s="2" t="str">
        <f>"2020020629"</f>
        <v>2020020629</v>
      </c>
      <c r="B180" s="2" t="s">
        <v>521</v>
      </c>
      <c r="C180" s="2">
        <v>6</v>
      </c>
      <c r="D180" s="2">
        <v>29</v>
      </c>
      <c r="E180" s="3">
        <v>58.1</v>
      </c>
    </row>
    <row r="181" ht="14.25" spans="1:5">
      <c r="A181" s="2" t="str">
        <f>"2020020630"</f>
        <v>2020020630</v>
      </c>
      <c r="B181" s="2" t="s">
        <v>521</v>
      </c>
      <c r="C181" s="2">
        <v>6</v>
      </c>
      <c r="D181" s="2">
        <v>30</v>
      </c>
      <c r="E181" s="3">
        <v>69.1</v>
      </c>
    </row>
    <row r="182" ht="14.25" spans="1:5">
      <c r="A182" s="2" t="str">
        <f>"2020020701"</f>
        <v>2020020701</v>
      </c>
      <c r="B182" s="2" t="s">
        <v>521</v>
      </c>
      <c r="C182" s="2">
        <v>7</v>
      </c>
      <c r="D182" s="2">
        <v>1</v>
      </c>
      <c r="E182" s="3">
        <v>65.9</v>
      </c>
    </row>
    <row r="183" ht="14.25" spans="1:5">
      <c r="A183" s="2" t="str">
        <f>"2020020702"</f>
        <v>2020020702</v>
      </c>
      <c r="B183" s="2" t="s">
        <v>521</v>
      </c>
      <c r="C183" s="2">
        <v>7</v>
      </c>
      <c r="D183" s="2">
        <v>2</v>
      </c>
      <c r="E183" s="3">
        <v>64.6</v>
      </c>
    </row>
    <row r="184" ht="14.25" spans="1:5">
      <c r="A184" s="2" t="str">
        <f>"2020020703"</f>
        <v>2020020703</v>
      </c>
      <c r="B184" s="2" t="s">
        <v>521</v>
      </c>
      <c r="C184" s="2">
        <v>7</v>
      </c>
      <c r="D184" s="2">
        <v>3</v>
      </c>
      <c r="E184" s="3">
        <v>58</v>
      </c>
    </row>
    <row r="185" ht="14.25" spans="1:5">
      <c r="A185" s="2" t="str">
        <f>"2020020704"</f>
        <v>2020020704</v>
      </c>
      <c r="B185" s="2" t="s">
        <v>521</v>
      </c>
      <c r="C185" s="2">
        <v>7</v>
      </c>
      <c r="D185" s="2">
        <v>4</v>
      </c>
      <c r="E185" s="3">
        <v>63.3</v>
      </c>
    </row>
    <row r="186" ht="14.25" spans="1:5">
      <c r="A186" s="2" t="str">
        <f>"2020020705"</f>
        <v>2020020705</v>
      </c>
      <c r="B186" s="2" t="s">
        <v>521</v>
      </c>
      <c r="C186" s="2">
        <v>7</v>
      </c>
      <c r="D186" s="2">
        <v>5</v>
      </c>
      <c r="E186" s="3">
        <v>52.1</v>
      </c>
    </row>
    <row r="187" ht="14.25" spans="1:5">
      <c r="A187" s="2" t="str">
        <f>"2020020706"</f>
        <v>2020020706</v>
      </c>
      <c r="B187" s="2" t="s">
        <v>521</v>
      </c>
      <c r="C187" s="2">
        <v>7</v>
      </c>
      <c r="D187" s="2">
        <v>6</v>
      </c>
      <c r="E187" s="3">
        <v>51.2</v>
      </c>
    </row>
    <row r="188" ht="14.25" spans="1:5">
      <c r="A188" s="2" t="str">
        <f>"2020020707"</f>
        <v>2020020707</v>
      </c>
      <c r="B188" s="2" t="s">
        <v>521</v>
      </c>
      <c r="C188" s="2">
        <v>7</v>
      </c>
      <c r="D188" s="2">
        <v>7</v>
      </c>
      <c r="E188" s="3">
        <v>70.8</v>
      </c>
    </row>
    <row r="189" ht="14.25" spans="1:5">
      <c r="A189" s="2" t="str">
        <f>"2020020708"</f>
        <v>2020020708</v>
      </c>
      <c r="B189" s="2" t="s">
        <v>521</v>
      </c>
      <c r="C189" s="2">
        <v>7</v>
      </c>
      <c r="D189" s="2">
        <v>8</v>
      </c>
      <c r="E189" s="3">
        <v>53.8</v>
      </c>
    </row>
    <row r="190" ht="14.25" spans="1:5">
      <c r="A190" s="2" t="str">
        <f>"2020020709"</f>
        <v>2020020709</v>
      </c>
      <c r="B190" s="2" t="s">
        <v>521</v>
      </c>
      <c r="C190" s="2">
        <v>7</v>
      </c>
      <c r="D190" s="2">
        <v>9</v>
      </c>
      <c r="E190" s="3">
        <v>62.1</v>
      </c>
    </row>
    <row r="191" ht="14.25" spans="1:5">
      <c r="A191" s="2" t="str">
        <f>"2020020710"</f>
        <v>2020020710</v>
      </c>
      <c r="B191" s="2" t="s">
        <v>521</v>
      </c>
      <c r="C191" s="2">
        <v>7</v>
      </c>
      <c r="D191" s="2">
        <v>10</v>
      </c>
      <c r="E191" s="3">
        <v>67.2</v>
      </c>
    </row>
    <row r="192" ht="14.25" spans="1:5">
      <c r="A192" s="2" t="str">
        <f>"2020020711"</f>
        <v>2020020711</v>
      </c>
      <c r="B192" s="2" t="s">
        <v>521</v>
      </c>
      <c r="C192" s="2">
        <v>7</v>
      </c>
      <c r="D192" s="2">
        <v>11</v>
      </c>
      <c r="E192" s="3">
        <v>62.7</v>
      </c>
    </row>
    <row r="193" ht="14.25" spans="1:5">
      <c r="A193" s="2" t="str">
        <f>"2020020712"</f>
        <v>2020020712</v>
      </c>
      <c r="B193" s="2" t="s">
        <v>521</v>
      </c>
      <c r="C193" s="2">
        <v>7</v>
      </c>
      <c r="D193" s="2">
        <v>12</v>
      </c>
      <c r="E193" s="3">
        <v>57.7</v>
      </c>
    </row>
    <row r="194" ht="14.25" spans="1:5">
      <c r="A194" s="2" t="str">
        <f>"2020020713"</f>
        <v>2020020713</v>
      </c>
      <c r="B194" s="2" t="s">
        <v>521</v>
      </c>
      <c r="C194" s="2">
        <v>7</v>
      </c>
      <c r="D194" s="2">
        <v>13</v>
      </c>
      <c r="E194" s="3">
        <v>57.1</v>
      </c>
    </row>
    <row r="195" ht="14.25" spans="1:5">
      <c r="A195" s="2" t="str">
        <f>"2020020714"</f>
        <v>2020020714</v>
      </c>
      <c r="B195" s="2" t="s">
        <v>521</v>
      </c>
      <c r="C195" s="2">
        <v>7</v>
      </c>
      <c r="D195" s="2">
        <v>14</v>
      </c>
      <c r="E195" s="3">
        <v>61</v>
      </c>
    </row>
    <row r="196" ht="14.25" spans="1:5">
      <c r="A196" s="2" t="str">
        <f>"2020020715"</f>
        <v>2020020715</v>
      </c>
      <c r="B196" s="2" t="s">
        <v>521</v>
      </c>
      <c r="C196" s="2">
        <v>7</v>
      </c>
      <c r="D196" s="2">
        <v>15</v>
      </c>
      <c r="E196" s="3">
        <v>72.5</v>
      </c>
    </row>
    <row r="197" ht="14.25" spans="1:5">
      <c r="A197" s="2" t="str">
        <f>"2020020716"</f>
        <v>2020020716</v>
      </c>
      <c r="B197" s="2" t="s">
        <v>521</v>
      </c>
      <c r="C197" s="2">
        <v>7</v>
      </c>
      <c r="D197" s="2">
        <v>16</v>
      </c>
      <c r="E197" s="3" t="s">
        <v>16</v>
      </c>
    </row>
    <row r="198" ht="14.25" spans="1:5">
      <c r="A198" s="2" t="str">
        <f>"2020020717"</f>
        <v>2020020717</v>
      </c>
      <c r="B198" s="2" t="s">
        <v>521</v>
      </c>
      <c r="C198" s="2">
        <v>7</v>
      </c>
      <c r="D198" s="2">
        <v>17</v>
      </c>
      <c r="E198" s="3">
        <v>63.7</v>
      </c>
    </row>
    <row r="199" ht="14.25" spans="1:5">
      <c r="A199" s="2" t="str">
        <f>"2020020718"</f>
        <v>2020020718</v>
      </c>
      <c r="B199" s="2" t="s">
        <v>521</v>
      </c>
      <c r="C199" s="2">
        <v>7</v>
      </c>
      <c r="D199" s="2">
        <v>18</v>
      </c>
      <c r="E199" s="3">
        <v>68.2</v>
      </c>
    </row>
    <row r="200" ht="14.25" spans="1:5">
      <c r="A200" s="2" t="str">
        <f>"2020020719"</f>
        <v>2020020719</v>
      </c>
      <c r="B200" s="2" t="s">
        <v>521</v>
      </c>
      <c r="C200" s="2">
        <v>7</v>
      </c>
      <c r="D200" s="2">
        <v>19</v>
      </c>
      <c r="E200" s="3">
        <v>61</v>
      </c>
    </row>
    <row r="201" ht="14.25" spans="1:5">
      <c r="A201" s="2" t="str">
        <f>"2020020720"</f>
        <v>2020020720</v>
      </c>
      <c r="B201" s="2" t="s">
        <v>521</v>
      </c>
      <c r="C201" s="2">
        <v>7</v>
      </c>
      <c r="D201" s="2">
        <v>20</v>
      </c>
      <c r="E201" s="3">
        <v>49.9</v>
      </c>
    </row>
    <row r="202" ht="14.25" spans="1:5">
      <c r="A202" s="2" t="str">
        <f>"2020020721"</f>
        <v>2020020721</v>
      </c>
      <c r="B202" s="2" t="s">
        <v>521</v>
      </c>
      <c r="C202" s="2">
        <v>7</v>
      </c>
      <c r="D202" s="2">
        <v>21</v>
      </c>
      <c r="E202" s="3">
        <v>65.9</v>
      </c>
    </row>
    <row r="203" ht="14.25" spans="1:5">
      <c r="A203" s="2" t="str">
        <f>"2020020722"</f>
        <v>2020020722</v>
      </c>
      <c r="B203" s="2" t="s">
        <v>521</v>
      </c>
      <c r="C203" s="2">
        <v>7</v>
      </c>
      <c r="D203" s="2">
        <v>22</v>
      </c>
      <c r="E203" s="3">
        <v>66.2</v>
      </c>
    </row>
    <row r="204" ht="14.25" spans="1:5">
      <c r="A204" s="2" t="str">
        <f>"2020020723"</f>
        <v>2020020723</v>
      </c>
      <c r="B204" s="2" t="s">
        <v>521</v>
      </c>
      <c r="C204" s="2">
        <v>7</v>
      </c>
      <c r="D204" s="2">
        <v>23</v>
      </c>
      <c r="E204" s="3">
        <v>66</v>
      </c>
    </row>
    <row r="205" ht="14.25" spans="1:5">
      <c r="A205" s="2" t="str">
        <f>"2020020724"</f>
        <v>2020020724</v>
      </c>
      <c r="B205" s="2" t="s">
        <v>521</v>
      </c>
      <c r="C205" s="2">
        <v>7</v>
      </c>
      <c r="D205" s="2">
        <v>24</v>
      </c>
      <c r="E205" s="3">
        <v>56.1</v>
      </c>
    </row>
    <row r="206" ht="14.25" spans="1:5">
      <c r="A206" s="2" t="str">
        <f>"2020020725"</f>
        <v>2020020725</v>
      </c>
      <c r="B206" s="2" t="s">
        <v>521</v>
      </c>
      <c r="C206" s="2">
        <v>7</v>
      </c>
      <c r="D206" s="2">
        <v>25</v>
      </c>
      <c r="E206" s="3">
        <v>55.5</v>
      </c>
    </row>
    <row r="207" ht="14.25" spans="1:5">
      <c r="A207" s="2" t="str">
        <f>"2020020726"</f>
        <v>2020020726</v>
      </c>
      <c r="B207" s="2" t="s">
        <v>521</v>
      </c>
      <c r="C207" s="2">
        <v>7</v>
      </c>
      <c r="D207" s="2">
        <v>26</v>
      </c>
      <c r="E207" s="3" t="s">
        <v>16</v>
      </c>
    </row>
    <row r="208" ht="14.25" spans="1:5">
      <c r="A208" s="2" t="str">
        <f>"2020020727"</f>
        <v>2020020727</v>
      </c>
      <c r="B208" s="2" t="s">
        <v>521</v>
      </c>
      <c r="C208" s="2">
        <v>7</v>
      </c>
      <c r="D208" s="2">
        <v>27</v>
      </c>
      <c r="E208" s="3" t="s">
        <v>16</v>
      </c>
    </row>
    <row r="209" ht="14.25" spans="1:5">
      <c r="A209" s="2" t="str">
        <f>"2020020728"</f>
        <v>2020020728</v>
      </c>
      <c r="B209" s="2" t="s">
        <v>521</v>
      </c>
      <c r="C209" s="2">
        <v>7</v>
      </c>
      <c r="D209" s="2">
        <v>28</v>
      </c>
      <c r="E209" s="3">
        <v>71.5</v>
      </c>
    </row>
    <row r="210" ht="14.25" spans="1:5">
      <c r="A210" s="2" t="str">
        <f>"2020020729"</f>
        <v>2020020729</v>
      </c>
      <c r="B210" s="2" t="s">
        <v>521</v>
      </c>
      <c r="C210" s="2">
        <v>7</v>
      </c>
      <c r="D210" s="2">
        <v>29</v>
      </c>
      <c r="E210" s="3">
        <v>61.6</v>
      </c>
    </row>
    <row r="211" ht="14.25" spans="1:5">
      <c r="A211" s="2" t="str">
        <f>"2020020730"</f>
        <v>2020020730</v>
      </c>
      <c r="B211" s="2" t="s">
        <v>521</v>
      </c>
      <c r="C211" s="2">
        <v>7</v>
      </c>
      <c r="D211" s="2">
        <v>30</v>
      </c>
      <c r="E211" s="3" t="s">
        <v>16</v>
      </c>
    </row>
    <row r="212" ht="14.25" spans="1:5">
      <c r="A212" s="2" t="str">
        <f>"2020020801"</f>
        <v>2020020801</v>
      </c>
      <c r="B212" s="2" t="s">
        <v>521</v>
      </c>
      <c r="C212" s="2">
        <v>8</v>
      </c>
      <c r="D212" s="2">
        <v>1</v>
      </c>
      <c r="E212" s="3">
        <v>66.2</v>
      </c>
    </row>
    <row r="213" ht="14.25" spans="1:5">
      <c r="A213" s="2" t="str">
        <f>"2020020802"</f>
        <v>2020020802</v>
      </c>
      <c r="B213" s="2" t="s">
        <v>521</v>
      </c>
      <c r="C213" s="2">
        <v>8</v>
      </c>
      <c r="D213" s="2">
        <v>2</v>
      </c>
      <c r="E213" s="3" t="s">
        <v>16</v>
      </c>
    </row>
    <row r="214" ht="14.25" spans="1:5">
      <c r="A214" s="2" t="str">
        <f>"2020020803"</f>
        <v>2020020803</v>
      </c>
      <c r="B214" s="2" t="s">
        <v>521</v>
      </c>
      <c r="C214" s="2">
        <v>8</v>
      </c>
      <c r="D214" s="2">
        <v>3</v>
      </c>
      <c r="E214" s="3">
        <v>60.9</v>
      </c>
    </row>
    <row r="215" ht="14.25" spans="1:5">
      <c r="A215" s="2" t="str">
        <f>"2020020804"</f>
        <v>2020020804</v>
      </c>
      <c r="B215" s="2" t="s">
        <v>521</v>
      </c>
      <c r="C215" s="2">
        <v>8</v>
      </c>
      <c r="D215" s="2">
        <v>4</v>
      </c>
      <c r="E215" s="3" t="s">
        <v>16</v>
      </c>
    </row>
    <row r="216" ht="14.25" spans="1:5">
      <c r="A216" s="2" t="str">
        <f>"2020020805"</f>
        <v>2020020805</v>
      </c>
      <c r="B216" s="2" t="s">
        <v>521</v>
      </c>
      <c r="C216" s="2">
        <v>8</v>
      </c>
      <c r="D216" s="2">
        <v>5</v>
      </c>
      <c r="E216" s="3">
        <v>65.3</v>
      </c>
    </row>
    <row r="217" ht="14.25" spans="1:5">
      <c r="A217" s="2" t="str">
        <f>"2020020806"</f>
        <v>2020020806</v>
      </c>
      <c r="B217" s="2" t="s">
        <v>521</v>
      </c>
      <c r="C217" s="2">
        <v>8</v>
      </c>
      <c r="D217" s="2">
        <v>6</v>
      </c>
      <c r="E217" s="3" t="s">
        <v>16</v>
      </c>
    </row>
    <row r="218" ht="14.25" spans="1:5">
      <c r="A218" s="2" t="str">
        <f>"2020020807"</f>
        <v>2020020807</v>
      </c>
      <c r="B218" s="2" t="s">
        <v>521</v>
      </c>
      <c r="C218" s="2">
        <v>8</v>
      </c>
      <c r="D218" s="2">
        <v>7</v>
      </c>
      <c r="E218" s="3" t="s">
        <v>16</v>
      </c>
    </row>
    <row r="219" ht="14.25" spans="1:5">
      <c r="A219" s="2" t="str">
        <f>"2020020808"</f>
        <v>2020020808</v>
      </c>
      <c r="B219" s="2" t="s">
        <v>521</v>
      </c>
      <c r="C219" s="2">
        <v>8</v>
      </c>
      <c r="D219" s="2">
        <v>8</v>
      </c>
      <c r="E219" s="3">
        <v>64.3</v>
      </c>
    </row>
    <row r="220" ht="14.25" spans="1:5">
      <c r="A220" s="2" t="str">
        <f>"2020020809"</f>
        <v>2020020809</v>
      </c>
      <c r="B220" s="2" t="s">
        <v>521</v>
      </c>
      <c r="C220" s="2">
        <v>8</v>
      </c>
      <c r="D220" s="2">
        <v>9</v>
      </c>
      <c r="E220" s="3" t="s">
        <v>16</v>
      </c>
    </row>
    <row r="221" ht="14.25" spans="1:5">
      <c r="A221" s="2" t="str">
        <f>"2020020810"</f>
        <v>2020020810</v>
      </c>
      <c r="B221" s="2" t="s">
        <v>521</v>
      </c>
      <c r="C221" s="2">
        <v>8</v>
      </c>
      <c r="D221" s="2">
        <v>10</v>
      </c>
      <c r="E221" s="3">
        <v>58.7</v>
      </c>
    </row>
    <row r="222" ht="14.25" spans="1:5">
      <c r="A222" s="2" t="str">
        <f>"2020020811"</f>
        <v>2020020811</v>
      </c>
      <c r="B222" s="2" t="s">
        <v>521</v>
      </c>
      <c r="C222" s="2">
        <v>8</v>
      </c>
      <c r="D222" s="2">
        <v>11</v>
      </c>
      <c r="E222" s="3" t="s">
        <v>16</v>
      </c>
    </row>
    <row r="223" ht="14.25" spans="1:5">
      <c r="A223" s="2" t="str">
        <f>"2020020812"</f>
        <v>2020020812</v>
      </c>
      <c r="B223" s="2" t="s">
        <v>521</v>
      </c>
      <c r="C223" s="2">
        <v>8</v>
      </c>
      <c r="D223" s="2">
        <v>12</v>
      </c>
      <c r="E223" s="3" t="s">
        <v>16</v>
      </c>
    </row>
    <row r="224" ht="14.25" spans="1:5">
      <c r="A224" s="2" t="str">
        <f>"2020020813"</f>
        <v>2020020813</v>
      </c>
      <c r="B224" s="2" t="s">
        <v>521</v>
      </c>
      <c r="C224" s="2">
        <v>8</v>
      </c>
      <c r="D224" s="2">
        <v>13</v>
      </c>
      <c r="E224" s="3">
        <v>67.6</v>
      </c>
    </row>
    <row r="225" ht="14.25" spans="1:5">
      <c r="A225" s="2" t="str">
        <f>"2020020814"</f>
        <v>2020020814</v>
      </c>
      <c r="B225" s="2" t="s">
        <v>521</v>
      </c>
      <c r="C225" s="2">
        <v>8</v>
      </c>
      <c r="D225" s="2">
        <v>14</v>
      </c>
      <c r="E225" s="3">
        <v>70.2</v>
      </c>
    </row>
    <row r="226" ht="14.25" spans="1:5">
      <c r="A226" s="2" t="str">
        <f>"2020020815"</f>
        <v>2020020815</v>
      </c>
      <c r="B226" s="2" t="s">
        <v>521</v>
      </c>
      <c r="C226" s="2">
        <v>8</v>
      </c>
      <c r="D226" s="2">
        <v>15</v>
      </c>
      <c r="E226" s="3">
        <v>59.8</v>
      </c>
    </row>
    <row r="227" ht="14.25" spans="1:5">
      <c r="A227" s="2" t="str">
        <f>"2020020816"</f>
        <v>2020020816</v>
      </c>
      <c r="B227" s="2" t="s">
        <v>521</v>
      </c>
      <c r="C227" s="2">
        <v>8</v>
      </c>
      <c r="D227" s="2">
        <v>16</v>
      </c>
      <c r="E227" s="3" t="s">
        <v>16</v>
      </c>
    </row>
    <row r="228" ht="14.25" spans="1:5">
      <c r="A228" s="2" t="str">
        <f>"2020020817"</f>
        <v>2020020817</v>
      </c>
      <c r="B228" s="2" t="s">
        <v>521</v>
      </c>
      <c r="C228" s="2">
        <v>8</v>
      </c>
      <c r="D228" s="2">
        <v>17</v>
      </c>
      <c r="E228" s="3">
        <v>53.6</v>
      </c>
    </row>
    <row r="229" ht="14.25" spans="1:5">
      <c r="A229" s="2" t="str">
        <f>"2020020818"</f>
        <v>2020020818</v>
      </c>
      <c r="B229" s="2" t="s">
        <v>521</v>
      </c>
      <c r="C229" s="2">
        <v>8</v>
      </c>
      <c r="D229" s="2">
        <v>18</v>
      </c>
      <c r="E229" s="3">
        <v>60.7</v>
      </c>
    </row>
    <row r="230" ht="14.25" spans="1:5">
      <c r="A230" s="2" t="str">
        <f>"2020020819"</f>
        <v>2020020819</v>
      </c>
      <c r="B230" s="2" t="s">
        <v>521</v>
      </c>
      <c r="C230" s="2">
        <v>8</v>
      </c>
      <c r="D230" s="2">
        <v>19</v>
      </c>
      <c r="E230" s="3">
        <v>47.9</v>
      </c>
    </row>
    <row r="231" ht="14.25" spans="1:5">
      <c r="A231" s="2" t="str">
        <f>"2020020820"</f>
        <v>2020020820</v>
      </c>
      <c r="B231" s="2" t="s">
        <v>521</v>
      </c>
      <c r="C231" s="2">
        <v>8</v>
      </c>
      <c r="D231" s="2">
        <v>20</v>
      </c>
      <c r="E231" s="3" t="s">
        <v>16</v>
      </c>
    </row>
    <row r="232" ht="14.25" spans="1:5">
      <c r="A232" s="2" t="str">
        <f>"2020020821"</f>
        <v>2020020821</v>
      </c>
      <c r="B232" s="2" t="s">
        <v>521</v>
      </c>
      <c r="C232" s="2">
        <v>8</v>
      </c>
      <c r="D232" s="2">
        <v>21</v>
      </c>
      <c r="E232" s="3" t="s">
        <v>16</v>
      </c>
    </row>
    <row r="233" ht="14.25" spans="1:5">
      <c r="A233" s="2" t="str">
        <f>"2020020822"</f>
        <v>2020020822</v>
      </c>
      <c r="B233" s="2" t="s">
        <v>521</v>
      </c>
      <c r="C233" s="2">
        <v>8</v>
      </c>
      <c r="D233" s="2">
        <v>22</v>
      </c>
      <c r="E233" s="3">
        <v>71.5</v>
      </c>
    </row>
    <row r="234" ht="14.25" spans="1:5">
      <c r="A234" s="2" t="str">
        <f>"2020020823"</f>
        <v>2020020823</v>
      </c>
      <c r="B234" s="2" t="s">
        <v>521</v>
      </c>
      <c r="C234" s="2">
        <v>8</v>
      </c>
      <c r="D234" s="2">
        <v>23</v>
      </c>
      <c r="E234" s="3" t="s">
        <v>16</v>
      </c>
    </row>
    <row r="235" ht="14.25" spans="1:5">
      <c r="A235" s="2" t="str">
        <f>"2020020824"</f>
        <v>2020020824</v>
      </c>
      <c r="B235" s="2" t="s">
        <v>521</v>
      </c>
      <c r="C235" s="2">
        <v>8</v>
      </c>
      <c r="D235" s="2">
        <v>24</v>
      </c>
      <c r="E235" s="3">
        <v>59.8</v>
      </c>
    </row>
    <row r="236" ht="14.25" spans="1:5">
      <c r="A236" s="2" t="str">
        <f>"2020020825"</f>
        <v>2020020825</v>
      </c>
      <c r="B236" s="2" t="s">
        <v>521</v>
      </c>
      <c r="C236" s="2">
        <v>8</v>
      </c>
      <c r="D236" s="2">
        <v>25</v>
      </c>
      <c r="E236" s="3">
        <v>72.7</v>
      </c>
    </row>
    <row r="237" ht="14.25" spans="1:5">
      <c r="A237" s="2" t="str">
        <f>"2020020826"</f>
        <v>2020020826</v>
      </c>
      <c r="B237" s="2" t="s">
        <v>521</v>
      </c>
      <c r="C237" s="2">
        <v>8</v>
      </c>
      <c r="D237" s="2">
        <v>26</v>
      </c>
      <c r="E237" s="3">
        <v>62</v>
      </c>
    </row>
    <row r="238" ht="14.25" spans="1:5">
      <c r="A238" s="2" t="str">
        <f>"2020020827"</f>
        <v>2020020827</v>
      </c>
      <c r="B238" s="2" t="s">
        <v>521</v>
      </c>
      <c r="C238" s="2">
        <v>8</v>
      </c>
      <c r="D238" s="2">
        <v>27</v>
      </c>
      <c r="E238" s="3">
        <v>55.2</v>
      </c>
    </row>
    <row r="239" ht="14.25" spans="1:5">
      <c r="A239" s="2" t="str">
        <f>"2020020828"</f>
        <v>2020020828</v>
      </c>
      <c r="B239" s="2" t="s">
        <v>521</v>
      </c>
      <c r="C239" s="2">
        <v>8</v>
      </c>
      <c r="D239" s="2">
        <v>28</v>
      </c>
      <c r="E239" s="3">
        <v>56.1</v>
      </c>
    </row>
    <row r="240" ht="14.25" spans="1:5">
      <c r="A240" s="2" t="str">
        <f>"2020020829"</f>
        <v>2020020829</v>
      </c>
      <c r="B240" s="2" t="s">
        <v>521</v>
      </c>
      <c r="C240" s="2">
        <v>8</v>
      </c>
      <c r="D240" s="2">
        <v>29</v>
      </c>
      <c r="E240" s="3">
        <v>72.4</v>
      </c>
    </row>
    <row r="241" ht="14.25" spans="1:5">
      <c r="A241" s="2" t="str">
        <f>"2020020830"</f>
        <v>2020020830</v>
      </c>
      <c r="B241" s="2" t="s">
        <v>521</v>
      </c>
      <c r="C241" s="2">
        <v>8</v>
      </c>
      <c r="D241" s="2">
        <v>30</v>
      </c>
      <c r="E241" s="3">
        <v>54.5</v>
      </c>
    </row>
    <row r="242" ht="14.25" spans="1:5">
      <c r="A242" s="2" t="str">
        <f>"2020020901"</f>
        <v>2020020901</v>
      </c>
      <c r="B242" s="2" t="s">
        <v>521</v>
      </c>
      <c r="C242" s="2">
        <v>9</v>
      </c>
      <c r="D242" s="2">
        <v>1</v>
      </c>
      <c r="E242" s="3">
        <v>55.5</v>
      </c>
    </row>
    <row r="243" ht="14.25" spans="1:5">
      <c r="A243" s="2" t="str">
        <f>"2020020902"</f>
        <v>2020020902</v>
      </c>
      <c r="B243" s="2" t="s">
        <v>521</v>
      </c>
      <c r="C243" s="2">
        <v>9</v>
      </c>
      <c r="D243" s="2">
        <v>2</v>
      </c>
      <c r="E243" s="3">
        <v>57.8</v>
      </c>
    </row>
    <row r="244" ht="14.25" spans="1:5">
      <c r="A244" s="2" t="str">
        <f>"2020020903"</f>
        <v>2020020903</v>
      </c>
      <c r="B244" s="2" t="s">
        <v>521</v>
      </c>
      <c r="C244" s="2">
        <v>9</v>
      </c>
      <c r="D244" s="2">
        <v>3</v>
      </c>
      <c r="E244" s="3" t="s">
        <v>16</v>
      </c>
    </row>
    <row r="245" ht="14.25" spans="1:5">
      <c r="A245" s="2" t="str">
        <f>"2020020904"</f>
        <v>2020020904</v>
      </c>
      <c r="B245" s="2" t="s">
        <v>521</v>
      </c>
      <c r="C245" s="2">
        <v>9</v>
      </c>
      <c r="D245" s="2">
        <v>4</v>
      </c>
      <c r="E245" s="3">
        <v>52.4</v>
      </c>
    </row>
    <row r="246" ht="14.25" spans="1:5">
      <c r="A246" s="2" t="str">
        <f>"2020020905"</f>
        <v>2020020905</v>
      </c>
      <c r="B246" s="2" t="s">
        <v>521</v>
      </c>
      <c r="C246" s="2">
        <v>9</v>
      </c>
      <c r="D246" s="2">
        <v>5</v>
      </c>
      <c r="E246" s="3" t="s">
        <v>16</v>
      </c>
    </row>
    <row r="247" ht="14.25" spans="1:5">
      <c r="A247" s="2" t="str">
        <f>"2020020906"</f>
        <v>2020020906</v>
      </c>
      <c r="B247" s="2" t="s">
        <v>521</v>
      </c>
      <c r="C247" s="2">
        <v>9</v>
      </c>
      <c r="D247" s="2">
        <v>6</v>
      </c>
      <c r="E247" s="3">
        <v>69.8</v>
      </c>
    </row>
    <row r="248" ht="14.25" spans="1:5">
      <c r="A248" s="2" t="str">
        <f>"2020020907"</f>
        <v>2020020907</v>
      </c>
      <c r="B248" s="2" t="s">
        <v>521</v>
      </c>
      <c r="C248" s="2">
        <v>9</v>
      </c>
      <c r="D248" s="2">
        <v>7</v>
      </c>
      <c r="E248" s="3">
        <v>70.8</v>
      </c>
    </row>
    <row r="249" ht="14.25" spans="1:5">
      <c r="A249" s="2" t="str">
        <f>"2020020908"</f>
        <v>2020020908</v>
      </c>
      <c r="B249" s="2" t="s">
        <v>521</v>
      </c>
      <c r="C249" s="2">
        <v>9</v>
      </c>
      <c r="D249" s="2">
        <v>8</v>
      </c>
      <c r="E249" s="3">
        <v>66.2</v>
      </c>
    </row>
    <row r="250" ht="14.25" spans="1:5">
      <c r="A250" s="2" t="str">
        <f>"2020020909"</f>
        <v>2020020909</v>
      </c>
      <c r="B250" s="2" t="s">
        <v>521</v>
      </c>
      <c r="C250" s="2">
        <v>9</v>
      </c>
      <c r="D250" s="2">
        <v>9</v>
      </c>
      <c r="E250" s="3" t="s">
        <v>16</v>
      </c>
    </row>
    <row r="251" ht="14.25" spans="1:5">
      <c r="A251" s="2" t="str">
        <f>"2020020910"</f>
        <v>2020020910</v>
      </c>
      <c r="B251" s="2" t="s">
        <v>521</v>
      </c>
      <c r="C251" s="2">
        <v>9</v>
      </c>
      <c r="D251" s="2">
        <v>10</v>
      </c>
      <c r="E251" s="3" t="s">
        <v>16</v>
      </c>
    </row>
    <row r="252" ht="14.25" spans="1:5">
      <c r="A252" s="2" t="str">
        <f>"2020020911"</f>
        <v>2020020911</v>
      </c>
      <c r="B252" s="2" t="s">
        <v>521</v>
      </c>
      <c r="C252" s="2">
        <v>9</v>
      </c>
      <c r="D252" s="2">
        <v>11</v>
      </c>
      <c r="E252" s="3">
        <v>58.4</v>
      </c>
    </row>
    <row r="253" ht="14.25" spans="1:5">
      <c r="A253" s="2" t="str">
        <f>"2020020912"</f>
        <v>2020020912</v>
      </c>
      <c r="B253" s="2" t="s">
        <v>521</v>
      </c>
      <c r="C253" s="2">
        <v>9</v>
      </c>
      <c r="D253" s="2">
        <v>12</v>
      </c>
      <c r="E253" s="3">
        <v>50.9</v>
      </c>
    </row>
    <row r="254" ht="14.25" spans="1:5">
      <c r="A254" s="2" t="str">
        <f>"2020020913"</f>
        <v>2020020913</v>
      </c>
      <c r="B254" s="2" t="s">
        <v>521</v>
      </c>
      <c r="C254" s="2">
        <v>9</v>
      </c>
      <c r="D254" s="2">
        <v>13</v>
      </c>
      <c r="E254" s="3">
        <v>64.6</v>
      </c>
    </row>
    <row r="255" ht="14.25" spans="1:5">
      <c r="A255" s="2" t="str">
        <f>"2020020914"</f>
        <v>2020020914</v>
      </c>
      <c r="B255" s="2" t="s">
        <v>521</v>
      </c>
      <c r="C255" s="2">
        <v>9</v>
      </c>
      <c r="D255" s="2">
        <v>14</v>
      </c>
      <c r="E255" s="3" t="s">
        <v>16</v>
      </c>
    </row>
    <row r="256" ht="14.25" spans="1:5">
      <c r="A256" s="2" t="str">
        <f>"2020020915"</f>
        <v>2020020915</v>
      </c>
      <c r="B256" s="2" t="s">
        <v>521</v>
      </c>
      <c r="C256" s="2">
        <v>9</v>
      </c>
      <c r="D256" s="2">
        <v>15</v>
      </c>
      <c r="E256" s="3">
        <v>66.2</v>
      </c>
    </row>
    <row r="257" ht="14.25" spans="1:5">
      <c r="A257" s="2" t="str">
        <f>"2020020916"</f>
        <v>2020020916</v>
      </c>
      <c r="B257" s="2" t="s">
        <v>521</v>
      </c>
      <c r="C257" s="2">
        <v>9</v>
      </c>
      <c r="D257" s="2">
        <v>16</v>
      </c>
      <c r="E257" s="3" t="s">
        <v>16</v>
      </c>
    </row>
    <row r="258" ht="14.25" spans="1:5">
      <c r="A258" s="2" t="str">
        <f>"2020020917"</f>
        <v>2020020917</v>
      </c>
      <c r="B258" s="2" t="s">
        <v>521</v>
      </c>
      <c r="C258" s="2">
        <v>9</v>
      </c>
      <c r="D258" s="2">
        <v>17</v>
      </c>
      <c r="E258" s="3">
        <v>58.4</v>
      </c>
    </row>
    <row r="259" ht="14.25" spans="1:5">
      <c r="A259" s="2" t="str">
        <f>"2020020918"</f>
        <v>2020020918</v>
      </c>
      <c r="B259" s="2" t="s">
        <v>521</v>
      </c>
      <c r="C259" s="2">
        <v>9</v>
      </c>
      <c r="D259" s="2">
        <v>18</v>
      </c>
      <c r="E259" s="3">
        <v>66.2</v>
      </c>
    </row>
    <row r="260" ht="14.25" spans="1:5">
      <c r="A260" s="2" t="str">
        <f>"2020020919"</f>
        <v>2020020919</v>
      </c>
      <c r="B260" s="2" t="s">
        <v>521</v>
      </c>
      <c r="C260" s="2">
        <v>9</v>
      </c>
      <c r="D260" s="2">
        <v>19</v>
      </c>
      <c r="E260" s="3" t="s">
        <v>16</v>
      </c>
    </row>
    <row r="261" ht="14.25" spans="1:5">
      <c r="A261" s="2" t="str">
        <f>"2020020920"</f>
        <v>2020020920</v>
      </c>
      <c r="B261" s="2" t="s">
        <v>521</v>
      </c>
      <c r="C261" s="2">
        <v>9</v>
      </c>
      <c r="D261" s="2">
        <v>20</v>
      </c>
      <c r="E261" s="3" t="s">
        <v>16</v>
      </c>
    </row>
    <row r="262" ht="14.25" spans="1:5">
      <c r="A262" s="2" t="str">
        <f>"2020020921"</f>
        <v>2020020921</v>
      </c>
      <c r="B262" s="2" t="s">
        <v>521</v>
      </c>
      <c r="C262" s="2">
        <v>9</v>
      </c>
      <c r="D262" s="2">
        <v>21</v>
      </c>
      <c r="E262" s="3">
        <v>73.5</v>
      </c>
    </row>
    <row r="263" ht="14.25" spans="1:5">
      <c r="A263" s="2" t="str">
        <f>"2020020922"</f>
        <v>2020020922</v>
      </c>
      <c r="B263" s="2" t="s">
        <v>521</v>
      </c>
      <c r="C263" s="2">
        <v>9</v>
      </c>
      <c r="D263" s="2">
        <v>22</v>
      </c>
      <c r="E263" s="3" t="s">
        <v>16</v>
      </c>
    </row>
    <row r="264" ht="14.25" spans="1:5">
      <c r="A264" s="2" t="str">
        <f>"2020020923"</f>
        <v>2020020923</v>
      </c>
      <c r="B264" s="2" t="s">
        <v>521</v>
      </c>
      <c r="C264" s="2">
        <v>9</v>
      </c>
      <c r="D264" s="2">
        <v>23</v>
      </c>
      <c r="E264" s="3" t="s">
        <v>16</v>
      </c>
    </row>
    <row r="265" ht="14.25" spans="1:5">
      <c r="A265" s="2" t="str">
        <f>"2020020924"</f>
        <v>2020020924</v>
      </c>
      <c r="B265" s="2" t="s">
        <v>521</v>
      </c>
      <c r="C265" s="2">
        <v>9</v>
      </c>
      <c r="D265" s="2">
        <v>24</v>
      </c>
      <c r="E265" s="3">
        <v>57.1</v>
      </c>
    </row>
    <row r="266" ht="14.25" spans="1:5">
      <c r="A266" s="2" t="str">
        <f>"2020020925"</f>
        <v>2020020925</v>
      </c>
      <c r="B266" s="2" t="s">
        <v>521</v>
      </c>
      <c r="C266" s="2">
        <v>9</v>
      </c>
      <c r="D266" s="2">
        <v>25</v>
      </c>
      <c r="E266" s="3" t="s">
        <v>16</v>
      </c>
    </row>
    <row r="267" ht="14.25" spans="1:5">
      <c r="A267" s="2" t="str">
        <f>"2020020926"</f>
        <v>2020020926</v>
      </c>
      <c r="B267" s="2" t="s">
        <v>521</v>
      </c>
      <c r="C267" s="2">
        <v>9</v>
      </c>
      <c r="D267" s="2">
        <v>26</v>
      </c>
      <c r="E267" s="3">
        <v>31.2</v>
      </c>
    </row>
    <row r="268" ht="14.25" spans="1:5">
      <c r="A268" s="2" t="str">
        <f>"2020020927"</f>
        <v>2020020927</v>
      </c>
      <c r="B268" s="2" t="s">
        <v>521</v>
      </c>
      <c r="C268" s="2">
        <v>9</v>
      </c>
      <c r="D268" s="2">
        <v>27</v>
      </c>
      <c r="E268" s="3">
        <v>74.1</v>
      </c>
    </row>
    <row r="269" ht="14.25" spans="1:5">
      <c r="A269" s="2" t="str">
        <f>"2020020928"</f>
        <v>2020020928</v>
      </c>
      <c r="B269" s="2" t="s">
        <v>521</v>
      </c>
      <c r="C269" s="2">
        <v>9</v>
      </c>
      <c r="D269" s="2">
        <v>28</v>
      </c>
      <c r="E269" s="3" t="s">
        <v>16</v>
      </c>
    </row>
    <row r="270" ht="14.25" spans="1:5">
      <c r="A270" s="2" t="str">
        <f>"2020020929"</f>
        <v>2020020929</v>
      </c>
      <c r="B270" s="2" t="s">
        <v>521</v>
      </c>
      <c r="C270" s="2">
        <v>9</v>
      </c>
      <c r="D270" s="2">
        <v>29</v>
      </c>
      <c r="E270" s="3" t="s">
        <v>16</v>
      </c>
    </row>
    <row r="271" ht="14.25" spans="1:5">
      <c r="A271" s="2" t="str">
        <f>"2020020930"</f>
        <v>2020020930</v>
      </c>
      <c r="B271" s="2" t="s">
        <v>521</v>
      </c>
      <c r="C271" s="2">
        <v>9</v>
      </c>
      <c r="D271" s="2">
        <v>30</v>
      </c>
      <c r="E271" s="3" t="s">
        <v>16</v>
      </c>
    </row>
    <row r="272" ht="14.25" spans="1:5">
      <c r="A272" s="2" t="str">
        <f>"2020021001"</f>
        <v>2020021001</v>
      </c>
      <c r="B272" s="2" t="s">
        <v>521</v>
      </c>
      <c r="C272" s="2">
        <v>10</v>
      </c>
      <c r="D272" s="2">
        <v>1</v>
      </c>
      <c r="E272" s="3" t="s">
        <v>16</v>
      </c>
    </row>
    <row r="273" ht="14.25" spans="1:5">
      <c r="A273" s="2" t="str">
        <f>"2020021002"</f>
        <v>2020021002</v>
      </c>
      <c r="B273" s="2" t="s">
        <v>521</v>
      </c>
      <c r="C273" s="2">
        <v>10</v>
      </c>
      <c r="D273" s="2">
        <v>2</v>
      </c>
      <c r="E273" s="3">
        <v>50.9</v>
      </c>
    </row>
    <row r="274" ht="14.25" spans="1:5">
      <c r="A274" s="2" t="str">
        <f>"2020021003"</f>
        <v>2020021003</v>
      </c>
      <c r="B274" s="2" t="s">
        <v>521</v>
      </c>
      <c r="C274" s="2">
        <v>10</v>
      </c>
      <c r="D274" s="2">
        <v>3</v>
      </c>
      <c r="E274" s="3">
        <v>59</v>
      </c>
    </row>
    <row r="275" ht="14.25" spans="1:5">
      <c r="A275" s="2" t="str">
        <f>"2020021004"</f>
        <v>2020021004</v>
      </c>
      <c r="B275" s="2" t="s">
        <v>521</v>
      </c>
      <c r="C275" s="2">
        <v>10</v>
      </c>
      <c r="D275" s="2">
        <v>4</v>
      </c>
      <c r="E275" s="3">
        <v>62.3</v>
      </c>
    </row>
    <row r="276" ht="14.25" spans="1:5">
      <c r="A276" s="2" t="str">
        <f>"2020021005"</f>
        <v>2020021005</v>
      </c>
      <c r="B276" s="2" t="s">
        <v>521</v>
      </c>
      <c r="C276" s="2">
        <v>10</v>
      </c>
      <c r="D276" s="2">
        <v>5</v>
      </c>
      <c r="E276" s="3" t="s">
        <v>16</v>
      </c>
    </row>
    <row r="277" ht="14.25" spans="1:5">
      <c r="A277" s="2" t="str">
        <f>"2020021006"</f>
        <v>2020021006</v>
      </c>
      <c r="B277" s="2" t="s">
        <v>521</v>
      </c>
      <c r="C277" s="2">
        <v>10</v>
      </c>
      <c r="D277" s="2">
        <v>6</v>
      </c>
      <c r="E277" s="3">
        <v>60.4</v>
      </c>
    </row>
    <row r="278" ht="14.25" spans="1:5">
      <c r="A278" s="2" t="str">
        <f>"2020021007"</f>
        <v>2020021007</v>
      </c>
      <c r="B278" s="2" t="s">
        <v>521</v>
      </c>
      <c r="C278" s="2">
        <v>10</v>
      </c>
      <c r="D278" s="2">
        <v>7</v>
      </c>
      <c r="E278" s="3">
        <v>72.1</v>
      </c>
    </row>
    <row r="279" ht="14.25" spans="1:5">
      <c r="A279" s="2" t="str">
        <f>"2020021008"</f>
        <v>2020021008</v>
      </c>
      <c r="B279" s="2" t="s">
        <v>521</v>
      </c>
      <c r="C279" s="2">
        <v>10</v>
      </c>
      <c r="D279" s="2">
        <v>8</v>
      </c>
      <c r="E279" s="3">
        <v>49.3</v>
      </c>
    </row>
    <row r="280" ht="14.25" spans="1:5">
      <c r="A280" s="2" t="str">
        <f>"2020021009"</f>
        <v>2020021009</v>
      </c>
      <c r="B280" s="2" t="s">
        <v>521</v>
      </c>
      <c r="C280" s="2">
        <v>10</v>
      </c>
      <c r="D280" s="2">
        <v>9</v>
      </c>
      <c r="E280" s="3">
        <v>72.1</v>
      </c>
    </row>
    <row r="281" ht="14.25" spans="1:5">
      <c r="A281" s="2" t="str">
        <f>"2020021010"</f>
        <v>2020021010</v>
      </c>
      <c r="B281" s="2" t="s">
        <v>521</v>
      </c>
      <c r="C281" s="2">
        <v>10</v>
      </c>
      <c r="D281" s="2">
        <v>10</v>
      </c>
      <c r="E281" s="3">
        <v>77.4</v>
      </c>
    </row>
    <row r="282" ht="14.25" spans="1:5">
      <c r="A282" s="2" t="str">
        <f>"2020021011"</f>
        <v>2020021011</v>
      </c>
      <c r="B282" s="2" t="s">
        <v>521</v>
      </c>
      <c r="C282" s="2">
        <v>10</v>
      </c>
      <c r="D282" s="2">
        <v>11</v>
      </c>
      <c r="E282" s="3" t="s">
        <v>16</v>
      </c>
    </row>
    <row r="283" ht="14.25" spans="1:5">
      <c r="A283" s="2" t="str">
        <f>"2020021012"</f>
        <v>2020021012</v>
      </c>
      <c r="B283" s="2" t="s">
        <v>521</v>
      </c>
      <c r="C283" s="2">
        <v>10</v>
      </c>
      <c r="D283" s="2">
        <v>12</v>
      </c>
      <c r="E283" s="3" t="s">
        <v>16</v>
      </c>
    </row>
    <row r="284" ht="14.25" spans="1:5">
      <c r="A284" s="2" t="str">
        <f>"2020021013"</f>
        <v>2020021013</v>
      </c>
      <c r="B284" s="2" t="s">
        <v>521</v>
      </c>
      <c r="C284" s="2">
        <v>10</v>
      </c>
      <c r="D284" s="2">
        <v>13</v>
      </c>
      <c r="E284" s="3">
        <v>73.1</v>
      </c>
    </row>
    <row r="285" ht="14.25" spans="1:5">
      <c r="A285" s="2" t="str">
        <f>"2020021014"</f>
        <v>2020021014</v>
      </c>
      <c r="B285" s="2" t="s">
        <v>521</v>
      </c>
      <c r="C285" s="2">
        <v>10</v>
      </c>
      <c r="D285" s="2">
        <v>14</v>
      </c>
      <c r="E285" s="3">
        <v>64.3</v>
      </c>
    </row>
    <row r="286" ht="14.25" spans="1:5">
      <c r="A286" s="2" t="str">
        <f>"2020021015"</f>
        <v>2020021015</v>
      </c>
      <c r="B286" s="2" t="s">
        <v>521</v>
      </c>
      <c r="C286" s="2">
        <v>10</v>
      </c>
      <c r="D286" s="2">
        <v>15</v>
      </c>
      <c r="E286" s="3">
        <v>47.2</v>
      </c>
    </row>
    <row r="287" ht="14.25" spans="1:5">
      <c r="A287" s="2" t="str">
        <f>"2020021016"</f>
        <v>2020021016</v>
      </c>
      <c r="B287" s="2" t="s">
        <v>521</v>
      </c>
      <c r="C287" s="2">
        <v>10</v>
      </c>
      <c r="D287" s="2">
        <v>16</v>
      </c>
      <c r="E287" s="3">
        <v>58.1</v>
      </c>
    </row>
    <row r="288" ht="14.25" spans="1:5">
      <c r="A288" s="2" t="str">
        <f>"2020021017"</f>
        <v>2020021017</v>
      </c>
      <c r="B288" s="2" t="s">
        <v>521</v>
      </c>
      <c r="C288" s="2">
        <v>10</v>
      </c>
      <c r="D288" s="2">
        <v>17</v>
      </c>
      <c r="E288" s="3">
        <v>55.1</v>
      </c>
    </row>
    <row r="289" ht="14.25" spans="1:5">
      <c r="A289" s="2" t="str">
        <f>"2020021018"</f>
        <v>2020021018</v>
      </c>
      <c r="B289" s="2" t="s">
        <v>521</v>
      </c>
      <c r="C289" s="2">
        <v>10</v>
      </c>
      <c r="D289" s="2">
        <v>18</v>
      </c>
      <c r="E289" s="3">
        <v>68.8</v>
      </c>
    </row>
    <row r="290" ht="14.25" spans="1:5">
      <c r="A290" s="2" t="str">
        <f>"2020021019"</f>
        <v>2020021019</v>
      </c>
      <c r="B290" s="2" t="s">
        <v>521</v>
      </c>
      <c r="C290" s="2">
        <v>10</v>
      </c>
      <c r="D290" s="2">
        <v>19</v>
      </c>
      <c r="E290" s="3" t="s">
        <v>16</v>
      </c>
    </row>
    <row r="291" ht="14.25" spans="1:5">
      <c r="A291" s="2" t="str">
        <f>"2020021020"</f>
        <v>2020021020</v>
      </c>
      <c r="B291" s="2" t="s">
        <v>521</v>
      </c>
      <c r="C291" s="2">
        <v>10</v>
      </c>
      <c r="D291" s="2">
        <v>20</v>
      </c>
      <c r="E291" s="3" t="s">
        <v>16</v>
      </c>
    </row>
    <row r="292" ht="14.25" spans="1:5">
      <c r="A292" s="2" t="str">
        <f>"2020021021"</f>
        <v>2020021021</v>
      </c>
      <c r="B292" s="2" t="s">
        <v>521</v>
      </c>
      <c r="C292" s="2">
        <v>10</v>
      </c>
      <c r="D292" s="2">
        <v>21</v>
      </c>
      <c r="E292" s="3">
        <v>64</v>
      </c>
    </row>
    <row r="293" ht="14.25" spans="1:5">
      <c r="A293" s="2" t="str">
        <f>"2020021022"</f>
        <v>2020021022</v>
      </c>
      <c r="B293" s="2" t="s">
        <v>521</v>
      </c>
      <c r="C293" s="2">
        <v>10</v>
      </c>
      <c r="D293" s="2">
        <v>22</v>
      </c>
      <c r="E293" s="3">
        <v>57.1</v>
      </c>
    </row>
    <row r="294" ht="14.25" spans="1:5">
      <c r="A294" s="2" t="str">
        <f>"2020021023"</f>
        <v>2020021023</v>
      </c>
      <c r="B294" s="2" t="s">
        <v>521</v>
      </c>
      <c r="C294" s="2">
        <v>10</v>
      </c>
      <c r="D294" s="2">
        <v>23</v>
      </c>
      <c r="E294" s="3">
        <v>66.6</v>
      </c>
    </row>
    <row r="295" ht="14.25" spans="1:5">
      <c r="A295" s="2" t="str">
        <f>"2020021024"</f>
        <v>2020021024</v>
      </c>
      <c r="B295" s="2" t="s">
        <v>521</v>
      </c>
      <c r="C295" s="2">
        <v>10</v>
      </c>
      <c r="D295" s="2">
        <v>24</v>
      </c>
      <c r="E295" s="3" t="s">
        <v>16</v>
      </c>
    </row>
    <row r="296" ht="14.25" spans="1:5">
      <c r="A296" s="2" t="str">
        <f>"2020021025"</f>
        <v>2020021025</v>
      </c>
      <c r="B296" s="2" t="s">
        <v>521</v>
      </c>
      <c r="C296" s="2">
        <v>10</v>
      </c>
      <c r="D296" s="2">
        <v>25</v>
      </c>
      <c r="E296" s="3" t="s">
        <v>16</v>
      </c>
    </row>
    <row r="297" ht="14.25" spans="1:5">
      <c r="A297" s="2" t="str">
        <f>"2020021026"</f>
        <v>2020021026</v>
      </c>
      <c r="B297" s="2" t="s">
        <v>521</v>
      </c>
      <c r="C297" s="2">
        <v>10</v>
      </c>
      <c r="D297" s="2">
        <v>26</v>
      </c>
      <c r="E297" s="3">
        <v>51.3</v>
      </c>
    </row>
    <row r="298" ht="14.25" spans="1:5">
      <c r="A298" s="2" t="str">
        <f>"2020021027"</f>
        <v>2020021027</v>
      </c>
      <c r="B298" s="2" t="s">
        <v>521</v>
      </c>
      <c r="C298" s="2">
        <v>10</v>
      </c>
      <c r="D298" s="2">
        <v>27</v>
      </c>
      <c r="E298" s="3">
        <v>62.9</v>
      </c>
    </row>
    <row r="299" ht="14.25" spans="1:5">
      <c r="A299" s="2" t="str">
        <f>"2020021028"</f>
        <v>2020021028</v>
      </c>
      <c r="B299" s="2" t="s">
        <v>521</v>
      </c>
      <c r="C299" s="2">
        <v>10</v>
      </c>
      <c r="D299" s="2">
        <v>28</v>
      </c>
      <c r="E299" s="3" t="s">
        <v>16</v>
      </c>
    </row>
    <row r="300" ht="14.25" spans="1:5">
      <c r="A300" s="2" t="str">
        <f>"2020021029"</f>
        <v>2020021029</v>
      </c>
      <c r="B300" s="2" t="s">
        <v>521</v>
      </c>
      <c r="C300" s="2">
        <v>10</v>
      </c>
      <c r="D300" s="2">
        <v>29</v>
      </c>
      <c r="E300" s="3" t="s">
        <v>16</v>
      </c>
    </row>
    <row r="301" ht="14.25" spans="1:5">
      <c r="A301" s="2" t="str">
        <f>"2020021030"</f>
        <v>2020021030</v>
      </c>
      <c r="B301" s="2" t="s">
        <v>521</v>
      </c>
      <c r="C301" s="2">
        <v>10</v>
      </c>
      <c r="D301" s="2">
        <v>30</v>
      </c>
      <c r="E301" s="3" t="s">
        <v>16</v>
      </c>
    </row>
    <row r="302" ht="14.25" spans="1:5">
      <c r="A302" s="2" t="str">
        <f>"2020021101"</f>
        <v>2020021101</v>
      </c>
      <c r="B302" s="2" t="s">
        <v>521</v>
      </c>
      <c r="C302" s="2">
        <v>11</v>
      </c>
      <c r="D302" s="2">
        <v>1</v>
      </c>
      <c r="E302" s="3" t="s">
        <v>16</v>
      </c>
    </row>
    <row r="303" ht="14.25" spans="1:5">
      <c r="A303" s="2" t="str">
        <f>"2020021102"</f>
        <v>2020021102</v>
      </c>
      <c r="B303" s="2" t="s">
        <v>521</v>
      </c>
      <c r="C303" s="2">
        <v>11</v>
      </c>
      <c r="D303" s="2">
        <v>2</v>
      </c>
      <c r="E303" s="3">
        <v>63.4</v>
      </c>
    </row>
    <row r="304" ht="14.25" spans="1:5">
      <c r="A304" s="2" t="str">
        <f>"2020021103"</f>
        <v>2020021103</v>
      </c>
      <c r="B304" s="2" t="s">
        <v>521</v>
      </c>
      <c r="C304" s="2">
        <v>11</v>
      </c>
      <c r="D304" s="2">
        <v>3</v>
      </c>
      <c r="E304" s="3">
        <v>77.1</v>
      </c>
    </row>
    <row r="305" ht="14.25" spans="1:5">
      <c r="A305" s="2" t="str">
        <f>"2020021104"</f>
        <v>2020021104</v>
      </c>
      <c r="B305" s="2" t="s">
        <v>521</v>
      </c>
      <c r="C305" s="2">
        <v>11</v>
      </c>
      <c r="D305" s="2">
        <v>4</v>
      </c>
      <c r="E305" s="3">
        <v>58.4</v>
      </c>
    </row>
    <row r="306" ht="14.25" spans="1:5">
      <c r="A306" s="2" t="str">
        <f>"2020021105"</f>
        <v>2020021105</v>
      </c>
      <c r="B306" s="2" t="s">
        <v>521</v>
      </c>
      <c r="C306" s="2">
        <v>11</v>
      </c>
      <c r="D306" s="2">
        <v>5</v>
      </c>
      <c r="E306" s="3">
        <v>74.5</v>
      </c>
    </row>
    <row r="307" ht="14.25" spans="1:5">
      <c r="A307" s="2" t="str">
        <f>"2020021106"</f>
        <v>2020021106</v>
      </c>
      <c r="B307" s="2" t="s">
        <v>521</v>
      </c>
      <c r="C307" s="2">
        <v>11</v>
      </c>
      <c r="D307" s="2">
        <v>6</v>
      </c>
      <c r="E307" s="3">
        <v>49.3</v>
      </c>
    </row>
    <row r="308" ht="14.25" spans="1:5">
      <c r="A308" s="2" t="str">
        <f>"2020021107"</f>
        <v>2020021107</v>
      </c>
      <c r="B308" s="2" t="s">
        <v>521</v>
      </c>
      <c r="C308" s="2">
        <v>11</v>
      </c>
      <c r="D308" s="2">
        <v>7</v>
      </c>
      <c r="E308" s="3">
        <v>64.9</v>
      </c>
    </row>
    <row r="309" ht="14.25" spans="1:5">
      <c r="A309" s="2" t="str">
        <f>"2020021108"</f>
        <v>2020021108</v>
      </c>
      <c r="B309" s="2" t="s">
        <v>521</v>
      </c>
      <c r="C309" s="2">
        <v>11</v>
      </c>
      <c r="D309" s="2">
        <v>8</v>
      </c>
      <c r="E309" s="3">
        <v>62</v>
      </c>
    </row>
    <row r="310" ht="14.25" spans="1:5">
      <c r="A310" s="2" t="str">
        <f>"2020021109"</f>
        <v>2020021109</v>
      </c>
      <c r="B310" s="2" t="s">
        <v>521</v>
      </c>
      <c r="C310" s="2">
        <v>11</v>
      </c>
      <c r="D310" s="2">
        <v>9</v>
      </c>
      <c r="E310" s="3">
        <v>76</v>
      </c>
    </row>
    <row r="311" ht="14.25" spans="1:5">
      <c r="A311" s="2" t="str">
        <f>"2020021110"</f>
        <v>2020021110</v>
      </c>
      <c r="B311" s="2" t="s">
        <v>521</v>
      </c>
      <c r="C311" s="2">
        <v>11</v>
      </c>
      <c r="D311" s="2">
        <v>10</v>
      </c>
      <c r="E311" s="3" t="s">
        <v>16</v>
      </c>
    </row>
    <row r="312" ht="14.25" spans="1:5">
      <c r="A312" s="2" t="str">
        <f>"2020021111"</f>
        <v>2020021111</v>
      </c>
      <c r="B312" s="2" t="s">
        <v>521</v>
      </c>
      <c r="C312" s="2">
        <v>11</v>
      </c>
      <c r="D312" s="2">
        <v>11</v>
      </c>
      <c r="E312" s="3">
        <v>61.7</v>
      </c>
    </row>
    <row r="313" ht="14.25" spans="1:5">
      <c r="A313" s="2" t="str">
        <f>"2020021112"</f>
        <v>2020021112</v>
      </c>
      <c r="B313" s="2" t="s">
        <v>521</v>
      </c>
      <c r="C313" s="2">
        <v>11</v>
      </c>
      <c r="D313" s="2">
        <v>12</v>
      </c>
      <c r="E313" s="3">
        <v>69.6</v>
      </c>
    </row>
    <row r="314" ht="14.25" spans="1:5">
      <c r="A314" s="2" t="str">
        <f>"2020021113"</f>
        <v>2020021113</v>
      </c>
      <c r="B314" s="2" t="s">
        <v>521</v>
      </c>
      <c r="C314" s="2">
        <v>11</v>
      </c>
      <c r="D314" s="2">
        <v>13</v>
      </c>
      <c r="E314" s="3" t="s">
        <v>16</v>
      </c>
    </row>
    <row r="315" ht="14.25" spans="1:5">
      <c r="A315" s="2" t="str">
        <f>"2020021114"</f>
        <v>2020021114</v>
      </c>
      <c r="B315" s="2" t="s">
        <v>521</v>
      </c>
      <c r="C315" s="2">
        <v>11</v>
      </c>
      <c r="D315" s="2">
        <v>14</v>
      </c>
      <c r="E315" s="3">
        <v>60.3</v>
      </c>
    </row>
    <row r="316" ht="14.25" spans="1:5">
      <c r="A316" s="2" t="str">
        <f>"2020021115"</f>
        <v>2020021115</v>
      </c>
      <c r="B316" s="2" t="s">
        <v>521</v>
      </c>
      <c r="C316" s="2">
        <v>11</v>
      </c>
      <c r="D316" s="2">
        <v>15</v>
      </c>
      <c r="E316" s="3" t="s">
        <v>16</v>
      </c>
    </row>
    <row r="317" ht="14.25" spans="1:5">
      <c r="A317" s="2" t="str">
        <f>"2020021116"</f>
        <v>2020021116</v>
      </c>
      <c r="B317" s="2" t="s">
        <v>521</v>
      </c>
      <c r="C317" s="2">
        <v>11</v>
      </c>
      <c r="D317" s="2">
        <v>16</v>
      </c>
      <c r="E317" s="3">
        <v>59.1</v>
      </c>
    </row>
    <row r="318" ht="14.25" spans="1:5">
      <c r="A318" s="2" t="str">
        <f>"2020021117"</f>
        <v>2020021117</v>
      </c>
      <c r="B318" s="2" t="s">
        <v>521</v>
      </c>
      <c r="C318" s="2">
        <v>11</v>
      </c>
      <c r="D318" s="2">
        <v>17</v>
      </c>
      <c r="E318" s="3">
        <v>57.4</v>
      </c>
    </row>
    <row r="319" ht="14.25" spans="1:5">
      <c r="A319" s="2" t="str">
        <f>"2020021118"</f>
        <v>2020021118</v>
      </c>
      <c r="B319" s="2" t="s">
        <v>521</v>
      </c>
      <c r="C319" s="2">
        <v>11</v>
      </c>
      <c r="D319" s="2">
        <v>18</v>
      </c>
      <c r="E319" s="3" t="s">
        <v>16</v>
      </c>
    </row>
    <row r="320" ht="14.25" spans="1:5">
      <c r="A320" s="2" t="str">
        <f>"2020021119"</f>
        <v>2020021119</v>
      </c>
      <c r="B320" s="2" t="s">
        <v>521</v>
      </c>
      <c r="C320" s="2">
        <v>11</v>
      </c>
      <c r="D320" s="2">
        <v>19</v>
      </c>
      <c r="E320" s="3" t="s">
        <v>16</v>
      </c>
    </row>
    <row r="321" ht="14.25" spans="1:5">
      <c r="A321" s="2" t="str">
        <f>"2020021120"</f>
        <v>2020021120</v>
      </c>
      <c r="B321" s="2" t="s">
        <v>521</v>
      </c>
      <c r="C321" s="2">
        <v>11</v>
      </c>
      <c r="D321" s="2">
        <v>20</v>
      </c>
      <c r="E321" s="3">
        <v>66.6</v>
      </c>
    </row>
    <row r="322" ht="14.25" spans="1:5">
      <c r="A322" s="2" t="str">
        <f>"2020021121"</f>
        <v>2020021121</v>
      </c>
      <c r="B322" s="2" t="s">
        <v>521</v>
      </c>
      <c r="C322" s="2">
        <v>11</v>
      </c>
      <c r="D322" s="2">
        <v>21</v>
      </c>
      <c r="E322" s="3">
        <v>53.7</v>
      </c>
    </row>
    <row r="323" ht="14.25" spans="1:5">
      <c r="A323" s="2" t="str">
        <f>"2020021122"</f>
        <v>2020021122</v>
      </c>
      <c r="B323" s="2" t="s">
        <v>521</v>
      </c>
      <c r="C323" s="2">
        <v>11</v>
      </c>
      <c r="D323" s="2">
        <v>22</v>
      </c>
      <c r="E323" s="3" t="s">
        <v>16</v>
      </c>
    </row>
    <row r="324" ht="14.25" spans="1:5">
      <c r="A324" s="2" t="str">
        <f>"2020021123"</f>
        <v>2020021123</v>
      </c>
      <c r="B324" s="2" t="s">
        <v>521</v>
      </c>
      <c r="C324" s="2">
        <v>11</v>
      </c>
      <c r="D324" s="2">
        <v>23</v>
      </c>
      <c r="E324" s="3">
        <v>44</v>
      </c>
    </row>
    <row r="325" ht="14.25" spans="1:5">
      <c r="A325" s="2" t="str">
        <f>"2020021124"</f>
        <v>2020021124</v>
      </c>
      <c r="B325" s="2" t="s">
        <v>521</v>
      </c>
      <c r="C325" s="2">
        <v>11</v>
      </c>
      <c r="D325" s="2">
        <v>24</v>
      </c>
      <c r="E325" s="3" t="s">
        <v>16</v>
      </c>
    </row>
    <row r="326" ht="14.25" spans="1:5">
      <c r="A326" s="2" t="str">
        <f>"2020021125"</f>
        <v>2020021125</v>
      </c>
      <c r="B326" s="2" t="s">
        <v>521</v>
      </c>
      <c r="C326" s="2">
        <v>11</v>
      </c>
      <c r="D326" s="2">
        <v>25</v>
      </c>
      <c r="E326" s="3" t="s">
        <v>16</v>
      </c>
    </row>
    <row r="327" ht="14.25" spans="1:5">
      <c r="A327" s="2" t="str">
        <f>"2020021126"</f>
        <v>2020021126</v>
      </c>
      <c r="B327" s="2" t="s">
        <v>521</v>
      </c>
      <c r="C327" s="2">
        <v>11</v>
      </c>
      <c r="D327" s="2">
        <v>26</v>
      </c>
      <c r="E327" s="3" t="s">
        <v>16</v>
      </c>
    </row>
    <row r="328" ht="14.25" spans="1:5">
      <c r="A328" s="2" t="str">
        <f>"2020021127"</f>
        <v>2020021127</v>
      </c>
      <c r="B328" s="2" t="s">
        <v>521</v>
      </c>
      <c r="C328" s="2">
        <v>11</v>
      </c>
      <c r="D328" s="2">
        <v>27</v>
      </c>
      <c r="E328" s="3">
        <v>65.5</v>
      </c>
    </row>
    <row r="329" ht="14.25" spans="1:5">
      <c r="A329" s="2" t="str">
        <f>"2020021128"</f>
        <v>2020021128</v>
      </c>
      <c r="B329" s="2" t="s">
        <v>521</v>
      </c>
      <c r="C329" s="2">
        <v>11</v>
      </c>
      <c r="D329" s="2">
        <v>28</v>
      </c>
      <c r="E329" s="3" t="s">
        <v>16</v>
      </c>
    </row>
    <row r="330" ht="14.25" spans="1:5">
      <c r="A330" s="2" t="str">
        <f>"2020021129"</f>
        <v>2020021129</v>
      </c>
      <c r="B330" s="2" t="s">
        <v>521</v>
      </c>
      <c r="C330" s="2">
        <v>11</v>
      </c>
      <c r="D330" s="2">
        <v>29</v>
      </c>
      <c r="E330" s="3">
        <v>65.3</v>
      </c>
    </row>
    <row r="331" ht="14.25" spans="1:5">
      <c r="A331" s="2" t="str">
        <f>"2020021130"</f>
        <v>2020021130</v>
      </c>
      <c r="B331" s="2" t="s">
        <v>521</v>
      </c>
      <c r="C331" s="2">
        <v>11</v>
      </c>
      <c r="D331" s="2">
        <v>30</v>
      </c>
      <c r="E331" s="3" t="s">
        <v>16</v>
      </c>
    </row>
    <row r="332" ht="14.25" spans="1:5">
      <c r="A332" s="2" t="str">
        <f>"2020021201"</f>
        <v>2020021201</v>
      </c>
      <c r="B332" s="2" t="s">
        <v>521</v>
      </c>
      <c r="C332" s="2">
        <v>12</v>
      </c>
      <c r="D332" s="2">
        <v>1</v>
      </c>
      <c r="E332" s="3" t="s">
        <v>16</v>
      </c>
    </row>
    <row r="333" ht="14.25" spans="1:5">
      <c r="A333" s="2" t="str">
        <f>"2020021202"</f>
        <v>2020021202</v>
      </c>
      <c r="B333" s="2" t="s">
        <v>522</v>
      </c>
      <c r="C333" s="2">
        <v>12</v>
      </c>
      <c r="D333" s="2">
        <v>2</v>
      </c>
      <c r="E333" s="3" t="s">
        <v>16</v>
      </c>
    </row>
    <row r="334" ht="14.25" spans="1:5">
      <c r="A334" s="2" t="str">
        <f>"2020021203"</f>
        <v>2020021203</v>
      </c>
      <c r="B334" s="2" t="s">
        <v>522</v>
      </c>
      <c r="C334" s="2">
        <v>12</v>
      </c>
      <c r="D334" s="2">
        <v>3</v>
      </c>
      <c r="E334" s="3" t="s">
        <v>16</v>
      </c>
    </row>
    <row r="335" ht="14.25" spans="1:5">
      <c r="A335" s="2" t="str">
        <f>"2020021204"</f>
        <v>2020021204</v>
      </c>
      <c r="B335" s="2" t="s">
        <v>522</v>
      </c>
      <c r="C335" s="2">
        <v>12</v>
      </c>
      <c r="D335" s="2">
        <v>4</v>
      </c>
      <c r="E335" s="3">
        <v>51.1</v>
      </c>
    </row>
    <row r="336" ht="14.25" spans="1:5">
      <c r="A336" s="2" t="str">
        <f>"2020021205"</f>
        <v>2020021205</v>
      </c>
      <c r="B336" s="2" t="s">
        <v>522</v>
      </c>
      <c r="C336" s="2">
        <v>12</v>
      </c>
      <c r="D336" s="2">
        <v>5</v>
      </c>
      <c r="E336" s="3">
        <v>76.1</v>
      </c>
    </row>
    <row r="337" ht="14.25" spans="1:5">
      <c r="A337" s="2" t="str">
        <f>"2020021206"</f>
        <v>2020021206</v>
      </c>
      <c r="B337" s="2" t="s">
        <v>522</v>
      </c>
      <c r="C337" s="2">
        <v>12</v>
      </c>
      <c r="D337" s="2">
        <v>6</v>
      </c>
      <c r="E337" s="3" t="s">
        <v>16</v>
      </c>
    </row>
    <row r="338" ht="14.25" spans="1:5">
      <c r="A338" s="2" t="str">
        <f>"2020021207"</f>
        <v>2020021207</v>
      </c>
      <c r="B338" s="2" t="s">
        <v>522</v>
      </c>
      <c r="C338" s="2">
        <v>12</v>
      </c>
      <c r="D338" s="2">
        <v>7</v>
      </c>
      <c r="E338" s="3">
        <v>65.6</v>
      </c>
    </row>
    <row r="339" ht="14.25" spans="1:5">
      <c r="A339" s="2" t="str">
        <f>"2020021208"</f>
        <v>2020021208</v>
      </c>
      <c r="B339" s="2" t="s">
        <v>522</v>
      </c>
      <c r="C339" s="2">
        <v>12</v>
      </c>
      <c r="D339" s="2">
        <v>8</v>
      </c>
      <c r="E339" s="3">
        <v>73.7</v>
      </c>
    </row>
    <row r="340" ht="14.25" spans="1:5">
      <c r="A340" s="2" t="str">
        <f>"2020021209"</f>
        <v>2020021209</v>
      </c>
      <c r="B340" s="2" t="s">
        <v>522</v>
      </c>
      <c r="C340" s="2">
        <v>12</v>
      </c>
      <c r="D340" s="2">
        <v>9</v>
      </c>
      <c r="E340" s="3">
        <v>77.7</v>
      </c>
    </row>
    <row r="341" ht="14.25" spans="1:5">
      <c r="A341" s="2" t="str">
        <f>"2020021210"</f>
        <v>2020021210</v>
      </c>
      <c r="B341" s="2" t="s">
        <v>522</v>
      </c>
      <c r="C341" s="2">
        <v>12</v>
      </c>
      <c r="D341" s="2">
        <v>10</v>
      </c>
      <c r="E341" s="3">
        <v>51.6</v>
      </c>
    </row>
    <row r="342" ht="14.25" spans="1:5">
      <c r="A342" s="2" t="str">
        <f>"2020021211"</f>
        <v>2020021211</v>
      </c>
      <c r="B342" s="2" t="s">
        <v>522</v>
      </c>
      <c r="C342" s="2">
        <v>12</v>
      </c>
      <c r="D342" s="2">
        <v>11</v>
      </c>
      <c r="E342" s="3">
        <v>66.3</v>
      </c>
    </row>
    <row r="343" ht="14.25" spans="1:5">
      <c r="A343" s="2" t="str">
        <f>"2020021212"</f>
        <v>2020021212</v>
      </c>
      <c r="B343" s="2" t="s">
        <v>522</v>
      </c>
      <c r="C343" s="2">
        <v>12</v>
      </c>
      <c r="D343" s="2">
        <v>12</v>
      </c>
      <c r="E343" s="3">
        <v>73.7</v>
      </c>
    </row>
    <row r="344" ht="14.25" spans="1:5">
      <c r="A344" s="2" t="str">
        <f>"2020021213"</f>
        <v>2020021213</v>
      </c>
      <c r="B344" s="2" t="s">
        <v>522</v>
      </c>
      <c r="C344" s="2">
        <v>12</v>
      </c>
      <c r="D344" s="2">
        <v>13</v>
      </c>
      <c r="E344" s="3">
        <v>58.9</v>
      </c>
    </row>
    <row r="345" ht="14.25" spans="1:5">
      <c r="A345" s="2" t="str">
        <f>"2020021214"</f>
        <v>2020021214</v>
      </c>
      <c r="B345" s="2" t="s">
        <v>522</v>
      </c>
      <c r="C345" s="2">
        <v>12</v>
      </c>
      <c r="D345" s="2">
        <v>14</v>
      </c>
      <c r="E345" s="3">
        <v>57.8</v>
      </c>
    </row>
    <row r="346" ht="14.25" spans="1:5">
      <c r="A346" s="2" t="str">
        <f>"2020021215"</f>
        <v>2020021215</v>
      </c>
      <c r="B346" s="2" t="s">
        <v>522</v>
      </c>
      <c r="C346" s="2">
        <v>12</v>
      </c>
      <c r="D346" s="2">
        <v>15</v>
      </c>
      <c r="E346" s="3">
        <v>68.5</v>
      </c>
    </row>
    <row r="347" ht="14.25" spans="1:5">
      <c r="A347" s="2" t="str">
        <f>"2020021216"</f>
        <v>2020021216</v>
      </c>
      <c r="B347" s="2" t="s">
        <v>522</v>
      </c>
      <c r="C347" s="2">
        <v>12</v>
      </c>
      <c r="D347" s="2">
        <v>16</v>
      </c>
      <c r="E347" s="3" t="s">
        <v>16</v>
      </c>
    </row>
    <row r="348" ht="14.25" spans="1:5">
      <c r="A348" s="2" t="str">
        <f>"2020021217"</f>
        <v>2020021217</v>
      </c>
      <c r="B348" s="2" t="s">
        <v>522</v>
      </c>
      <c r="C348" s="2">
        <v>12</v>
      </c>
      <c r="D348" s="2">
        <v>17</v>
      </c>
      <c r="E348" s="3">
        <v>66.5</v>
      </c>
    </row>
    <row r="349" ht="14.25" spans="1:5">
      <c r="A349" s="2" t="str">
        <f>"2020021218"</f>
        <v>2020021218</v>
      </c>
      <c r="B349" s="2" t="s">
        <v>522</v>
      </c>
      <c r="C349" s="2">
        <v>12</v>
      </c>
      <c r="D349" s="2">
        <v>18</v>
      </c>
      <c r="E349" s="3">
        <v>67.9</v>
      </c>
    </row>
    <row r="350" ht="14.25" spans="1:5">
      <c r="A350" s="2" t="str">
        <f>"2020021219"</f>
        <v>2020021219</v>
      </c>
      <c r="B350" s="2" t="s">
        <v>522</v>
      </c>
      <c r="C350" s="2">
        <v>12</v>
      </c>
      <c r="D350" s="2">
        <v>19</v>
      </c>
      <c r="E350" s="3">
        <v>66.6</v>
      </c>
    </row>
    <row r="351" ht="14.25" spans="1:5">
      <c r="A351" s="2" t="str">
        <f>"2020021220"</f>
        <v>2020021220</v>
      </c>
      <c r="B351" s="2" t="s">
        <v>522</v>
      </c>
      <c r="C351" s="2">
        <v>12</v>
      </c>
      <c r="D351" s="2">
        <v>20</v>
      </c>
      <c r="E351" s="3">
        <v>68.2</v>
      </c>
    </row>
    <row r="352" ht="14.25" spans="1:5">
      <c r="A352" s="2" t="str">
        <f>"2020021221"</f>
        <v>2020021221</v>
      </c>
      <c r="B352" s="2" t="s">
        <v>522</v>
      </c>
      <c r="C352" s="2">
        <v>12</v>
      </c>
      <c r="D352" s="2">
        <v>21</v>
      </c>
      <c r="E352" s="3">
        <v>57.1</v>
      </c>
    </row>
    <row r="353" ht="14.25" spans="1:5">
      <c r="A353" s="2" t="str">
        <f>"2020021222"</f>
        <v>2020021222</v>
      </c>
      <c r="B353" s="2" t="s">
        <v>522</v>
      </c>
      <c r="C353" s="2">
        <v>12</v>
      </c>
      <c r="D353" s="2">
        <v>22</v>
      </c>
      <c r="E353" s="3">
        <v>65.9</v>
      </c>
    </row>
    <row r="354" ht="14.25" spans="1:5">
      <c r="A354" s="2" t="str">
        <f>"2020021223"</f>
        <v>2020021223</v>
      </c>
      <c r="B354" s="2" t="s">
        <v>522</v>
      </c>
      <c r="C354" s="2">
        <v>12</v>
      </c>
      <c r="D354" s="2">
        <v>23</v>
      </c>
      <c r="E354" s="3">
        <v>72.2</v>
      </c>
    </row>
    <row r="355" ht="14.25" spans="1:5">
      <c r="A355" s="2" t="str">
        <f>"2020021224"</f>
        <v>2020021224</v>
      </c>
      <c r="B355" s="2" t="s">
        <v>522</v>
      </c>
      <c r="C355" s="2">
        <v>12</v>
      </c>
      <c r="D355" s="2">
        <v>24</v>
      </c>
      <c r="E355" s="3" t="s">
        <v>16</v>
      </c>
    </row>
    <row r="356" ht="14.25" spans="1:5">
      <c r="A356" s="2" t="str">
        <f>"2020021225"</f>
        <v>2020021225</v>
      </c>
      <c r="B356" s="2" t="s">
        <v>522</v>
      </c>
      <c r="C356" s="2">
        <v>12</v>
      </c>
      <c r="D356" s="2">
        <v>25</v>
      </c>
      <c r="E356" s="3">
        <v>64.3</v>
      </c>
    </row>
    <row r="357" ht="14.25" spans="1:5">
      <c r="A357" s="2" t="str">
        <f>"2020021226"</f>
        <v>2020021226</v>
      </c>
      <c r="B357" s="2" t="s">
        <v>522</v>
      </c>
      <c r="C357" s="2">
        <v>12</v>
      </c>
      <c r="D357" s="2">
        <v>26</v>
      </c>
      <c r="E357" s="3">
        <v>53.8</v>
      </c>
    </row>
    <row r="358" ht="14.25" spans="1:5">
      <c r="A358" s="2" t="str">
        <f>"2020021227"</f>
        <v>2020021227</v>
      </c>
      <c r="B358" s="2" t="s">
        <v>522</v>
      </c>
      <c r="C358" s="2">
        <v>12</v>
      </c>
      <c r="D358" s="2">
        <v>27</v>
      </c>
      <c r="E358" s="3">
        <v>56.4</v>
      </c>
    </row>
    <row r="359" ht="14.25" spans="1:5">
      <c r="A359" s="2" t="str">
        <f>"2020021228"</f>
        <v>2020021228</v>
      </c>
      <c r="B359" s="2" t="s">
        <v>522</v>
      </c>
      <c r="C359" s="2">
        <v>12</v>
      </c>
      <c r="D359" s="2">
        <v>28</v>
      </c>
      <c r="E359" s="3">
        <v>52.8</v>
      </c>
    </row>
    <row r="360" ht="14.25" spans="1:5">
      <c r="A360" s="2" t="str">
        <f>"2020021229"</f>
        <v>2020021229</v>
      </c>
      <c r="B360" s="2" t="s">
        <v>522</v>
      </c>
      <c r="C360" s="2">
        <v>12</v>
      </c>
      <c r="D360" s="2">
        <v>29</v>
      </c>
      <c r="E360" s="3" t="s">
        <v>16</v>
      </c>
    </row>
    <row r="361" ht="14.25" spans="1:5">
      <c r="A361" s="2" t="str">
        <f>"2020021230"</f>
        <v>2020021230</v>
      </c>
      <c r="B361" s="2" t="s">
        <v>522</v>
      </c>
      <c r="C361" s="2">
        <v>12</v>
      </c>
      <c r="D361" s="2">
        <v>30</v>
      </c>
      <c r="E361" s="3">
        <v>69.7</v>
      </c>
    </row>
    <row r="362" ht="14.25" spans="1:5">
      <c r="A362" s="2" t="str">
        <f>"2020021301"</f>
        <v>2020021301</v>
      </c>
      <c r="B362" s="2" t="s">
        <v>522</v>
      </c>
      <c r="C362" s="2">
        <v>13</v>
      </c>
      <c r="D362" s="2">
        <v>1</v>
      </c>
      <c r="E362" s="3">
        <v>54.8</v>
      </c>
    </row>
    <row r="363" ht="14.25" spans="1:5">
      <c r="A363" s="2" t="str">
        <f>"2020021302"</f>
        <v>2020021302</v>
      </c>
      <c r="B363" s="2" t="s">
        <v>522</v>
      </c>
      <c r="C363" s="2">
        <v>13</v>
      </c>
      <c r="D363" s="2">
        <v>2</v>
      </c>
      <c r="E363" s="3">
        <v>71.5</v>
      </c>
    </row>
    <row r="364" ht="14.25" spans="1:5">
      <c r="A364" s="2" t="str">
        <f>"2020021303"</f>
        <v>2020021303</v>
      </c>
      <c r="B364" s="2" t="s">
        <v>522</v>
      </c>
      <c r="C364" s="2">
        <v>13</v>
      </c>
      <c r="D364" s="2">
        <v>3</v>
      </c>
      <c r="E364" s="3" t="s">
        <v>16</v>
      </c>
    </row>
    <row r="365" ht="14.25" spans="1:5">
      <c r="A365" s="2" t="str">
        <f>"2020021304"</f>
        <v>2020021304</v>
      </c>
      <c r="B365" s="2" t="s">
        <v>522</v>
      </c>
      <c r="C365" s="2">
        <v>13</v>
      </c>
      <c r="D365" s="2">
        <v>4</v>
      </c>
      <c r="E365" s="3">
        <v>57.3</v>
      </c>
    </row>
    <row r="366" ht="14.25" spans="1:5">
      <c r="A366" s="2" t="str">
        <f>"2020021305"</f>
        <v>2020021305</v>
      </c>
      <c r="B366" s="2" t="s">
        <v>522</v>
      </c>
      <c r="C366" s="2">
        <v>13</v>
      </c>
      <c r="D366" s="2">
        <v>5</v>
      </c>
      <c r="E366" s="3">
        <v>72.2</v>
      </c>
    </row>
    <row r="367" ht="14.25" spans="1:5">
      <c r="A367" s="2" t="str">
        <f>"2020021306"</f>
        <v>2020021306</v>
      </c>
      <c r="B367" s="2" t="s">
        <v>522</v>
      </c>
      <c r="C367" s="2">
        <v>13</v>
      </c>
      <c r="D367" s="2">
        <v>6</v>
      </c>
      <c r="E367" s="3">
        <v>51</v>
      </c>
    </row>
    <row r="368" ht="14.25" spans="1:5">
      <c r="A368" s="2" t="str">
        <f>"2020021307"</f>
        <v>2020021307</v>
      </c>
      <c r="B368" s="2" t="s">
        <v>522</v>
      </c>
      <c r="C368" s="2">
        <v>13</v>
      </c>
      <c r="D368" s="2">
        <v>7</v>
      </c>
      <c r="E368" s="3">
        <v>70.8</v>
      </c>
    </row>
    <row r="369" ht="14.25" spans="1:5">
      <c r="A369" s="2" t="str">
        <f>"2020021308"</f>
        <v>2020021308</v>
      </c>
      <c r="B369" s="2" t="s">
        <v>522</v>
      </c>
      <c r="C369" s="2">
        <v>13</v>
      </c>
      <c r="D369" s="2">
        <v>8</v>
      </c>
      <c r="E369" s="3">
        <v>64.3</v>
      </c>
    </row>
    <row r="370" ht="14.25" spans="1:5">
      <c r="A370" s="2" t="str">
        <f>"2020021309"</f>
        <v>2020021309</v>
      </c>
      <c r="B370" s="2" t="s">
        <v>522</v>
      </c>
      <c r="C370" s="2">
        <v>13</v>
      </c>
      <c r="D370" s="2">
        <v>9</v>
      </c>
      <c r="E370" s="3">
        <v>55.5</v>
      </c>
    </row>
    <row r="371" ht="14.25" spans="1:5">
      <c r="A371" s="2" t="str">
        <f>"2020021310"</f>
        <v>2020021310</v>
      </c>
      <c r="B371" s="2" t="s">
        <v>522</v>
      </c>
      <c r="C371" s="2">
        <v>13</v>
      </c>
      <c r="D371" s="2">
        <v>10</v>
      </c>
      <c r="E371" s="3">
        <v>52.6</v>
      </c>
    </row>
    <row r="372" ht="14.25" spans="1:5">
      <c r="A372" s="2" t="str">
        <f>"2020021311"</f>
        <v>2020021311</v>
      </c>
      <c r="B372" s="2" t="s">
        <v>522</v>
      </c>
      <c r="C372" s="2">
        <v>13</v>
      </c>
      <c r="D372" s="2">
        <v>11</v>
      </c>
      <c r="E372" s="3">
        <v>60.7</v>
      </c>
    </row>
    <row r="373" ht="14.25" spans="1:5">
      <c r="A373" s="2" t="str">
        <f>"2020021312"</f>
        <v>2020021312</v>
      </c>
      <c r="B373" s="2" t="s">
        <v>522</v>
      </c>
      <c r="C373" s="2">
        <v>13</v>
      </c>
      <c r="D373" s="2">
        <v>12</v>
      </c>
      <c r="E373" s="3">
        <v>63.6</v>
      </c>
    </row>
    <row r="374" ht="14.25" spans="1:5">
      <c r="A374" s="2" t="str">
        <f>"2020021313"</f>
        <v>2020021313</v>
      </c>
      <c r="B374" s="2" t="s">
        <v>522</v>
      </c>
      <c r="C374" s="2">
        <v>13</v>
      </c>
      <c r="D374" s="2">
        <v>13</v>
      </c>
      <c r="E374" s="3">
        <v>66</v>
      </c>
    </row>
    <row r="375" ht="14.25" spans="1:5">
      <c r="A375" s="2" t="str">
        <f>"2020021314"</f>
        <v>2020021314</v>
      </c>
      <c r="B375" s="2" t="s">
        <v>522</v>
      </c>
      <c r="C375" s="2">
        <v>13</v>
      </c>
      <c r="D375" s="2">
        <v>14</v>
      </c>
      <c r="E375" s="3" t="s">
        <v>16</v>
      </c>
    </row>
    <row r="376" ht="14.25" spans="1:5">
      <c r="A376" s="2" t="str">
        <f>"2020021315"</f>
        <v>2020021315</v>
      </c>
      <c r="B376" s="2" t="s">
        <v>522</v>
      </c>
      <c r="C376" s="2">
        <v>13</v>
      </c>
      <c r="D376" s="2">
        <v>15</v>
      </c>
      <c r="E376" s="3">
        <v>64.3</v>
      </c>
    </row>
    <row r="377" ht="14.25" spans="1:5">
      <c r="A377" s="2" t="str">
        <f>"2020021316"</f>
        <v>2020021316</v>
      </c>
      <c r="B377" s="2" t="s">
        <v>522</v>
      </c>
      <c r="C377" s="2">
        <v>13</v>
      </c>
      <c r="D377" s="2">
        <v>16</v>
      </c>
      <c r="E377" s="3">
        <v>52.1</v>
      </c>
    </row>
    <row r="378" ht="14.25" spans="1:5">
      <c r="A378" s="2" t="str">
        <f>"2020021317"</f>
        <v>2020021317</v>
      </c>
      <c r="B378" s="2" t="s">
        <v>522</v>
      </c>
      <c r="C378" s="2">
        <v>13</v>
      </c>
      <c r="D378" s="2">
        <v>17</v>
      </c>
      <c r="E378" s="3">
        <v>74.2</v>
      </c>
    </row>
    <row r="379" ht="14.25" spans="1:5">
      <c r="A379" s="2" t="str">
        <f>"2020021318"</f>
        <v>2020021318</v>
      </c>
      <c r="B379" s="2" t="s">
        <v>522</v>
      </c>
      <c r="C379" s="2">
        <v>13</v>
      </c>
      <c r="D379" s="2">
        <v>18</v>
      </c>
      <c r="E379" s="3" t="s">
        <v>16</v>
      </c>
    </row>
    <row r="380" ht="14.25" spans="1:5">
      <c r="A380" s="2" t="str">
        <f>"2020021319"</f>
        <v>2020021319</v>
      </c>
      <c r="B380" s="2" t="s">
        <v>522</v>
      </c>
      <c r="C380" s="2">
        <v>13</v>
      </c>
      <c r="D380" s="2">
        <v>19</v>
      </c>
      <c r="E380" s="3">
        <v>51.2</v>
      </c>
    </row>
    <row r="381" ht="14.25" spans="1:5">
      <c r="A381" s="2" t="str">
        <f>"2020021320"</f>
        <v>2020021320</v>
      </c>
      <c r="B381" s="2" t="s">
        <v>522</v>
      </c>
      <c r="C381" s="2">
        <v>13</v>
      </c>
      <c r="D381" s="2">
        <v>20</v>
      </c>
      <c r="E381" s="3" t="s">
        <v>16</v>
      </c>
    </row>
    <row r="382" ht="14.25" spans="1:5">
      <c r="A382" s="2" t="str">
        <f>"2020021321"</f>
        <v>2020021321</v>
      </c>
      <c r="B382" s="2" t="s">
        <v>522</v>
      </c>
      <c r="C382" s="2">
        <v>13</v>
      </c>
      <c r="D382" s="2">
        <v>21</v>
      </c>
      <c r="E382" s="3">
        <v>73.8</v>
      </c>
    </row>
    <row r="383" ht="14.25" spans="1:5">
      <c r="A383" s="2" t="str">
        <f>"2020021322"</f>
        <v>2020021322</v>
      </c>
      <c r="B383" s="2" t="s">
        <v>522</v>
      </c>
      <c r="C383" s="2">
        <v>13</v>
      </c>
      <c r="D383" s="2">
        <v>22</v>
      </c>
      <c r="E383" s="3" t="s">
        <v>16</v>
      </c>
    </row>
    <row r="384" ht="14.25" spans="1:5">
      <c r="A384" s="2" t="str">
        <f>"2020021323"</f>
        <v>2020021323</v>
      </c>
      <c r="B384" s="2" t="s">
        <v>522</v>
      </c>
      <c r="C384" s="2">
        <v>13</v>
      </c>
      <c r="D384" s="2">
        <v>23</v>
      </c>
      <c r="E384" s="3">
        <v>68.5</v>
      </c>
    </row>
    <row r="385" ht="14.25" spans="1:5">
      <c r="A385" s="2" t="str">
        <f>"2020021324"</f>
        <v>2020021324</v>
      </c>
      <c r="B385" s="2" t="s">
        <v>522</v>
      </c>
      <c r="C385" s="2">
        <v>13</v>
      </c>
      <c r="D385" s="2">
        <v>24</v>
      </c>
      <c r="E385" s="3" t="s">
        <v>16</v>
      </c>
    </row>
    <row r="386" ht="14.25" spans="1:5">
      <c r="A386" s="2" t="str">
        <f>"2020021325"</f>
        <v>2020021325</v>
      </c>
      <c r="B386" s="2" t="s">
        <v>522</v>
      </c>
      <c r="C386" s="2">
        <v>13</v>
      </c>
      <c r="D386" s="2">
        <v>25</v>
      </c>
      <c r="E386" s="3">
        <v>54.8</v>
      </c>
    </row>
    <row r="387" ht="14.25" spans="1:5">
      <c r="A387" s="2" t="str">
        <f>"2020021326"</f>
        <v>2020021326</v>
      </c>
      <c r="B387" s="2" t="s">
        <v>522</v>
      </c>
      <c r="C387" s="2">
        <v>13</v>
      </c>
      <c r="D387" s="2">
        <v>26</v>
      </c>
      <c r="E387" s="3">
        <v>74.4</v>
      </c>
    </row>
    <row r="388" ht="14.25" spans="1:5">
      <c r="A388" s="2" t="str">
        <f>"2020021327"</f>
        <v>2020021327</v>
      </c>
      <c r="B388" s="2" t="s">
        <v>522</v>
      </c>
      <c r="C388" s="2">
        <v>13</v>
      </c>
      <c r="D388" s="2">
        <v>27</v>
      </c>
      <c r="E388" s="3">
        <v>48.3</v>
      </c>
    </row>
    <row r="389" ht="14.25" spans="1:5">
      <c r="A389" s="2" t="str">
        <f>"2020021328"</f>
        <v>2020021328</v>
      </c>
      <c r="B389" s="2" t="s">
        <v>522</v>
      </c>
      <c r="C389" s="2">
        <v>13</v>
      </c>
      <c r="D389" s="2">
        <v>28</v>
      </c>
      <c r="E389" s="3" t="s">
        <v>16</v>
      </c>
    </row>
    <row r="390" ht="14.25" spans="1:5">
      <c r="A390" s="2" t="str">
        <f>"2020021329"</f>
        <v>2020021329</v>
      </c>
      <c r="B390" s="2" t="s">
        <v>522</v>
      </c>
      <c r="C390" s="2">
        <v>13</v>
      </c>
      <c r="D390" s="2">
        <v>29</v>
      </c>
      <c r="E390" s="3">
        <v>75.4</v>
      </c>
    </row>
    <row r="391" ht="14.25" spans="1:5">
      <c r="A391" s="2" t="str">
        <f>"2020021330"</f>
        <v>2020021330</v>
      </c>
      <c r="B391" s="2" t="s">
        <v>522</v>
      </c>
      <c r="C391" s="2">
        <v>13</v>
      </c>
      <c r="D391" s="2">
        <v>30</v>
      </c>
      <c r="E391" s="3">
        <v>60</v>
      </c>
    </row>
    <row r="392" ht="14.25" spans="1:5">
      <c r="A392" s="2" t="str">
        <f>"2020021401"</f>
        <v>2020021401</v>
      </c>
      <c r="B392" s="2" t="s">
        <v>522</v>
      </c>
      <c r="C392" s="2">
        <v>14</v>
      </c>
      <c r="D392" s="2">
        <v>1</v>
      </c>
      <c r="E392" s="3">
        <v>61</v>
      </c>
    </row>
    <row r="393" ht="14.25" spans="1:5">
      <c r="A393" s="2" t="str">
        <f>"2020021402"</f>
        <v>2020021402</v>
      </c>
      <c r="B393" s="2" t="s">
        <v>522</v>
      </c>
      <c r="C393" s="2">
        <v>14</v>
      </c>
      <c r="D393" s="2">
        <v>2</v>
      </c>
      <c r="E393" s="3">
        <v>55.5</v>
      </c>
    </row>
    <row r="394" ht="14.25" spans="1:5">
      <c r="A394" s="2" t="str">
        <f>"2020021403"</f>
        <v>2020021403</v>
      </c>
      <c r="B394" s="2" t="s">
        <v>522</v>
      </c>
      <c r="C394" s="2">
        <v>14</v>
      </c>
      <c r="D394" s="2">
        <v>3</v>
      </c>
      <c r="E394" s="3">
        <v>65</v>
      </c>
    </row>
    <row r="395" ht="14.25" spans="1:5">
      <c r="A395" s="2" t="str">
        <f>"2020021404"</f>
        <v>2020021404</v>
      </c>
      <c r="B395" s="2" t="s">
        <v>522</v>
      </c>
      <c r="C395" s="2">
        <v>14</v>
      </c>
      <c r="D395" s="2">
        <v>4</v>
      </c>
      <c r="E395" s="3">
        <v>67.5</v>
      </c>
    </row>
    <row r="396" ht="14.25" spans="1:5">
      <c r="A396" s="2" t="str">
        <f>"2020021405"</f>
        <v>2020021405</v>
      </c>
      <c r="B396" s="2" t="s">
        <v>522</v>
      </c>
      <c r="C396" s="2">
        <v>14</v>
      </c>
      <c r="D396" s="2">
        <v>5</v>
      </c>
      <c r="E396" s="3">
        <v>67.3</v>
      </c>
    </row>
    <row r="397" ht="14.25" spans="1:5">
      <c r="A397" s="2" t="str">
        <f>"2020021406"</f>
        <v>2020021406</v>
      </c>
      <c r="B397" s="2" t="s">
        <v>522</v>
      </c>
      <c r="C397" s="2">
        <v>14</v>
      </c>
      <c r="D397" s="2">
        <v>6</v>
      </c>
      <c r="E397" s="3">
        <v>64</v>
      </c>
    </row>
    <row r="398" ht="14.25" spans="1:5">
      <c r="A398" s="2" t="str">
        <f>"2020021407"</f>
        <v>2020021407</v>
      </c>
      <c r="B398" s="2" t="s">
        <v>522</v>
      </c>
      <c r="C398" s="2">
        <v>14</v>
      </c>
      <c r="D398" s="2">
        <v>7</v>
      </c>
      <c r="E398" s="3">
        <v>69.9</v>
      </c>
    </row>
    <row r="399" ht="14.25" spans="1:5">
      <c r="A399" s="2" t="str">
        <f>"2020021408"</f>
        <v>2020021408</v>
      </c>
      <c r="B399" s="2" t="s">
        <v>522</v>
      </c>
      <c r="C399" s="2">
        <v>14</v>
      </c>
      <c r="D399" s="2">
        <v>8</v>
      </c>
      <c r="E399" s="3" t="s">
        <v>16</v>
      </c>
    </row>
    <row r="400" ht="14.25" spans="1:5">
      <c r="A400" s="2" t="str">
        <f>"2020021409"</f>
        <v>2020021409</v>
      </c>
      <c r="B400" s="2" t="s">
        <v>522</v>
      </c>
      <c r="C400" s="2">
        <v>14</v>
      </c>
      <c r="D400" s="2">
        <v>9</v>
      </c>
      <c r="E400" s="3">
        <v>51.1</v>
      </c>
    </row>
    <row r="401" ht="14.25" spans="1:5">
      <c r="A401" s="2" t="str">
        <f>"2020021410"</f>
        <v>2020021410</v>
      </c>
      <c r="B401" s="2" t="s">
        <v>522</v>
      </c>
      <c r="C401" s="2">
        <v>14</v>
      </c>
      <c r="D401" s="2">
        <v>10</v>
      </c>
      <c r="E401" s="3" t="s">
        <v>16</v>
      </c>
    </row>
    <row r="402" ht="14.25" spans="1:5">
      <c r="A402" s="2" t="str">
        <f>"2020021411"</f>
        <v>2020021411</v>
      </c>
      <c r="B402" s="2" t="s">
        <v>522</v>
      </c>
      <c r="C402" s="2">
        <v>14</v>
      </c>
      <c r="D402" s="2">
        <v>11</v>
      </c>
      <c r="E402" s="3">
        <v>64.7</v>
      </c>
    </row>
    <row r="403" ht="14.25" spans="1:5">
      <c r="A403" s="2" t="str">
        <f>"2020021412"</f>
        <v>2020021412</v>
      </c>
      <c r="B403" s="2" t="s">
        <v>522</v>
      </c>
      <c r="C403" s="2">
        <v>14</v>
      </c>
      <c r="D403" s="2">
        <v>12</v>
      </c>
      <c r="E403" s="3">
        <v>61.4</v>
      </c>
    </row>
    <row r="404" ht="14.25" spans="1:5">
      <c r="A404" s="2" t="str">
        <f>"2020021413"</f>
        <v>2020021413</v>
      </c>
      <c r="B404" s="2" t="s">
        <v>522</v>
      </c>
      <c r="C404" s="2">
        <v>14</v>
      </c>
      <c r="D404" s="2">
        <v>13</v>
      </c>
      <c r="E404" s="3">
        <v>58.4</v>
      </c>
    </row>
    <row r="405" ht="14.25" spans="1:5">
      <c r="A405" s="2" t="str">
        <f>"2020021414"</f>
        <v>2020021414</v>
      </c>
      <c r="B405" s="2" t="s">
        <v>522</v>
      </c>
      <c r="C405" s="2">
        <v>14</v>
      </c>
      <c r="D405" s="2">
        <v>14</v>
      </c>
      <c r="E405" s="3">
        <v>70.5</v>
      </c>
    </row>
    <row r="406" ht="14.25" spans="1:5">
      <c r="A406" s="2" t="str">
        <f>"2020021415"</f>
        <v>2020021415</v>
      </c>
      <c r="B406" s="2" t="s">
        <v>522</v>
      </c>
      <c r="C406" s="2">
        <v>14</v>
      </c>
      <c r="D406" s="2">
        <v>15</v>
      </c>
      <c r="E406" s="3">
        <v>59.4</v>
      </c>
    </row>
    <row r="407" ht="14.25" spans="1:5">
      <c r="A407" s="2" t="str">
        <f>"2020021416"</f>
        <v>2020021416</v>
      </c>
      <c r="B407" s="2" t="s">
        <v>522</v>
      </c>
      <c r="C407" s="2">
        <v>14</v>
      </c>
      <c r="D407" s="2">
        <v>16</v>
      </c>
      <c r="E407" s="3" t="s">
        <v>16</v>
      </c>
    </row>
    <row r="408" ht="14.25" spans="1:5">
      <c r="A408" s="2" t="str">
        <f>"2020021417"</f>
        <v>2020021417</v>
      </c>
      <c r="B408" s="2" t="s">
        <v>522</v>
      </c>
      <c r="C408" s="2">
        <v>14</v>
      </c>
      <c r="D408" s="2">
        <v>17</v>
      </c>
      <c r="E408" s="3">
        <v>71.2</v>
      </c>
    </row>
    <row r="409" ht="14.25" spans="1:5">
      <c r="A409" s="2" t="str">
        <f>"2020021418"</f>
        <v>2020021418</v>
      </c>
      <c r="B409" s="2" t="s">
        <v>522</v>
      </c>
      <c r="C409" s="2">
        <v>14</v>
      </c>
      <c r="D409" s="2">
        <v>18</v>
      </c>
      <c r="E409" s="3" t="s">
        <v>16</v>
      </c>
    </row>
    <row r="410" ht="14.25" spans="1:5">
      <c r="A410" s="2" t="str">
        <f>"2020021419"</f>
        <v>2020021419</v>
      </c>
      <c r="B410" s="2" t="s">
        <v>522</v>
      </c>
      <c r="C410" s="2">
        <v>14</v>
      </c>
      <c r="D410" s="2">
        <v>19</v>
      </c>
      <c r="E410" s="3" t="s">
        <v>16</v>
      </c>
    </row>
    <row r="411" ht="14.25" spans="1:5">
      <c r="A411" s="2" t="str">
        <f>"2020021420"</f>
        <v>2020021420</v>
      </c>
      <c r="B411" s="2" t="s">
        <v>522</v>
      </c>
      <c r="C411" s="2">
        <v>14</v>
      </c>
      <c r="D411" s="2">
        <v>20</v>
      </c>
      <c r="E411" s="3">
        <v>73.8</v>
      </c>
    </row>
    <row r="412" ht="14.25" spans="1:5">
      <c r="A412" s="2" t="str">
        <f>"2020021421"</f>
        <v>2020021421</v>
      </c>
      <c r="B412" s="2" t="s">
        <v>522</v>
      </c>
      <c r="C412" s="2">
        <v>14</v>
      </c>
      <c r="D412" s="2">
        <v>21</v>
      </c>
      <c r="E412" s="3" t="s">
        <v>16</v>
      </c>
    </row>
    <row r="413" ht="14.25" spans="1:5">
      <c r="A413" s="2" t="str">
        <f>"2020021422"</f>
        <v>2020021422</v>
      </c>
      <c r="B413" s="2" t="s">
        <v>522</v>
      </c>
      <c r="C413" s="2">
        <v>14</v>
      </c>
      <c r="D413" s="2">
        <v>22</v>
      </c>
      <c r="E413" s="3">
        <v>48.6</v>
      </c>
    </row>
    <row r="414" ht="14.25" spans="1:5">
      <c r="A414" s="2" t="str">
        <f>"2020021423"</f>
        <v>2020021423</v>
      </c>
      <c r="B414" s="2" t="s">
        <v>522</v>
      </c>
      <c r="C414" s="2">
        <v>14</v>
      </c>
      <c r="D414" s="2">
        <v>23</v>
      </c>
      <c r="E414" s="3">
        <v>63.9</v>
      </c>
    </row>
    <row r="415" ht="14.25" spans="1:5">
      <c r="A415" s="2" t="str">
        <f>"2020021424"</f>
        <v>2020021424</v>
      </c>
      <c r="B415" s="2" t="s">
        <v>522</v>
      </c>
      <c r="C415" s="2">
        <v>14</v>
      </c>
      <c r="D415" s="2">
        <v>24</v>
      </c>
      <c r="E415" s="3">
        <v>55.4</v>
      </c>
    </row>
    <row r="416" ht="14.25" spans="1:5">
      <c r="A416" s="2" t="str">
        <f>"2020021425"</f>
        <v>2020021425</v>
      </c>
      <c r="B416" s="2" t="s">
        <v>522</v>
      </c>
      <c r="C416" s="2">
        <v>14</v>
      </c>
      <c r="D416" s="2">
        <v>25</v>
      </c>
      <c r="E416" s="3">
        <v>70.9</v>
      </c>
    </row>
    <row r="417" ht="14.25" spans="1:5">
      <c r="A417" s="2" t="str">
        <f>"2020021426"</f>
        <v>2020021426</v>
      </c>
      <c r="B417" s="2" t="s">
        <v>522</v>
      </c>
      <c r="C417" s="2">
        <v>14</v>
      </c>
      <c r="D417" s="2">
        <v>26</v>
      </c>
      <c r="E417" s="3">
        <v>63.3</v>
      </c>
    </row>
    <row r="418" ht="14.25" spans="1:5">
      <c r="A418" s="2" t="str">
        <f>"2020021427"</f>
        <v>2020021427</v>
      </c>
      <c r="B418" s="2" t="s">
        <v>522</v>
      </c>
      <c r="C418" s="2">
        <v>14</v>
      </c>
      <c r="D418" s="2">
        <v>27</v>
      </c>
      <c r="E418" s="3">
        <v>68.3</v>
      </c>
    </row>
    <row r="419" ht="14.25" spans="1:5">
      <c r="A419" s="2" t="str">
        <f>"2020021428"</f>
        <v>2020021428</v>
      </c>
      <c r="B419" s="2" t="s">
        <v>522</v>
      </c>
      <c r="C419" s="2">
        <v>14</v>
      </c>
      <c r="D419" s="2">
        <v>28</v>
      </c>
      <c r="E419" s="3">
        <v>55.2</v>
      </c>
    </row>
    <row r="420" ht="14.25" spans="1:5">
      <c r="A420" s="2" t="str">
        <f>"2020021429"</f>
        <v>2020021429</v>
      </c>
      <c r="B420" s="2" t="s">
        <v>522</v>
      </c>
      <c r="C420" s="2">
        <v>14</v>
      </c>
      <c r="D420" s="2">
        <v>29</v>
      </c>
      <c r="E420" s="3" t="s">
        <v>16</v>
      </c>
    </row>
    <row r="421" ht="14.25" spans="1:5">
      <c r="A421" s="2" t="str">
        <f>"2020021430"</f>
        <v>2020021430</v>
      </c>
      <c r="B421" s="2" t="s">
        <v>522</v>
      </c>
      <c r="C421" s="2">
        <v>14</v>
      </c>
      <c r="D421" s="2">
        <v>30</v>
      </c>
      <c r="E421" s="3">
        <v>73.5</v>
      </c>
    </row>
    <row r="422" ht="14.25" spans="1:5">
      <c r="A422" s="2" t="str">
        <f>"2020021501"</f>
        <v>2020021501</v>
      </c>
      <c r="B422" s="2" t="s">
        <v>522</v>
      </c>
      <c r="C422" s="2">
        <v>15</v>
      </c>
      <c r="D422" s="2">
        <v>1</v>
      </c>
      <c r="E422" s="3">
        <v>62</v>
      </c>
    </row>
    <row r="423" ht="14.25" spans="1:5">
      <c r="A423" s="2" t="str">
        <f>"2020021502"</f>
        <v>2020021502</v>
      </c>
      <c r="B423" s="2" t="s">
        <v>522</v>
      </c>
      <c r="C423" s="2">
        <v>15</v>
      </c>
      <c r="D423" s="2">
        <v>2</v>
      </c>
      <c r="E423" s="3">
        <v>73.4</v>
      </c>
    </row>
    <row r="424" ht="14.25" spans="1:5">
      <c r="A424" s="2" t="str">
        <f>"2020021503"</f>
        <v>2020021503</v>
      </c>
      <c r="B424" s="2" t="s">
        <v>522</v>
      </c>
      <c r="C424" s="2">
        <v>15</v>
      </c>
      <c r="D424" s="2">
        <v>3</v>
      </c>
      <c r="E424" s="3">
        <v>48.9</v>
      </c>
    </row>
    <row r="425" ht="14.25" spans="1:5">
      <c r="A425" s="2" t="str">
        <f>"2020021504"</f>
        <v>2020021504</v>
      </c>
      <c r="B425" s="2" t="s">
        <v>522</v>
      </c>
      <c r="C425" s="2">
        <v>15</v>
      </c>
      <c r="D425" s="2">
        <v>4</v>
      </c>
      <c r="E425" s="3">
        <v>59.1</v>
      </c>
    </row>
    <row r="426" ht="14.25" spans="1:5">
      <c r="A426" s="2" t="str">
        <f>"2020021505"</f>
        <v>2020021505</v>
      </c>
      <c r="B426" s="2" t="s">
        <v>522</v>
      </c>
      <c r="C426" s="2">
        <v>15</v>
      </c>
      <c r="D426" s="2">
        <v>5</v>
      </c>
      <c r="E426" s="3" t="s">
        <v>16</v>
      </c>
    </row>
    <row r="427" ht="14.25" spans="1:5">
      <c r="A427" s="2" t="str">
        <f>"2020021506"</f>
        <v>2020021506</v>
      </c>
      <c r="B427" s="2" t="s">
        <v>522</v>
      </c>
      <c r="C427" s="2">
        <v>15</v>
      </c>
      <c r="D427" s="2">
        <v>6</v>
      </c>
      <c r="E427" s="3">
        <v>64.6</v>
      </c>
    </row>
    <row r="428" ht="14.25" spans="1:5">
      <c r="A428" s="2" t="str">
        <f>"2020021507"</f>
        <v>2020021507</v>
      </c>
      <c r="B428" s="2" t="s">
        <v>522</v>
      </c>
      <c r="C428" s="2">
        <v>15</v>
      </c>
      <c r="D428" s="2">
        <v>7</v>
      </c>
      <c r="E428" s="3">
        <v>65.8</v>
      </c>
    </row>
    <row r="429" ht="14.25" spans="1:5">
      <c r="A429" s="2" t="str">
        <f>"2020021508"</f>
        <v>2020021508</v>
      </c>
      <c r="B429" s="2" t="s">
        <v>522</v>
      </c>
      <c r="C429" s="2">
        <v>15</v>
      </c>
      <c r="D429" s="2">
        <v>8</v>
      </c>
      <c r="E429" s="3" t="s">
        <v>16</v>
      </c>
    </row>
    <row r="430" ht="14.25" spans="1:5">
      <c r="A430" s="2" t="str">
        <f>"2020021509"</f>
        <v>2020021509</v>
      </c>
      <c r="B430" s="2" t="s">
        <v>522</v>
      </c>
      <c r="C430" s="2">
        <v>15</v>
      </c>
      <c r="D430" s="2">
        <v>9</v>
      </c>
      <c r="E430" s="3">
        <v>61</v>
      </c>
    </row>
    <row r="431" ht="14.25" spans="1:5">
      <c r="A431" s="2" t="str">
        <f>"2020021510"</f>
        <v>2020021510</v>
      </c>
      <c r="B431" s="2" t="s">
        <v>522</v>
      </c>
      <c r="C431" s="2">
        <v>15</v>
      </c>
      <c r="D431" s="2">
        <v>10</v>
      </c>
      <c r="E431" s="3" t="s">
        <v>16</v>
      </c>
    </row>
    <row r="432" ht="14.25" spans="1:5">
      <c r="A432" s="2" t="str">
        <f>"2020021511"</f>
        <v>2020021511</v>
      </c>
      <c r="B432" s="2" t="s">
        <v>522</v>
      </c>
      <c r="C432" s="2">
        <v>15</v>
      </c>
      <c r="D432" s="2">
        <v>11</v>
      </c>
      <c r="E432" s="3">
        <v>66.2</v>
      </c>
    </row>
    <row r="433" ht="14.25" spans="1:5">
      <c r="A433" s="2" t="str">
        <f>"2020021512"</f>
        <v>2020021512</v>
      </c>
      <c r="B433" s="2" t="s">
        <v>522</v>
      </c>
      <c r="C433" s="2">
        <v>15</v>
      </c>
      <c r="D433" s="2">
        <v>12</v>
      </c>
      <c r="E433" s="3">
        <v>64.7</v>
      </c>
    </row>
    <row r="434" ht="14.25" spans="1:5">
      <c r="A434" s="2" t="str">
        <f>"2020021513"</f>
        <v>2020021513</v>
      </c>
      <c r="B434" s="2" t="s">
        <v>522</v>
      </c>
      <c r="C434" s="2">
        <v>15</v>
      </c>
      <c r="D434" s="2">
        <v>13</v>
      </c>
      <c r="E434" s="3">
        <v>73.2</v>
      </c>
    </row>
    <row r="435" ht="14.25" spans="1:5">
      <c r="A435" s="2" t="str">
        <f>"2020021514"</f>
        <v>2020021514</v>
      </c>
      <c r="B435" s="2" t="s">
        <v>522</v>
      </c>
      <c r="C435" s="2">
        <v>15</v>
      </c>
      <c r="D435" s="2">
        <v>14</v>
      </c>
      <c r="E435" s="3">
        <v>63.7</v>
      </c>
    </row>
    <row r="436" ht="14.25" spans="1:5">
      <c r="A436" s="2" t="str">
        <f>"2020021515"</f>
        <v>2020021515</v>
      </c>
      <c r="B436" s="2" t="s">
        <v>522</v>
      </c>
      <c r="C436" s="2">
        <v>15</v>
      </c>
      <c r="D436" s="2">
        <v>15</v>
      </c>
      <c r="E436" s="3">
        <v>72.8</v>
      </c>
    </row>
    <row r="437" ht="14.25" spans="1:5">
      <c r="A437" s="2" t="str">
        <f>"2020021516"</f>
        <v>2020021516</v>
      </c>
      <c r="B437" s="2" t="s">
        <v>522</v>
      </c>
      <c r="C437" s="2">
        <v>15</v>
      </c>
      <c r="D437" s="2">
        <v>16</v>
      </c>
      <c r="E437" s="3">
        <v>73.1</v>
      </c>
    </row>
    <row r="438" ht="14.25" spans="1:5">
      <c r="A438" s="2" t="str">
        <f>"2020021517"</f>
        <v>2020021517</v>
      </c>
      <c r="B438" s="2" t="s">
        <v>522</v>
      </c>
      <c r="C438" s="2">
        <v>15</v>
      </c>
      <c r="D438" s="2">
        <v>17</v>
      </c>
      <c r="E438" s="3" t="s">
        <v>16</v>
      </c>
    </row>
    <row r="439" ht="14.25" spans="1:5">
      <c r="A439" s="2" t="str">
        <f>"2020021518"</f>
        <v>2020021518</v>
      </c>
      <c r="B439" s="2" t="s">
        <v>522</v>
      </c>
      <c r="C439" s="2">
        <v>15</v>
      </c>
      <c r="D439" s="2">
        <v>18</v>
      </c>
      <c r="E439" s="3" t="s">
        <v>16</v>
      </c>
    </row>
    <row r="440" ht="14.25" spans="1:5">
      <c r="A440" s="2" t="str">
        <f>"2020021519"</f>
        <v>2020021519</v>
      </c>
      <c r="B440" s="2" t="s">
        <v>522</v>
      </c>
      <c r="C440" s="2">
        <v>15</v>
      </c>
      <c r="D440" s="2">
        <v>19</v>
      </c>
      <c r="E440" s="3">
        <v>69.6</v>
      </c>
    </row>
    <row r="441" ht="14.25" spans="1:5">
      <c r="A441" s="2" t="str">
        <f>"2020021520"</f>
        <v>2020021520</v>
      </c>
      <c r="B441" s="2" t="s">
        <v>522</v>
      </c>
      <c r="C441" s="2">
        <v>15</v>
      </c>
      <c r="D441" s="2">
        <v>20</v>
      </c>
      <c r="E441" s="3">
        <v>59.3</v>
      </c>
    </row>
    <row r="442" ht="14.25" spans="1:5">
      <c r="A442" s="2" t="str">
        <f>"2020021521"</f>
        <v>2020021521</v>
      </c>
      <c r="B442" s="2" t="s">
        <v>522</v>
      </c>
      <c r="C442" s="2">
        <v>15</v>
      </c>
      <c r="D442" s="2">
        <v>21</v>
      </c>
      <c r="E442" s="3">
        <v>66.5</v>
      </c>
    </row>
    <row r="443" ht="14.25" spans="1:5">
      <c r="A443" s="2" t="str">
        <f>"2020021522"</f>
        <v>2020021522</v>
      </c>
      <c r="B443" s="2" t="s">
        <v>522</v>
      </c>
      <c r="C443" s="2">
        <v>15</v>
      </c>
      <c r="D443" s="2">
        <v>22</v>
      </c>
      <c r="E443" s="3" t="s">
        <v>16</v>
      </c>
    </row>
    <row r="444" ht="14.25" spans="1:5">
      <c r="A444" s="2" t="str">
        <f>"2020021523"</f>
        <v>2020021523</v>
      </c>
      <c r="B444" s="2" t="s">
        <v>522</v>
      </c>
      <c r="C444" s="2">
        <v>15</v>
      </c>
      <c r="D444" s="2">
        <v>23</v>
      </c>
      <c r="E444" s="3">
        <v>69.2</v>
      </c>
    </row>
    <row r="445" ht="14.25" spans="1:5">
      <c r="A445" s="2" t="str">
        <f>"2020021524"</f>
        <v>2020021524</v>
      </c>
      <c r="B445" s="2" t="s">
        <v>522</v>
      </c>
      <c r="C445" s="2">
        <v>15</v>
      </c>
      <c r="D445" s="2">
        <v>24</v>
      </c>
      <c r="E445" s="3">
        <v>60.3</v>
      </c>
    </row>
    <row r="446" ht="14.25" spans="1:5">
      <c r="A446" s="2" t="str">
        <f>"2020021525"</f>
        <v>2020021525</v>
      </c>
      <c r="B446" s="2" t="s">
        <v>522</v>
      </c>
      <c r="C446" s="2">
        <v>15</v>
      </c>
      <c r="D446" s="2">
        <v>25</v>
      </c>
      <c r="E446" s="3">
        <v>65.3</v>
      </c>
    </row>
    <row r="447" ht="14.25" spans="1:5">
      <c r="A447" s="2" t="str">
        <f>"2020021526"</f>
        <v>2020021526</v>
      </c>
      <c r="B447" s="2" t="s">
        <v>522</v>
      </c>
      <c r="C447" s="2">
        <v>15</v>
      </c>
      <c r="D447" s="2">
        <v>26</v>
      </c>
      <c r="E447" s="3" t="s">
        <v>16</v>
      </c>
    </row>
    <row r="448" ht="14.25" spans="1:5">
      <c r="A448" s="2" t="str">
        <f>"2020021527"</f>
        <v>2020021527</v>
      </c>
      <c r="B448" s="2" t="s">
        <v>522</v>
      </c>
      <c r="C448" s="2">
        <v>15</v>
      </c>
      <c r="D448" s="2">
        <v>27</v>
      </c>
      <c r="E448" s="3">
        <v>50.2</v>
      </c>
    </row>
    <row r="449" ht="14.25" spans="1:5">
      <c r="A449" s="2" t="str">
        <f>"2020021528"</f>
        <v>2020021528</v>
      </c>
      <c r="B449" s="2" t="s">
        <v>522</v>
      </c>
      <c r="C449" s="2">
        <v>15</v>
      </c>
      <c r="D449" s="2">
        <v>28</v>
      </c>
      <c r="E449" s="3">
        <v>68.6</v>
      </c>
    </row>
    <row r="450" ht="14.25" spans="1:5">
      <c r="A450" s="2" t="str">
        <f>"2020021529"</f>
        <v>2020021529</v>
      </c>
      <c r="B450" s="2" t="s">
        <v>522</v>
      </c>
      <c r="C450" s="2">
        <v>15</v>
      </c>
      <c r="D450" s="2">
        <v>29</v>
      </c>
      <c r="E450" s="3">
        <v>56.4</v>
      </c>
    </row>
    <row r="451" ht="14.25" spans="1:5">
      <c r="A451" s="2" t="str">
        <f>"2020021530"</f>
        <v>2020021530</v>
      </c>
      <c r="B451" s="2" t="s">
        <v>522</v>
      </c>
      <c r="C451" s="2">
        <v>15</v>
      </c>
      <c r="D451" s="2">
        <v>30</v>
      </c>
      <c r="E451" s="3">
        <v>71.2</v>
      </c>
    </row>
    <row r="452" ht="14.25" spans="1:5">
      <c r="A452" s="2" t="str">
        <f>"2020021601"</f>
        <v>2020021601</v>
      </c>
      <c r="B452" s="2" t="s">
        <v>522</v>
      </c>
      <c r="C452" s="2">
        <v>16</v>
      </c>
      <c r="D452" s="2">
        <v>1</v>
      </c>
      <c r="E452" s="3">
        <v>76.4</v>
      </c>
    </row>
    <row r="453" ht="14.25" spans="1:5">
      <c r="A453" s="2" t="str">
        <f>"2020021602"</f>
        <v>2020021602</v>
      </c>
      <c r="B453" s="2" t="s">
        <v>522</v>
      </c>
      <c r="C453" s="2">
        <v>16</v>
      </c>
      <c r="D453" s="2">
        <v>2</v>
      </c>
      <c r="E453" s="3" t="s">
        <v>16</v>
      </c>
    </row>
    <row r="454" ht="14.25" spans="1:5">
      <c r="A454" s="2" t="str">
        <f>"2020021603"</f>
        <v>2020021603</v>
      </c>
      <c r="B454" s="2" t="s">
        <v>522</v>
      </c>
      <c r="C454" s="2">
        <v>16</v>
      </c>
      <c r="D454" s="2">
        <v>3</v>
      </c>
      <c r="E454" s="3" t="s">
        <v>16</v>
      </c>
    </row>
    <row r="455" ht="14.25" spans="1:5">
      <c r="A455" s="2" t="str">
        <f>"2020021604"</f>
        <v>2020021604</v>
      </c>
      <c r="B455" s="2" t="s">
        <v>522</v>
      </c>
      <c r="C455" s="2">
        <v>16</v>
      </c>
      <c r="D455" s="2">
        <v>4</v>
      </c>
      <c r="E455" s="3" t="s">
        <v>16</v>
      </c>
    </row>
    <row r="456" ht="14.25" spans="1:5">
      <c r="A456" s="2" t="str">
        <f>"2020021605"</f>
        <v>2020021605</v>
      </c>
      <c r="B456" s="2" t="s">
        <v>522</v>
      </c>
      <c r="C456" s="2">
        <v>16</v>
      </c>
      <c r="D456" s="2">
        <v>5</v>
      </c>
      <c r="E456" s="3">
        <v>76.1</v>
      </c>
    </row>
    <row r="457" ht="14.25" spans="1:5">
      <c r="A457" s="2" t="str">
        <f>"2020021606"</f>
        <v>2020021606</v>
      </c>
      <c r="B457" s="2" t="s">
        <v>522</v>
      </c>
      <c r="C457" s="2">
        <v>16</v>
      </c>
      <c r="D457" s="2">
        <v>6</v>
      </c>
      <c r="E457" s="3">
        <v>62.7</v>
      </c>
    </row>
    <row r="458" ht="14.25" spans="1:5">
      <c r="A458" s="2" t="str">
        <f>"2020021607"</f>
        <v>2020021607</v>
      </c>
      <c r="B458" s="2" t="s">
        <v>522</v>
      </c>
      <c r="C458" s="2">
        <v>16</v>
      </c>
      <c r="D458" s="2">
        <v>7</v>
      </c>
      <c r="E458" s="3">
        <v>75.1</v>
      </c>
    </row>
    <row r="459" ht="14.25" spans="1:5">
      <c r="A459" s="2" t="str">
        <f>"2020021608"</f>
        <v>2020021608</v>
      </c>
      <c r="B459" s="2" t="s">
        <v>522</v>
      </c>
      <c r="C459" s="2">
        <v>16</v>
      </c>
      <c r="D459" s="2">
        <v>8</v>
      </c>
      <c r="E459" s="3">
        <v>54.1</v>
      </c>
    </row>
    <row r="460" ht="14.25" spans="1:5">
      <c r="A460" s="2" t="str">
        <f>"2020021609"</f>
        <v>2020021609</v>
      </c>
      <c r="B460" s="2" t="s">
        <v>522</v>
      </c>
      <c r="C460" s="2">
        <v>16</v>
      </c>
      <c r="D460" s="2">
        <v>9</v>
      </c>
      <c r="E460" s="3">
        <v>48.4</v>
      </c>
    </row>
    <row r="461" ht="14.25" spans="1:5">
      <c r="A461" s="2" t="str">
        <f>"2020021610"</f>
        <v>2020021610</v>
      </c>
      <c r="B461" s="2" t="s">
        <v>522</v>
      </c>
      <c r="C461" s="2">
        <v>16</v>
      </c>
      <c r="D461" s="2">
        <v>10</v>
      </c>
      <c r="E461" s="3">
        <v>70.6</v>
      </c>
    </row>
    <row r="462" ht="14.25" spans="1:5">
      <c r="A462" s="2" t="str">
        <f>"2020021611"</f>
        <v>2020021611</v>
      </c>
      <c r="B462" s="2" t="s">
        <v>522</v>
      </c>
      <c r="C462" s="2">
        <v>16</v>
      </c>
      <c r="D462" s="2">
        <v>11</v>
      </c>
      <c r="E462" s="3" t="s">
        <v>16</v>
      </c>
    </row>
    <row r="463" ht="14.25" spans="1:5">
      <c r="A463" s="2" t="str">
        <f>"2020021612"</f>
        <v>2020021612</v>
      </c>
      <c r="B463" s="2" t="s">
        <v>522</v>
      </c>
      <c r="C463" s="2">
        <v>16</v>
      </c>
      <c r="D463" s="2">
        <v>12</v>
      </c>
      <c r="E463" s="3">
        <v>49.2</v>
      </c>
    </row>
    <row r="464" ht="14.25" spans="1:5">
      <c r="A464" s="2" t="str">
        <f>"2020021613"</f>
        <v>2020021613</v>
      </c>
      <c r="B464" s="2" t="s">
        <v>522</v>
      </c>
      <c r="C464" s="2">
        <v>16</v>
      </c>
      <c r="D464" s="2">
        <v>13</v>
      </c>
      <c r="E464" s="3">
        <v>64.7</v>
      </c>
    </row>
    <row r="465" ht="14.25" spans="1:5">
      <c r="A465" s="2" t="str">
        <f>"2020021614"</f>
        <v>2020021614</v>
      </c>
      <c r="B465" s="2" t="s">
        <v>522</v>
      </c>
      <c r="C465" s="2">
        <v>16</v>
      </c>
      <c r="D465" s="2">
        <v>14</v>
      </c>
      <c r="E465" s="3">
        <v>62.6</v>
      </c>
    </row>
    <row r="466" ht="14.25" spans="1:5">
      <c r="A466" s="2" t="str">
        <f>"2020021615"</f>
        <v>2020021615</v>
      </c>
      <c r="B466" s="2" t="s">
        <v>522</v>
      </c>
      <c r="C466" s="2">
        <v>16</v>
      </c>
      <c r="D466" s="2">
        <v>15</v>
      </c>
      <c r="E466" s="3" t="s">
        <v>16</v>
      </c>
    </row>
    <row r="467" ht="14.25" spans="1:5">
      <c r="A467" s="2" t="str">
        <f>"2020021616"</f>
        <v>2020021616</v>
      </c>
      <c r="B467" s="2" t="s">
        <v>522</v>
      </c>
      <c r="C467" s="2">
        <v>16</v>
      </c>
      <c r="D467" s="2">
        <v>16</v>
      </c>
      <c r="E467" s="3">
        <v>61.7</v>
      </c>
    </row>
    <row r="468" ht="14.25" spans="1:5">
      <c r="A468" s="2" t="str">
        <f>"2020021617"</f>
        <v>2020021617</v>
      </c>
      <c r="B468" s="2" t="s">
        <v>522</v>
      </c>
      <c r="C468" s="2">
        <v>16</v>
      </c>
      <c r="D468" s="2">
        <v>17</v>
      </c>
      <c r="E468" s="3">
        <v>48.9</v>
      </c>
    </row>
    <row r="469" ht="14.25" spans="1:5">
      <c r="A469" s="2" t="str">
        <f>"2020021618"</f>
        <v>2020021618</v>
      </c>
      <c r="B469" s="2" t="s">
        <v>522</v>
      </c>
      <c r="C469" s="2">
        <v>16</v>
      </c>
      <c r="D469" s="2">
        <v>18</v>
      </c>
      <c r="E469" s="3">
        <v>66.6</v>
      </c>
    </row>
    <row r="470" ht="14.25" spans="1:5">
      <c r="A470" s="2" t="str">
        <f>"2020021619"</f>
        <v>2020021619</v>
      </c>
      <c r="B470" s="2" t="s">
        <v>522</v>
      </c>
      <c r="C470" s="2">
        <v>16</v>
      </c>
      <c r="D470" s="2">
        <v>19</v>
      </c>
      <c r="E470" s="3">
        <v>70.8</v>
      </c>
    </row>
    <row r="471" ht="14.25" spans="1:5">
      <c r="A471" s="2" t="str">
        <f>"2020021620"</f>
        <v>2020021620</v>
      </c>
      <c r="B471" s="2" t="s">
        <v>522</v>
      </c>
      <c r="C471" s="2">
        <v>16</v>
      </c>
      <c r="D471" s="2">
        <v>20</v>
      </c>
      <c r="E471" s="3">
        <v>66.6</v>
      </c>
    </row>
    <row r="472" ht="14.25" spans="1:5">
      <c r="A472" s="2" t="str">
        <f>"2020021621"</f>
        <v>2020021621</v>
      </c>
      <c r="B472" s="2" t="s">
        <v>522</v>
      </c>
      <c r="C472" s="2">
        <v>16</v>
      </c>
      <c r="D472" s="2">
        <v>21</v>
      </c>
      <c r="E472" s="3" t="s">
        <v>16</v>
      </c>
    </row>
    <row r="473" ht="14.25" spans="1:5">
      <c r="A473" s="2" t="str">
        <f>"2020021622"</f>
        <v>2020021622</v>
      </c>
      <c r="B473" s="2" t="s">
        <v>522</v>
      </c>
      <c r="C473" s="2">
        <v>16</v>
      </c>
      <c r="D473" s="2">
        <v>22</v>
      </c>
      <c r="E473" s="3">
        <v>76.4</v>
      </c>
    </row>
    <row r="474" ht="14.25" spans="1:5">
      <c r="A474" s="2" t="str">
        <f>"2020021623"</f>
        <v>2020021623</v>
      </c>
      <c r="B474" s="2" t="s">
        <v>522</v>
      </c>
      <c r="C474" s="2">
        <v>16</v>
      </c>
      <c r="D474" s="2">
        <v>23</v>
      </c>
      <c r="E474" s="3">
        <v>51.1</v>
      </c>
    </row>
    <row r="475" ht="14.25" spans="1:5">
      <c r="A475" s="2" t="str">
        <f>"2020021624"</f>
        <v>2020021624</v>
      </c>
      <c r="B475" s="2" t="s">
        <v>522</v>
      </c>
      <c r="C475" s="2">
        <v>16</v>
      </c>
      <c r="D475" s="2">
        <v>24</v>
      </c>
      <c r="E475" s="3">
        <v>69.2</v>
      </c>
    </row>
    <row r="476" ht="14.25" spans="1:5">
      <c r="A476" s="2" t="str">
        <f>"2020021625"</f>
        <v>2020021625</v>
      </c>
      <c r="B476" s="2" t="s">
        <v>522</v>
      </c>
      <c r="C476" s="2">
        <v>16</v>
      </c>
      <c r="D476" s="2">
        <v>25</v>
      </c>
      <c r="E476" s="3" t="s">
        <v>16</v>
      </c>
    </row>
    <row r="477" ht="14.25" spans="1:5">
      <c r="A477" s="2" t="str">
        <f>"2020021626"</f>
        <v>2020021626</v>
      </c>
      <c r="B477" s="2" t="s">
        <v>522</v>
      </c>
      <c r="C477" s="2">
        <v>16</v>
      </c>
      <c r="D477" s="2">
        <v>26</v>
      </c>
      <c r="E477" s="3">
        <v>54.8</v>
      </c>
    </row>
    <row r="478" ht="14.25" spans="1:5">
      <c r="A478" s="2" t="str">
        <f>"2020021627"</f>
        <v>2020021627</v>
      </c>
      <c r="B478" s="2" t="s">
        <v>522</v>
      </c>
      <c r="C478" s="2">
        <v>16</v>
      </c>
      <c r="D478" s="2">
        <v>27</v>
      </c>
      <c r="E478" s="3">
        <v>58.7</v>
      </c>
    </row>
    <row r="479" ht="14.25" spans="1:5">
      <c r="A479" s="2" t="str">
        <f>"2020021628"</f>
        <v>2020021628</v>
      </c>
      <c r="B479" s="2" t="s">
        <v>522</v>
      </c>
      <c r="C479" s="2">
        <v>16</v>
      </c>
      <c r="D479" s="2">
        <v>28</v>
      </c>
      <c r="E479" s="3">
        <v>49.2</v>
      </c>
    </row>
    <row r="480" ht="14.25" spans="1:5">
      <c r="A480" s="2" t="str">
        <f>"2020021629"</f>
        <v>2020021629</v>
      </c>
      <c r="B480" s="2" t="s">
        <v>522</v>
      </c>
      <c r="C480" s="2">
        <v>16</v>
      </c>
      <c r="D480" s="2">
        <v>29</v>
      </c>
      <c r="E480" s="3">
        <v>61.3</v>
      </c>
    </row>
    <row r="481" ht="14.25" spans="1:5">
      <c r="A481" s="2" t="str">
        <f>"2020021630"</f>
        <v>2020021630</v>
      </c>
      <c r="B481" s="2" t="s">
        <v>522</v>
      </c>
      <c r="C481" s="2">
        <v>16</v>
      </c>
      <c r="D481" s="2">
        <v>30</v>
      </c>
      <c r="E481" s="3">
        <v>64.9</v>
      </c>
    </row>
    <row r="482" ht="14.25" spans="1:5">
      <c r="A482" s="2" t="str">
        <f>"2020021701"</f>
        <v>2020021701</v>
      </c>
      <c r="B482" s="2" t="s">
        <v>522</v>
      </c>
      <c r="C482" s="2">
        <v>17</v>
      </c>
      <c r="D482" s="2">
        <v>1</v>
      </c>
      <c r="E482" s="3" t="s">
        <v>16</v>
      </c>
    </row>
    <row r="483" ht="14.25" spans="1:5">
      <c r="A483" s="2" t="str">
        <f>"2020021702"</f>
        <v>2020021702</v>
      </c>
      <c r="B483" s="2" t="s">
        <v>522</v>
      </c>
      <c r="C483" s="2">
        <v>17</v>
      </c>
      <c r="D483" s="2">
        <v>2</v>
      </c>
      <c r="E483" s="3">
        <v>65.8</v>
      </c>
    </row>
    <row r="484" ht="14.25" spans="1:5">
      <c r="A484" s="2" t="str">
        <f>"2020021703"</f>
        <v>2020021703</v>
      </c>
      <c r="B484" s="2" t="s">
        <v>522</v>
      </c>
      <c r="C484" s="2">
        <v>17</v>
      </c>
      <c r="D484" s="2">
        <v>3</v>
      </c>
      <c r="E484" s="3">
        <v>60</v>
      </c>
    </row>
    <row r="485" ht="14.25" spans="1:5">
      <c r="A485" s="2" t="str">
        <f>"2020021704"</f>
        <v>2020021704</v>
      </c>
      <c r="B485" s="2" t="s">
        <v>522</v>
      </c>
      <c r="C485" s="2">
        <v>17</v>
      </c>
      <c r="D485" s="2">
        <v>4</v>
      </c>
      <c r="E485" s="3" t="s">
        <v>16</v>
      </c>
    </row>
    <row r="486" ht="14.25" spans="1:5">
      <c r="A486" s="2" t="str">
        <f>"2020021705"</f>
        <v>2020021705</v>
      </c>
      <c r="B486" s="2" t="s">
        <v>522</v>
      </c>
      <c r="C486" s="2">
        <v>17</v>
      </c>
      <c r="D486" s="2">
        <v>5</v>
      </c>
      <c r="E486" s="3">
        <v>61.4</v>
      </c>
    </row>
    <row r="487" ht="14.25" spans="1:5">
      <c r="A487" s="2" t="str">
        <f>"2020021706"</f>
        <v>2020021706</v>
      </c>
      <c r="B487" s="2" t="s">
        <v>522</v>
      </c>
      <c r="C487" s="2">
        <v>17</v>
      </c>
      <c r="D487" s="2">
        <v>6</v>
      </c>
      <c r="E487" s="3">
        <v>81.3</v>
      </c>
    </row>
    <row r="488" ht="14.25" spans="1:5">
      <c r="A488" s="2" t="str">
        <f>"2020021707"</f>
        <v>2020021707</v>
      </c>
      <c r="B488" s="2" t="s">
        <v>522</v>
      </c>
      <c r="C488" s="2">
        <v>17</v>
      </c>
      <c r="D488" s="2">
        <v>7</v>
      </c>
      <c r="E488" s="3">
        <v>76.5</v>
      </c>
    </row>
    <row r="489" ht="14.25" spans="1:5">
      <c r="A489" s="2" t="str">
        <f>"2020021708"</f>
        <v>2020021708</v>
      </c>
      <c r="B489" s="2" t="s">
        <v>522</v>
      </c>
      <c r="C489" s="2">
        <v>17</v>
      </c>
      <c r="D489" s="2">
        <v>8</v>
      </c>
      <c r="E489" s="3">
        <v>52.5</v>
      </c>
    </row>
    <row r="490" ht="14.25" spans="1:5">
      <c r="A490" s="2" t="str">
        <f>"2020021709"</f>
        <v>2020021709</v>
      </c>
      <c r="B490" s="2" t="s">
        <v>522</v>
      </c>
      <c r="C490" s="2">
        <v>17</v>
      </c>
      <c r="D490" s="2">
        <v>9</v>
      </c>
      <c r="E490" s="3">
        <v>66.2</v>
      </c>
    </row>
    <row r="491" ht="14.25" spans="1:5">
      <c r="A491" s="2" t="str">
        <f>"2020021710"</f>
        <v>2020021710</v>
      </c>
      <c r="B491" s="2" t="s">
        <v>522</v>
      </c>
      <c r="C491" s="2">
        <v>17</v>
      </c>
      <c r="D491" s="2">
        <v>10</v>
      </c>
      <c r="E491" s="3">
        <v>45.2</v>
      </c>
    </row>
    <row r="492" ht="14.25" spans="1:5">
      <c r="A492" s="2" t="str">
        <f>"2020021711"</f>
        <v>2020021711</v>
      </c>
      <c r="B492" s="2" t="s">
        <v>522</v>
      </c>
      <c r="C492" s="2">
        <v>17</v>
      </c>
      <c r="D492" s="2">
        <v>11</v>
      </c>
      <c r="E492" s="3">
        <v>72.4</v>
      </c>
    </row>
    <row r="493" ht="14.25" spans="1:5">
      <c r="A493" s="2" t="str">
        <f>"2020021712"</f>
        <v>2020021712</v>
      </c>
      <c r="B493" s="2" t="s">
        <v>522</v>
      </c>
      <c r="C493" s="2">
        <v>17</v>
      </c>
      <c r="D493" s="2">
        <v>12</v>
      </c>
      <c r="E493" s="3">
        <v>53.8</v>
      </c>
    </row>
    <row r="494" ht="14.25" spans="1:5">
      <c r="A494" s="2" t="str">
        <f>"2020021713"</f>
        <v>2020021713</v>
      </c>
      <c r="B494" s="2" t="s">
        <v>522</v>
      </c>
      <c r="C494" s="2">
        <v>17</v>
      </c>
      <c r="D494" s="2">
        <v>13</v>
      </c>
      <c r="E494" s="3">
        <v>66</v>
      </c>
    </row>
    <row r="495" ht="14.25" spans="1:5">
      <c r="A495" s="2" t="str">
        <f>"2020021714"</f>
        <v>2020021714</v>
      </c>
      <c r="B495" s="2" t="s">
        <v>522</v>
      </c>
      <c r="C495" s="2">
        <v>17</v>
      </c>
      <c r="D495" s="2">
        <v>14</v>
      </c>
      <c r="E495" s="3">
        <v>65.8</v>
      </c>
    </row>
    <row r="496" ht="14.25" spans="1:5">
      <c r="A496" s="2" t="str">
        <f>"2020021715"</f>
        <v>2020021715</v>
      </c>
      <c r="B496" s="2" t="s">
        <v>522</v>
      </c>
      <c r="C496" s="2">
        <v>17</v>
      </c>
      <c r="D496" s="2">
        <v>15</v>
      </c>
      <c r="E496" s="3">
        <v>67.3</v>
      </c>
    </row>
    <row r="497" ht="14.25" spans="1:5">
      <c r="A497" s="2" t="str">
        <f>"2020021716"</f>
        <v>2020021716</v>
      </c>
      <c r="B497" s="2" t="s">
        <v>522</v>
      </c>
      <c r="C497" s="2">
        <v>17</v>
      </c>
      <c r="D497" s="2">
        <v>16</v>
      </c>
      <c r="E497" s="3">
        <v>57.1</v>
      </c>
    </row>
    <row r="498" ht="14.25" spans="1:5">
      <c r="A498" s="2" t="str">
        <f>"2020021717"</f>
        <v>2020021717</v>
      </c>
      <c r="B498" s="2" t="s">
        <v>522</v>
      </c>
      <c r="C498" s="2">
        <v>17</v>
      </c>
      <c r="D498" s="2">
        <v>17</v>
      </c>
      <c r="E498" s="3">
        <v>70.2</v>
      </c>
    </row>
    <row r="499" ht="14.25" spans="1:5">
      <c r="A499" s="2" t="str">
        <f>"2020021718"</f>
        <v>2020021718</v>
      </c>
      <c r="B499" s="2" t="s">
        <v>522</v>
      </c>
      <c r="C499" s="2">
        <v>17</v>
      </c>
      <c r="D499" s="2">
        <v>18</v>
      </c>
      <c r="E499" s="3">
        <v>64.7</v>
      </c>
    </row>
    <row r="500" ht="14.25" spans="1:5">
      <c r="A500" s="2" t="str">
        <f>"2020021719"</f>
        <v>2020021719</v>
      </c>
      <c r="B500" s="2" t="s">
        <v>522</v>
      </c>
      <c r="C500" s="2">
        <v>17</v>
      </c>
      <c r="D500" s="2">
        <v>19</v>
      </c>
      <c r="E500" s="3">
        <v>63.3</v>
      </c>
    </row>
    <row r="501" ht="14.25" spans="1:5">
      <c r="A501" s="2" t="str">
        <f>"2020021720"</f>
        <v>2020021720</v>
      </c>
      <c r="B501" s="2" t="s">
        <v>522</v>
      </c>
      <c r="C501" s="2">
        <v>17</v>
      </c>
      <c r="D501" s="2">
        <v>20</v>
      </c>
      <c r="E501" s="3">
        <v>64.6</v>
      </c>
    </row>
    <row r="502" ht="14.25" spans="1:5">
      <c r="A502" s="2" t="str">
        <f>"2020021721"</f>
        <v>2020021721</v>
      </c>
      <c r="B502" s="2" t="s">
        <v>522</v>
      </c>
      <c r="C502" s="2">
        <v>17</v>
      </c>
      <c r="D502" s="2">
        <v>21</v>
      </c>
      <c r="E502" s="3" t="s">
        <v>16</v>
      </c>
    </row>
    <row r="503" ht="14.25" spans="1:5">
      <c r="A503" s="2" t="str">
        <f>"2020021722"</f>
        <v>2020021722</v>
      </c>
      <c r="B503" s="2" t="s">
        <v>522</v>
      </c>
      <c r="C503" s="2">
        <v>17</v>
      </c>
      <c r="D503" s="2">
        <v>22</v>
      </c>
      <c r="E503" s="3">
        <v>52.2</v>
      </c>
    </row>
    <row r="504" ht="14.25" spans="1:5">
      <c r="A504" s="2" t="str">
        <f>"2020021723"</f>
        <v>2020021723</v>
      </c>
      <c r="B504" s="2" t="s">
        <v>522</v>
      </c>
      <c r="C504" s="2">
        <v>17</v>
      </c>
      <c r="D504" s="2">
        <v>23</v>
      </c>
      <c r="E504" s="3" t="s">
        <v>16</v>
      </c>
    </row>
    <row r="505" ht="14.25" spans="1:5">
      <c r="A505" s="2" t="str">
        <f>"2020021724"</f>
        <v>2020021724</v>
      </c>
      <c r="B505" s="2" t="s">
        <v>522</v>
      </c>
      <c r="C505" s="2">
        <v>17</v>
      </c>
      <c r="D505" s="2">
        <v>24</v>
      </c>
      <c r="E505" s="3">
        <v>72.8</v>
      </c>
    </row>
    <row r="506" ht="14.25" spans="1:5">
      <c r="A506" s="2" t="str">
        <f>"2020021725"</f>
        <v>2020021725</v>
      </c>
      <c r="B506" s="2" t="s">
        <v>522</v>
      </c>
      <c r="C506" s="2">
        <v>17</v>
      </c>
      <c r="D506" s="2">
        <v>25</v>
      </c>
      <c r="E506" s="3" t="s">
        <v>16</v>
      </c>
    </row>
    <row r="507" ht="14.25" spans="1:5">
      <c r="A507" s="2" t="str">
        <f>"2020021726"</f>
        <v>2020021726</v>
      </c>
      <c r="B507" s="2" t="s">
        <v>522</v>
      </c>
      <c r="C507" s="2">
        <v>17</v>
      </c>
      <c r="D507" s="2">
        <v>26</v>
      </c>
      <c r="E507" s="3">
        <v>61.3</v>
      </c>
    </row>
    <row r="508" ht="14.25" spans="1:5">
      <c r="A508" s="2" t="str">
        <f>"2020021727"</f>
        <v>2020021727</v>
      </c>
      <c r="B508" s="2" t="s">
        <v>522</v>
      </c>
      <c r="C508" s="2">
        <v>17</v>
      </c>
      <c r="D508" s="2">
        <v>27</v>
      </c>
      <c r="E508" s="3">
        <v>54.1</v>
      </c>
    </row>
    <row r="509" ht="14.25" spans="1:5">
      <c r="A509" s="2" t="str">
        <f>"2020021728"</f>
        <v>2020021728</v>
      </c>
      <c r="B509" s="2" t="s">
        <v>522</v>
      </c>
      <c r="C509" s="2">
        <v>17</v>
      </c>
      <c r="D509" s="2">
        <v>28</v>
      </c>
      <c r="E509" s="3">
        <v>70.5</v>
      </c>
    </row>
    <row r="510" ht="14.25" spans="1:5">
      <c r="A510" s="2" t="str">
        <f>"2020021729"</f>
        <v>2020021729</v>
      </c>
      <c r="B510" s="2" t="s">
        <v>522</v>
      </c>
      <c r="C510" s="2">
        <v>17</v>
      </c>
      <c r="D510" s="2">
        <v>29</v>
      </c>
      <c r="E510" s="3">
        <v>64</v>
      </c>
    </row>
    <row r="511" ht="14.25" spans="1:5">
      <c r="A511" s="2" t="str">
        <f>"2020021730"</f>
        <v>2020021730</v>
      </c>
      <c r="B511" s="2" t="s">
        <v>522</v>
      </c>
      <c r="C511" s="2">
        <v>17</v>
      </c>
      <c r="D511" s="2">
        <v>30</v>
      </c>
      <c r="E511" s="3">
        <v>68</v>
      </c>
    </row>
    <row r="512" ht="14.25" spans="1:5">
      <c r="A512" s="2" t="str">
        <f>"2020021801"</f>
        <v>2020021801</v>
      </c>
      <c r="B512" s="2" t="s">
        <v>522</v>
      </c>
      <c r="C512" s="2">
        <v>18</v>
      </c>
      <c r="D512" s="2">
        <v>1</v>
      </c>
      <c r="E512" s="3" t="s">
        <v>16</v>
      </c>
    </row>
    <row r="513" ht="14.25" spans="1:5">
      <c r="A513" s="2" t="str">
        <f>"2020021802"</f>
        <v>2020021802</v>
      </c>
      <c r="B513" s="2" t="s">
        <v>522</v>
      </c>
      <c r="C513" s="2">
        <v>18</v>
      </c>
      <c r="D513" s="2">
        <v>2</v>
      </c>
      <c r="E513" s="3">
        <v>70.9</v>
      </c>
    </row>
    <row r="514" ht="14.25" spans="1:5">
      <c r="A514" s="2" t="str">
        <f>"2020021803"</f>
        <v>2020021803</v>
      </c>
      <c r="B514" s="2" t="s">
        <v>522</v>
      </c>
      <c r="C514" s="2">
        <v>18</v>
      </c>
      <c r="D514" s="2">
        <v>3</v>
      </c>
      <c r="E514" s="3" t="s">
        <v>16</v>
      </c>
    </row>
    <row r="515" ht="14.25" spans="1:5">
      <c r="A515" s="2" t="str">
        <f>"2020021804"</f>
        <v>2020021804</v>
      </c>
      <c r="B515" s="2" t="s">
        <v>522</v>
      </c>
      <c r="C515" s="2">
        <v>18</v>
      </c>
      <c r="D515" s="2">
        <v>4</v>
      </c>
      <c r="E515" s="3">
        <v>64.7</v>
      </c>
    </row>
    <row r="516" ht="14.25" spans="1:5">
      <c r="A516" s="2" t="str">
        <f>"2020021805"</f>
        <v>2020021805</v>
      </c>
      <c r="B516" s="2" t="s">
        <v>522</v>
      </c>
      <c r="C516" s="2">
        <v>18</v>
      </c>
      <c r="D516" s="2">
        <v>5</v>
      </c>
      <c r="E516" s="3" t="s">
        <v>16</v>
      </c>
    </row>
    <row r="517" ht="14.25" spans="1:5">
      <c r="A517" s="2" t="str">
        <f>"2020021806"</f>
        <v>2020021806</v>
      </c>
      <c r="B517" s="2" t="s">
        <v>522</v>
      </c>
      <c r="C517" s="2">
        <v>18</v>
      </c>
      <c r="D517" s="2">
        <v>6</v>
      </c>
      <c r="E517" s="3">
        <v>59.4</v>
      </c>
    </row>
    <row r="518" ht="14.25" spans="1:5">
      <c r="A518" s="2" t="str">
        <f>"2020021807"</f>
        <v>2020021807</v>
      </c>
      <c r="B518" s="2" t="s">
        <v>522</v>
      </c>
      <c r="C518" s="2">
        <v>18</v>
      </c>
      <c r="D518" s="2">
        <v>7</v>
      </c>
      <c r="E518" s="3">
        <v>62.3</v>
      </c>
    </row>
    <row r="519" ht="14.25" spans="1:5">
      <c r="A519" s="2" t="str">
        <f>"2020021808"</f>
        <v>2020021808</v>
      </c>
      <c r="B519" s="2" t="s">
        <v>522</v>
      </c>
      <c r="C519" s="2">
        <v>18</v>
      </c>
      <c r="D519" s="2">
        <v>8</v>
      </c>
      <c r="E519" s="3" t="s">
        <v>16</v>
      </c>
    </row>
    <row r="520" ht="14.25" spans="1:5">
      <c r="A520" s="2" t="str">
        <f>"2020021809"</f>
        <v>2020021809</v>
      </c>
      <c r="B520" s="2" t="s">
        <v>522</v>
      </c>
      <c r="C520" s="2">
        <v>18</v>
      </c>
      <c r="D520" s="2">
        <v>9</v>
      </c>
      <c r="E520" s="3">
        <v>74.4</v>
      </c>
    </row>
    <row r="521" ht="14.25" spans="1:5">
      <c r="A521" s="2" t="str">
        <f>"2020021810"</f>
        <v>2020021810</v>
      </c>
      <c r="B521" s="2" t="s">
        <v>522</v>
      </c>
      <c r="C521" s="2">
        <v>18</v>
      </c>
      <c r="D521" s="2">
        <v>10</v>
      </c>
      <c r="E521" s="3">
        <v>65.2</v>
      </c>
    </row>
    <row r="522" ht="14.25" spans="1:5">
      <c r="A522" s="2" t="str">
        <f>"2020021811"</f>
        <v>2020021811</v>
      </c>
      <c r="B522" s="2" t="s">
        <v>522</v>
      </c>
      <c r="C522" s="2">
        <v>18</v>
      </c>
      <c r="D522" s="2">
        <v>11</v>
      </c>
      <c r="E522" s="3">
        <v>66.2</v>
      </c>
    </row>
    <row r="523" ht="14.25" spans="1:5">
      <c r="A523" s="2" t="str">
        <f>"2020021812"</f>
        <v>2020021812</v>
      </c>
      <c r="B523" s="2" t="s">
        <v>522</v>
      </c>
      <c r="C523" s="2">
        <v>18</v>
      </c>
      <c r="D523" s="2">
        <v>12</v>
      </c>
      <c r="E523" s="3" t="s">
        <v>16</v>
      </c>
    </row>
    <row r="524" ht="14.25" spans="1:5">
      <c r="A524" s="2" t="str">
        <f>"2020021813"</f>
        <v>2020021813</v>
      </c>
      <c r="B524" s="2" t="s">
        <v>522</v>
      </c>
      <c r="C524" s="2">
        <v>18</v>
      </c>
      <c r="D524" s="2">
        <v>13</v>
      </c>
      <c r="E524" s="3" t="s">
        <v>16</v>
      </c>
    </row>
    <row r="525" ht="14.25" spans="1:5">
      <c r="A525" s="2" t="str">
        <f>"2020021814"</f>
        <v>2020021814</v>
      </c>
      <c r="B525" s="2" t="s">
        <v>522</v>
      </c>
      <c r="C525" s="2">
        <v>18</v>
      </c>
      <c r="D525" s="2">
        <v>14</v>
      </c>
      <c r="E525" s="3">
        <v>67.3</v>
      </c>
    </row>
    <row r="526" ht="14.25" spans="1:5">
      <c r="A526" s="2" t="str">
        <f>"2020021815"</f>
        <v>2020021815</v>
      </c>
      <c r="B526" s="2" t="s">
        <v>522</v>
      </c>
      <c r="C526" s="2">
        <v>18</v>
      </c>
      <c r="D526" s="2">
        <v>15</v>
      </c>
      <c r="E526" s="3" t="s">
        <v>16</v>
      </c>
    </row>
    <row r="527" ht="14.25" spans="1:5">
      <c r="A527" s="2" t="str">
        <f>"2020021816"</f>
        <v>2020021816</v>
      </c>
      <c r="B527" s="2" t="s">
        <v>522</v>
      </c>
      <c r="C527" s="2">
        <v>18</v>
      </c>
      <c r="D527" s="2">
        <v>16</v>
      </c>
      <c r="E527" s="3" t="s">
        <v>16</v>
      </c>
    </row>
    <row r="528" ht="14.25" spans="1:5">
      <c r="A528" s="2" t="str">
        <f>"2020021817"</f>
        <v>2020021817</v>
      </c>
      <c r="B528" s="2" t="s">
        <v>522</v>
      </c>
      <c r="C528" s="2">
        <v>18</v>
      </c>
      <c r="D528" s="2">
        <v>17</v>
      </c>
      <c r="E528" s="3" t="s">
        <v>16</v>
      </c>
    </row>
    <row r="529" ht="14.25" spans="1:5">
      <c r="A529" s="2" t="str">
        <f>"2020021818"</f>
        <v>2020021818</v>
      </c>
      <c r="B529" s="2" t="s">
        <v>522</v>
      </c>
      <c r="C529" s="2">
        <v>18</v>
      </c>
      <c r="D529" s="2">
        <v>18</v>
      </c>
      <c r="E529" s="3">
        <v>67.3</v>
      </c>
    </row>
    <row r="530" ht="14.25" spans="1:5">
      <c r="A530" s="2" t="str">
        <f>"2020021819"</f>
        <v>2020021819</v>
      </c>
      <c r="B530" s="2" t="s">
        <v>522</v>
      </c>
      <c r="C530" s="2">
        <v>18</v>
      </c>
      <c r="D530" s="2">
        <v>19</v>
      </c>
      <c r="E530" s="3">
        <v>62</v>
      </c>
    </row>
    <row r="531" ht="14.25" spans="1:5">
      <c r="A531" s="2" t="str">
        <f>"2020021820"</f>
        <v>2020021820</v>
      </c>
      <c r="B531" s="2" t="s">
        <v>522</v>
      </c>
      <c r="C531" s="2">
        <v>18</v>
      </c>
      <c r="D531" s="2">
        <v>20</v>
      </c>
      <c r="E531" s="3">
        <v>78.7</v>
      </c>
    </row>
    <row r="532" ht="14.25" spans="1:5">
      <c r="A532" s="2" t="str">
        <f>"2020021821"</f>
        <v>2020021821</v>
      </c>
      <c r="B532" s="2" t="s">
        <v>522</v>
      </c>
      <c r="C532" s="2">
        <v>18</v>
      </c>
      <c r="D532" s="2">
        <v>21</v>
      </c>
      <c r="E532" s="3" t="s">
        <v>16</v>
      </c>
    </row>
    <row r="533" ht="14.25" spans="1:5">
      <c r="A533" s="2" t="str">
        <f>"2020021822"</f>
        <v>2020021822</v>
      </c>
      <c r="B533" s="2" t="s">
        <v>522</v>
      </c>
      <c r="C533" s="2">
        <v>18</v>
      </c>
      <c r="D533" s="2">
        <v>22</v>
      </c>
      <c r="E533" s="3">
        <v>43.7</v>
      </c>
    </row>
    <row r="534" ht="14.25" spans="1:5">
      <c r="A534" s="2" t="str">
        <f>"2020021823"</f>
        <v>2020021823</v>
      </c>
      <c r="B534" s="2" t="s">
        <v>522</v>
      </c>
      <c r="C534" s="2">
        <v>18</v>
      </c>
      <c r="D534" s="2">
        <v>23</v>
      </c>
      <c r="E534" s="3">
        <v>62.3</v>
      </c>
    </row>
    <row r="535" ht="14.25" spans="1:5">
      <c r="A535" s="2" t="str">
        <f>"2020021824"</f>
        <v>2020021824</v>
      </c>
      <c r="B535" s="2" t="s">
        <v>522</v>
      </c>
      <c r="C535" s="2">
        <v>18</v>
      </c>
      <c r="D535" s="2">
        <v>24</v>
      </c>
      <c r="E535" s="3">
        <v>67.5</v>
      </c>
    </row>
    <row r="536" ht="14.25" spans="1:5">
      <c r="A536" s="2" t="str">
        <f>"2020021825"</f>
        <v>2020021825</v>
      </c>
      <c r="B536" s="2" t="s">
        <v>522</v>
      </c>
      <c r="C536" s="2">
        <v>18</v>
      </c>
      <c r="D536" s="2">
        <v>25</v>
      </c>
      <c r="E536" s="3">
        <v>71.5</v>
      </c>
    </row>
    <row r="537" ht="14.25" spans="1:5">
      <c r="A537" s="2" t="str">
        <f>"2020021826"</f>
        <v>2020021826</v>
      </c>
      <c r="B537" s="2" t="s">
        <v>522</v>
      </c>
      <c r="C537" s="2">
        <v>18</v>
      </c>
      <c r="D537" s="2">
        <v>26</v>
      </c>
      <c r="E537" s="3" t="s">
        <v>16</v>
      </c>
    </row>
    <row r="538" ht="14.25" spans="1:5">
      <c r="A538" s="2" t="str">
        <f>"2020021827"</f>
        <v>2020021827</v>
      </c>
      <c r="B538" s="2" t="s">
        <v>522</v>
      </c>
      <c r="C538" s="2">
        <v>18</v>
      </c>
      <c r="D538" s="2">
        <v>27</v>
      </c>
      <c r="E538" s="3">
        <v>64.6</v>
      </c>
    </row>
    <row r="539" ht="14.25" spans="1:5">
      <c r="A539" s="2" t="str">
        <f>"2020021828"</f>
        <v>2020021828</v>
      </c>
      <c r="B539" s="2" t="s">
        <v>522</v>
      </c>
      <c r="C539" s="2">
        <v>18</v>
      </c>
      <c r="D539" s="2">
        <v>28</v>
      </c>
      <c r="E539" s="3" t="s">
        <v>16</v>
      </c>
    </row>
    <row r="540" ht="14.25" spans="1:5">
      <c r="A540" s="2" t="str">
        <f>"2020021829"</f>
        <v>2020021829</v>
      </c>
      <c r="B540" s="2" t="s">
        <v>522</v>
      </c>
      <c r="C540" s="2">
        <v>18</v>
      </c>
      <c r="D540" s="2">
        <v>29</v>
      </c>
      <c r="E540" s="3">
        <v>58.5</v>
      </c>
    </row>
    <row r="541" ht="14.25" spans="1:5">
      <c r="A541" s="2" t="str">
        <f>"2020021830"</f>
        <v>2020021830</v>
      </c>
      <c r="B541" s="2" t="s">
        <v>522</v>
      </c>
      <c r="C541" s="2">
        <v>18</v>
      </c>
      <c r="D541" s="2">
        <v>30</v>
      </c>
      <c r="E541" s="3">
        <v>66.3</v>
      </c>
    </row>
    <row r="542" ht="14.25" spans="1:5">
      <c r="A542" s="2" t="str">
        <f>"2020021901"</f>
        <v>2020021901</v>
      </c>
      <c r="B542" s="2" t="s">
        <v>522</v>
      </c>
      <c r="C542" s="2">
        <v>19</v>
      </c>
      <c r="D542" s="2">
        <v>1</v>
      </c>
      <c r="E542" s="3" t="s">
        <v>16</v>
      </c>
    </row>
    <row r="543" ht="14.25" spans="1:5">
      <c r="A543" s="2" t="str">
        <f>"2020021902"</f>
        <v>2020021902</v>
      </c>
      <c r="B543" s="2" t="s">
        <v>522</v>
      </c>
      <c r="C543" s="2">
        <v>19</v>
      </c>
      <c r="D543" s="2">
        <v>2</v>
      </c>
      <c r="E543" s="3">
        <v>65</v>
      </c>
    </row>
    <row r="544" ht="14.25" spans="1:5">
      <c r="A544" s="2" t="str">
        <f>"2020021903"</f>
        <v>2020021903</v>
      </c>
      <c r="B544" s="2" t="s">
        <v>522</v>
      </c>
      <c r="C544" s="2">
        <v>19</v>
      </c>
      <c r="D544" s="2">
        <v>3</v>
      </c>
      <c r="E544" s="3" t="s">
        <v>16</v>
      </c>
    </row>
    <row r="545" ht="14.25" spans="1:5">
      <c r="A545" s="2" t="str">
        <f>"2020021904"</f>
        <v>2020021904</v>
      </c>
      <c r="B545" s="2" t="s">
        <v>522</v>
      </c>
      <c r="C545" s="2">
        <v>19</v>
      </c>
      <c r="D545" s="2">
        <v>4</v>
      </c>
      <c r="E545" s="3" t="s">
        <v>16</v>
      </c>
    </row>
    <row r="546" ht="14.25" spans="1:5">
      <c r="A546" s="2" t="str">
        <f>"2020021905"</f>
        <v>2020021905</v>
      </c>
      <c r="B546" s="2" t="s">
        <v>522</v>
      </c>
      <c r="C546" s="2">
        <v>19</v>
      </c>
      <c r="D546" s="2">
        <v>5</v>
      </c>
      <c r="E546" s="3">
        <v>63</v>
      </c>
    </row>
    <row r="547" ht="14.25" spans="1:5">
      <c r="A547" s="2" t="str">
        <f>"2020021906"</f>
        <v>2020021906</v>
      </c>
      <c r="B547" s="2" t="s">
        <v>522</v>
      </c>
      <c r="C547" s="2">
        <v>19</v>
      </c>
      <c r="D547" s="2">
        <v>6</v>
      </c>
      <c r="E547" s="3" t="s">
        <v>16</v>
      </c>
    </row>
    <row r="548" ht="14.25" spans="1:5">
      <c r="A548" s="2" t="str">
        <f>"2020021907"</f>
        <v>2020021907</v>
      </c>
      <c r="B548" s="2" t="s">
        <v>522</v>
      </c>
      <c r="C548" s="2">
        <v>19</v>
      </c>
      <c r="D548" s="2">
        <v>7</v>
      </c>
      <c r="E548" s="3">
        <v>65</v>
      </c>
    </row>
    <row r="549" ht="14.25" spans="1:5">
      <c r="A549" s="2" t="str">
        <f>"2020021908"</f>
        <v>2020021908</v>
      </c>
      <c r="B549" s="2" t="s">
        <v>522</v>
      </c>
      <c r="C549" s="2">
        <v>19</v>
      </c>
      <c r="D549" s="2">
        <v>8</v>
      </c>
      <c r="E549" s="3">
        <v>56.7</v>
      </c>
    </row>
    <row r="550" ht="14.25" spans="1:5">
      <c r="A550" s="2" t="str">
        <f>"2020021909"</f>
        <v>2020021909</v>
      </c>
      <c r="B550" s="2" t="s">
        <v>522</v>
      </c>
      <c r="C550" s="2">
        <v>19</v>
      </c>
      <c r="D550" s="2">
        <v>9</v>
      </c>
      <c r="E550" s="3">
        <v>67.3</v>
      </c>
    </row>
    <row r="551" ht="14.25" spans="1:5">
      <c r="A551" s="2" t="str">
        <f>"2020021910"</f>
        <v>2020021910</v>
      </c>
      <c r="B551" s="2" t="s">
        <v>522</v>
      </c>
      <c r="C551" s="2">
        <v>19</v>
      </c>
      <c r="D551" s="2">
        <v>10</v>
      </c>
      <c r="E551" s="3" t="s">
        <v>16</v>
      </c>
    </row>
    <row r="552" ht="14.25" spans="1:5">
      <c r="A552" s="2" t="str">
        <f>"2020021911"</f>
        <v>2020021911</v>
      </c>
      <c r="B552" s="2" t="s">
        <v>522</v>
      </c>
      <c r="C552" s="2">
        <v>19</v>
      </c>
      <c r="D552" s="2">
        <v>11</v>
      </c>
      <c r="E552" s="3">
        <v>64.2</v>
      </c>
    </row>
    <row r="553" ht="14.25" spans="1:5">
      <c r="A553" s="2" t="str">
        <f>"2020021912"</f>
        <v>2020021912</v>
      </c>
      <c r="B553" s="2" t="s">
        <v>522</v>
      </c>
      <c r="C553" s="2">
        <v>19</v>
      </c>
      <c r="D553" s="2">
        <v>12</v>
      </c>
      <c r="E553" s="3" t="s">
        <v>16</v>
      </c>
    </row>
    <row r="554" ht="14.25" spans="1:5">
      <c r="A554" s="2" t="str">
        <f>"2020021913"</f>
        <v>2020021913</v>
      </c>
      <c r="B554" s="2" t="s">
        <v>522</v>
      </c>
      <c r="C554" s="2">
        <v>19</v>
      </c>
      <c r="D554" s="2">
        <v>13</v>
      </c>
      <c r="E554" s="3">
        <v>68.9</v>
      </c>
    </row>
    <row r="555" ht="14.25" spans="1:5">
      <c r="A555" s="2" t="str">
        <f>"2020021914"</f>
        <v>2020021914</v>
      </c>
      <c r="B555" s="2" t="s">
        <v>522</v>
      </c>
      <c r="C555" s="2">
        <v>19</v>
      </c>
      <c r="D555" s="2">
        <v>14</v>
      </c>
      <c r="E555" s="3">
        <v>50.6</v>
      </c>
    </row>
    <row r="556" ht="14.25" spans="1:5">
      <c r="A556" s="2" t="str">
        <f>"2020021915"</f>
        <v>2020021915</v>
      </c>
      <c r="B556" s="2" t="s">
        <v>522</v>
      </c>
      <c r="C556" s="2">
        <v>19</v>
      </c>
      <c r="D556" s="2">
        <v>15</v>
      </c>
      <c r="E556" s="3">
        <v>66.8</v>
      </c>
    </row>
    <row r="557" ht="14.25" spans="1:5">
      <c r="A557" s="2" t="str">
        <f>"2020021916"</f>
        <v>2020021916</v>
      </c>
      <c r="B557" s="2" t="s">
        <v>522</v>
      </c>
      <c r="C557" s="2">
        <v>19</v>
      </c>
      <c r="D557" s="2">
        <v>16</v>
      </c>
      <c r="E557" s="3">
        <v>63.9</v>
      </c>
    </row>
    <row r="558" ht="14.25" spans="1:5">
      <c r="A558" s="2" t="str">
        <f>"2020021917"</f>
        <v>2020021917</v>
      </c>
      <c r="B558" s="2" t="s">
        <v>522</v>
      </c>
      <c r="C558" s="2">
        <v>19</v>
      </c>
      <c r="D558" s="2">
        <v>17</v>
      </c>
      <c r="E558" s="3">
        <v>64</v>
      </c>
    </row>
    <row r="559" ht="14.25" spans="1:5">
      <c r="A559" s="2" t="str">
        <f>"2020021918"</f>
        <v>2020021918</v>
      </c>
      <c r="B559" s="2" t="s">
        <v>522</v>
      </c>
      <c r="C559" s="2">
        <v>19</v>
      </c>
      <c r="D559" s="2">
        <v>18</v>
      </c>
      <c r="E559" s="3">
        <v>67.9</v>
      </c>
    </row>
    <row r="560" ht="14.25" spans="1:5">
      <c r="A560" s="2" t="str">
        <f>"2020021919"</f>
        <v>2020021919</v>
      </c>
      <c r="B560" s="2" t="s">
        <v>522</v>
      </c>
      <c r="C560" s="2">
        <v>19</v>
      </c>
      <c r="D560" s="2">
        <v>19</v>
      </c>
      <c r="E560" s="3">
        <v>70.9</v>
      </c>
    </row>
    <row r="561" ht="14.25" spans="1:5">
      <c r="A561" s="2" t="str">
        <f>"2020021920"</f>
        <v>2020021920</v>
      </c>
      <c r="B561" s="2" t="s">
        <v>522</v>
      </c>
      <c r="C561" s="2">
        <v>19</v>
      </c>
      <c r="D561" s="2">
        <v>20</v>
      </c>
      <c r="E561" s="3">
        <v>67.6</v>
      </c>
    </row>
    <row r="562" ht="14.25" spans="1:5">
      <c r="A562" s="2" t="str">
        <f>"2020021921"</f>
        <v>2020021921</v>
      </c>
      <c r="B562" s="2" t="s">
        <v>522</v>
      </c>
      <c r="C562" s="2">
        <v>19</v>
      </c>
      <c r="D562" s="2">
        <v>21</v>
      </c>
      <c r="E562" s="3">
        <v>73.5</v>
      </c>
    </row>
    <row r="563" ht="14.25" spans="1:5">
      <c r="A563" s="2" t="str">
        <f>"2020021922"</f>
        <v>2020021922</v>
      </c>
      <c r="B563" s="2" t="s">
        <v>522</v>
      </c>
      <c r="C563" s="2">
        <v>19</v>
      </c>
      <c r="D563" s="2">
        <v>22</v>
      </c>
      <c r="E563" s="3">
        <v>59.8</v>
      </c>
    </row>
    <row r="564" ht="14.25" spans="1:5">
      <c r="A564" s="2" t="str">
        <f>"2020021923"</f>
        <v>2020021923</v>
      </c>
      <c r="B564" s="2" t="s">
        <v>522</v>
      </c>
      <c r="C564" s="2">
        <v>19</v>
      </c>
      <c r="D564" s="2">
        <v>23</v>
      </c>
      <c r="E564" s="3">
        <v>61.3</v>
      </c>
    </row>
    <row r="565" ht="14.25" spans="1:5">
      <c r="A565" s="2" t="str">
        <f>"2020021924"</f>
        <v>2020021924</v>
      </c>
      <c r="B565" s="2" t="s">
        <v>522</v>
      </c>
      <c r="C565" s="2">
        <v>19</v>
      </c>
      <c r="D565" s="2">
        <v>24</v>
      </c>
      <c r="E565" s="3">
        <v>64.7</v>
      </c>
    </row>
    <row r="566" ht="14.25" spans="1:5">
      <c r="A566" s="2" t="str">
        <f>"2020021925"</f>
        <v>2020021925</v>
      </c>
      <c r="B566" s="2" t="s">
        <v>522</v>
      </c>
      <c r="C566" s="2">
        <v>19</v>
      </c>
      <c r="D566" s="2">
        <v>25</v>
      </c>
      <c r="E566" s="3">
        <v>63</v>
      </c>
    </row>
    <row r="567" ht="14.25" spans="1:5">
      <c r="A567" s="2" t="str">
        <f>"2020021926"</f>
        <v>2020021926</v>
      </c>
      <c r="B567" s="2" t="s">
        <v>522</v>
      </c>
      <c r="C567" s="2">
        <v>19</v>
      </c>
      <c r="D567" s="2">
        <v>26</v>
      </c>
      <c r="E567" s="3" t="s">
        <v>16</v>
      </c>
    </row>
    <row r="568" ht="14.25" spans="1:5">
      <c r="A568" s="2" t="str">
        <f>"2020021927"</f>
        <v>2020021927</v>
      </c>
      <c r="B568" s="2" t="s">
        <v>522</v>
      </c>
      <c r="C568" s="2">
        <v>19</v>
      </c>
      <c r="D568" s="2">
        <v>27</v>
      </c>
      <c r="E568" s="3" t="s">
        <v>16</v>
      </c>
    </row>
    <row r="569" ht="14.25" spans="1:5">
      <c r="A569" s="2" t="str">
        <f>"2020021928"</f>
        <v>2020021928</v>
      </c>
      <c r="B569" s="2" t="s">
        <v>522</v>
      </c>
      <c r="C569" s="2">
        <v>19</v>
      </c>
      <c r="D569" s="2">
        <v>28</v>
      </c>
      <c r="E569" s="3">
        <v>68.8</v>
      </c>
    </row>
    <row r="570" ht="14.25" spans="1:5">
      <c r="A570" s="2" t="str">
        <f>"2020021929"</f>
        <v>2020021929</v>
      </c>
      <c r="B570" s="2" t="s">
        <v>522</v>
      </c>
      <c r="C570" s="2">
        <v>19</v>
      </c>
      <c r="D570" s="2">
        <v>29</v>
      </c>
      <c r="E570" s="3" t="s">
        <v>16</v>
      </c>
    </row>
    <row r="571" ht="14.25" spans="1:5">
      <c r="A571" s="2" t="str">
        <f>"2020021930"</f>
        <v>2020021930</v>
      </c>
      <c r="B571" s="2" t="s">
        <v>522</v>
      </c>
      <c r="C571" s="2">
        <v>19</v>
      </c>
      <c r="D571" s="2">
        <v>30</v>
      </c>
      <c r="E571" s="3">
        <v>62.7</v>
      </c>
    </row>
    <row r="572" ht="14.25" spans="1:5">
      <c r="A572" s="2" t="str">
        <f>"2020022001"</f>
        <v>2020022001</v>
      </c>
      <c r="B572" s="2" t="s">
        <v>522</v>
      </c>
      <c r="C572" s="2">
        <v>20</v>
      </c>
      <c r="D572" s="2">
        <v>1</v>
      </c>
      <c r="E572" s="3">
        <v>73.1</v>
      </c>
    </row>
    <row r="573" ht="14.25" spans="1:5">
      <c r="A573" s="2" t="str">
        <f>"2020022002"</f>
        <v>2020022002</v>
      </c>
      <c r="B573" s="2" t="s">
        <v>522</v>
      </c>
      <c r="C573" s="2">
        <v>20</v>
      </c>
      <c r="D573" s="2">
        <v>2</v>
      </c>
      <c r="E573" s="3">
        <v>55.8</v>
      </c>
    </row>
    <row r="574" ht="14.25" spans="1:5">
      <c r="A574" s="2" t="str">
        <f>"2020022003"</f>
        <v>2020022003</v>
      </c>
      <c r="B574" s="2" t="s">
        <v>522</v>
      </c>
      <c r="C574" s="2">
        <v>20</v>
      </c>
      <c r="D574" s="2">
        <v>3</v>
      </c>
      <c r="E574" s="3" t="s">
        <v>16</v>
      </c>
    </row>
    <row r="575" ht="14.25" spans="1:5">
      <c r="A575" s="2" t="str">
        <f>"2020022004"</f>
        <v>2020022004</v>
      </c>
      <c r="B575" s="2" t="s">
        <v>522</v>
      </c>
      <c r="C575" s="2">
        <v>20</v>
      </c>
      <c r="D575" s="2">
        <v>4</v>
      </c>
      <c r="E575" s="3">
        <v>72.8</v>
      </c>
    </row>
    <row r="576" ht="14.25" spans="1:5">
      <c r="A576" s="2" t="str">
        <f>"2020022005"</f>
        <v>2020022005</v>
      </c>
      <c r="B576" s="2" t="s">
        <v>522</v>
      </c>
      <c r="C576" s="2">
        <v>20</v>
      </c>
      <c r="D576" s="2">
        <v>5</v>
      </c>
      <c r="E576" s="3">
        <v>72.1</v>
      </c>
    </row>
    <row r="577" ht="14.25" spans="1:5">
      <c r="A577" s="2" t="str">
        <f>"2020022006"</f>
        <v>2020022006</v>
      </c>
      <c r="B577" s="2" t="s">
        <v>522</v>
      </c>
      <c r="C577" s="2">
        <v>20</v>
      </c>
      <c r="D577" s="2">
        <v>6</v>
      </c>
      <c r="E577" s="3">
        <v>62.7</v>
      </c>
    </row>
    <row r="578" ht="14.25" spans="1:5">
      <c r="A578" s="2" t="str">
        <f>"2020022007"</f>
        <v>2020022007</v>
      </c>
      <c r="B578" s="2" t="s">
        <v>522</v>
      </c>
      <c r="C578" s="2">
        <v>20</v>
      </c>
      <c r="D578" s="2">
        <v>7</v>
      </c>
      <c r="E578" s="3">
        <v>63.6</v>
      </c>
    </row>
    <row r="579" ht="14.25" spans="1:5">
      <c r="A579" s="2" t="str">
        <f>"2020022008"</f>
        <v>2020022008</v>
      </c>
      <c r="B579" s="2" t="s">
        <v>522</v>
      </c>
      <c r="C579" s="2">
        <v>20</v>
      </c>
      <c r="D579" s="2">
        <v>8</v>
      </c>
      <c r="E579" s="3" t="s">
        <v>16</v>
      </c>
    </row>
    <row r="580" ht="14.25" spans="1:5">
      <c r="A580" s="2" t="str">
        <f>"2020022009"</f>
        <v>2020022009</v>
      </c>
      <c r="B580" s="2" t="s">
        <v>522</v>
      </c>
      <c r="C580" s="2">
        <v>20</v>
      </c>
      <c r="D580" s="2">
        <v>9</v>
      </c>
      <c r="E580" s="3" t="s">
        <v>16</v>
      </c>
    </row>
    <row r="581" ht="14.25" spans="1:5">
      <c r="A581" s="2" t="str">
        <f>"2020022010"</f>
        <v>2020022010</v>
      </c>
      <c r="B581" s="2" t="s">
        <v>522</v>
      </c>
      <c r="C581" s="2">
        <v>20</v>
      </c>
      <c r="D581" s="2">
        <v>10</v>
      </c>
      <c r="E581" s="3">
        <v>59.1</v>
      </c>
    </row>
    <row r="582" ht="14.25" spans="1:5">
      <c r="A582" s="2" t="str">
        <f>"2020022011"</f>
        <v>2020022011</v>
      </c>
      <c r="B582" s="2" t="s">
        <v>522</v>
      </c>
      <c r="C582" s="2">
        <v>20</v>
      </c>
      <c r="D582" s="2">
        <v>11</v>
      </c>
      <c r="E582" s="3">
        <v>51.9</v>
      </c>
    </row>
    <row r="583" ht="14.25" spans="1:5">
      <c r="A583" s="2" t="str">
        <f>"2020022012"</f>
        <v>2020022012</v>
      </c>
      <c r="B583" s="2" t="s">
        <v>522</v>
      </c>
      <c r="C583" s="2">
        <v>20</v>
      </c>
      <c r="D583" s="2">
        <v>12</v>
      </c>
      <c r="E583" s="3" t="s">
        <v>16</v>
      </c>
    </row>
    <row r="584" ht="14.25" spans="1:5">
      <c r="A584" s="2" t="str">
        <f>"2020022013"</f>
        <v>2020022013</v>
      </c>
      <c r="B584" s="2" t="s">
        <v>522</v>
      </c>
      <c r="C584" s="2">
        <v>20</v>
      </c>
      <c r="D584" s="2">
        <v>13</v>
      </c>
      <c r="E584" s="3" t="s">
        <v>16</v>
      </c>
    </row>
    <row r="585" ht="14.25" spans="1:5">
      <c r="A585" s="2" t="str">
        <f>"2020022014"</f>
        <v>2020022014</v>
      </c>
      <c r="B585" s="2" t="s">
        <v>522</v>
      </c>
      <c r="C585" s="2">
        <v>20</v>
      </c>
      <c r="D585" s="2">
        <v>14</v>
      </c>
      <c r="E585" s="3" t="s">
        <v>16</v>
      </c>
    </row>
    <row r="586" ht="14.25" spans="1:5">
      <c r="A586" s="2" t="str">
        <f>"2020022015"</f>
        <v>2020022015</v>
      </c>
      <c r="B586" s="2" t="s">
        <v>522</v>
      </c>
      <c r="C586" s="2">
        <v>20</v>
      </c>
      <c r="D586" s="2">
        <v>15</v>
      </c>
      <c r="E586" s="3" t="s">
        <v>16</v>
      </c>
    </row>
    <row r="587" ht="14.25" spans="1:5">
      <c r="A587" s="2" t="str">
        <f>"2020022016"</f>
        <v>2020022016</v>
      </c>
      <c r="B587" s="2" t="s">
        <v>522</v>
      </c>
      <c r="C587" s="2">
        <v>20</v>
      </c>
      <c r="D587" s="2">
        <v>16</v>
      </c>
      <c r="E587" s="3">
        <v>50.9</v>
      </c>
    </row>
    <row r="588" ht="14.25" spans="1:5">
      <c r="A588" s="2" t="str">
        <f>"2020022017"</f>
        <v>2020022017</v>
      </c>
      <c r="B588" s="2" t="s">
        <v>522</v>
      </c>
      <c r="C588" s="2">
        <v>20</v>
      </c>
      <c r="D588" s="2">
        <v>17</v>
      </c>
      <c r="E588" s="3" t="s">
        <v>16</v>
      </c>
    </row>
    <row r="589" ht="14.25" spans="1:5">
      <c r="A589" s="2" t="str">
        <f>"2020022018"</f>
        <v>2020022018</v>
      </c>
      <c r="B589" s="2" t="s">
        <v>522</v>
      </c>
      <c r="C589" s="2">
        <v>20</v>
      </c>
      <c r="D589" s="2">
        <v>18</v>
      </c>
      <c r="E589" s="3">
        <v>78.7</v>
      </c>
    </row>
    <row r="590" ht="14.25" spans="1:5">
      <c r="A590" s="2" t="str">
        <f>"2020022019"</f>
        <v>2020022019</v>
      </c>
      <c r="B590" s="2" t="s">
        <v>522</v>
      </c>
      <c r="C590" s="2">
        <v>20</v>
      </c>
      <c r="D590" s="2">
        <v>19</v>
      </c>
      <c r="E590" s="3">
        <v>69.2</v>
      </c>
    </row>
    <row r="591" ht="14.25" spans="1:5">
      <c r="A591" s="2" t="str">
        <f>"2020022020"</f>
        <v>2020022020</v>
      </c>
      <c r="B591" s="2" t="s">
        <v>522</v>
      </c>
      <c r="C591" s="2">
        <v>20</v>
      </c>
      <c r="D591" s="2">
        <v>20</v>
      </c>
      <c r="E591" s="3">
        <v>75.4</v>
      </c>
    </row>
    <row r="592" ht="14.25" spans="1:5">
      <c r="A592" s="2" t="str">
        <f>"2020022021"</f>
        <v>2020022021</v>
      </c>
      <c r="B592" s="2" t="s">
        <v>522</v>
      </c>
      <c r="C592" s="2">
        <v>20</v>
      </c>
      <c r="D592" s="2">
        <v>21</v>
      </c>
      <c r="E592" s="3" t="s">
        <v>16</v>
      </c>
    </row>
    <row r="593" ht="14.25" spans="1:5">
      <c r="A593" s="2" t="str">
        <f>"2020022022"</f>
        <v>2020022022</v>
      </c>
      <c r="B593" s="2" t="s">
        <v>522</v>
      </c>
      <c r="C593" s="2">
        <v>20</v>
      </c>
      <c r="D593" s="2">
        <v>22</v>
      </c>
      <c r="E593" s="3">
        <v>73.7</v>
      </c>
    </row>
    <row r="594" ht="14.25" spans="1:5">
      <c r="A594" s="2" t="str">
        <f>"2020022023"</f>
        <v>2020022023</v>
      </c>
      <c r="B594" s="2" t="s">
        <v>522</v>
      </c>
      <c r="C594" s="2">
        <v>20</v>
      </c>
      <c r="D594" s="2">
        <v>23</v>
      </c>
      <c r="E594" s="3">
        <v>60.4</v>
      </c>
    </row>
    <row r="595" ht="14.25" spans="1:5">
      <c r="A595" s="2" t="str">
        <f>"2020022024"</f>
        <v>2020022024</v>
      </c>
      <c r="B595" s="2" t="s">
        <v>522</v>
      </c>
      <c r="C595" s="2">
        <v>20</v>
      </c>
      <c r="D595" s="2">
        <v>24</v>
      </c>
      <c r="E595" s="3" t="s">
        <v>16</v>
      </c>
    </row>
    <row r="596" ht="14.25" spans="1:5">
      <c r="A596" s="2" t="str">
        <f>"2020022025"</f>
        <v>2020022025</v>
      </c>
      <c r="B596" s="2" t="s">
        <v>522</v>
      </c>
      <c r="C596" s="2">
        <v>20</v>
      </c>
      <c r="D596" s="2">
        <v>25</v>
      </c>
      <c r="E596" s="3">
        <v>62</v>
      </c>
    </row>
    <row r="597" ht="14.25" spans="1:5">
      <c r="A597" s="2" t="str">
        <f>"2020022026"</f>
        <v>2020022026</v>
      </c>
      <c r="B597" s="2" t="s">
        <v>522</v>
      </c>
      <c r="C597" s="2">
        <v>20</v>
      </c>
      <c r="D597" s="2">
        <v>26</v>
      </c>
      <c r="E597" s="3">
        <v>58.1</v>
      </c>
    </row>
    <row r="598" ht="14.25" spans="1:5">
      <c r="A598" s="2" t="str">
        <f>"2020022027"</f>
        <v>2020022027</v>
      </c>
      <c r="B598" s="2" t="s">
        <v>522</v>
      </c>
      <c r="C598" s="2">
        <v>20</v>
      </c>
      <c r="D598" s="2">
        <v>27</v>
      </c>
      <c r="E598" s="3">
        <v>52.9</v>
      </c>
    </row>
    <row r="599" ht="14.25" spans="1:5">
      <c r="A599" s="2" t="str">
        <f>"2020022028"</f>
        <v>2020022028</v>
      </c>
      <c r="B599" s="2" t="s">
        <v>522</v>
      </c>
      <c r="C599" s="2">
        <v>20</v>
      </c>
      <c r="D599" s="2">
        <v>28</v>
      </c>
      <c r="E599" s="3">
        <v>62.6</v>
      </c>
    </row>
    <row r="600" ht="14.25" spans="1:5">
      <c r="A600" s="2" t="str">
        <f>"2020022029"</f>
        <v>2020022029</v>
      </c>
      <c r="B600" s="2" t="s">
        <v>522</v>
      </c>
      <c r="C600" s="2">
        <v>20</v>
      </c>
      <c r="D600" s="2">
        <v>29</v>
      </c>
      <c r="E600" s="3">
        <v>77.7</v>
      </c>
    </row>
    <row r="601" ht="14.25" spans="1:5">
      <c r="A601" s="2" t="str">
        <f>"2020022030"</f>
        <v>2020022030</v>
      </c>
      <c r="B601" s="2" t="s">
        <v>522</v>
      </c>
      <c r="C601" s="2">
        <v>20</v>
      </c>
      <c r="D601" s="2">
        <v>30</v>
      </c>
      <c r="E601" s="3">
        <v>59.4</v>
      </c>
    </row>
    <row r="602" ht="14.25" spans="1:5">
      <c r="A602" s="2" t="str">
        <f>"2020022101"</f>
        <v>2020022101</v>
      </c>
      <c r="B602" s="2" t="s">
        <v>522</v>
      </c>
      <c r="C602" s="2">
        <v>21</v>
      </c>
      <c r="D602" s="2">
        <v>1</v>
      </c>
      <c r="E602" s="3">
        <v>58.9</v>
      </c>
    </row>
    <row r="603" ht="14.25" spans="1:5">
      <c r="A603" s="2" t="str">
        <f>"2020022102"</f>
        <v>2020022102</v>
      </c>
      <c r="B603" s="2" t="s">
        <v>522</v>
      </c>
      <c r="C603" s="2">
        <v>21</v>
      </c>
      <c r="D603" s="2">
        <v>2</v>
      </c>
      <c r="E603" s="3" t="s">
        <v>16</v>
      </c>
    </row>
    <row r="604" ht="14.25" spans="1:5">
      <c r="A604" s="2" t="str">
        <f>"2020022103"</f>
        <v>2020022103</v>
      </c>
      <c r="B604" s="2" t="s">
        <v>522</v>
      </c>
      <c r="C604" s="2">
        <v>21</v>
      </c>
      <c r="D604" s="2">
        <v>3</v>
      </c>
      <c r="E604" s="3" t="s">
        <v>16</v>
      </c>
    </row>
    <row r="605" ht="14.25" spans="1:5">
      <c r="A605" s="2" t="str">
        <f>"2020022104"</f>
        <v>2020022104</v>
      </c>
      <c r="B605" s="2" t="s">
        <v>522</v>
      </c>
      <c r="C605" s="2">
        <v>21</v>
      </c>
      <c r="D605" s="2">
        <v>4</v>
      </c>
      <c r="E605" s="3" t="s">
        <v>16</v>
      </c>
    </row>
    <row r="606" ht="14.25" spans="1:5">
      <c r="A606" s="2" t="str">
        <f>"2020022105"</f>
        <v>2020022105</v>
      </c>
      <c r="B606" s="2" t="s">
        <v>522</v>
      </c>
      <c r="C606" s="2">
        <v>21</v>
      </c>
      <c r="D606" s="2">
        <v>5</v>
      </c>
      <c r="E606" s="3" t="s">
        <v>16</v>
      </c>
    </row>
    <row r="607" ht="14.25" spans="1:5">
      <c r="A607" s="2" t="str">
        <f>"2020022106"</f>
        <v>2020022106</v>
      </c>
      <c r="B607" s="2" t="s">
        <v>522</v>
      </c>
      <c r="C607" s="2">
        <v>21</v>
      </c>
      <c r="D607" s="2">
        <v>6</v>
      </c>
      <c r="E607" s="3" t="s">
        <v>16</v>
      </c>
    </row>
    <row r="608" ht="14.25" spans="1:5">
      <c r="A608" s="2" t="str">
        <f>"2020022107"</f>
        <v>2020022107</v>
      </c>
      <c r="B608" s="2" t="s">
        <v>522</v>
      </c>
      <c r="C608" s="2">
        <v>21</v>
      </c>
      <c r="D608" s="2">
        <v>7</v>
      </c>
      <c r="E608" s="3" t="s">
        <v>16</v>
      </c>
    </row>
    <row r="609" ht="14.25" spans="1:5">
      <c r="A609" s="2" t="str">
        <f>"2020022108"</f>
        <v>2020022108</v>
      </c>
      <c r="B609" s="2" t="s">
        <v>522</v>
      </c>
      <c r="C609" s="2">
        <v>21</v>
      </c>
      <c r="D609" s="2">
        <v>8</v>
      </c>
      <c r="E609" s="3" t="s">
        <v>16</v>
      </c>
    </row>
    <row r="610" ht="14.25" spans="1:5">
      <c r="A610" s="2" t="str">
        <f>"2020022109"</f>
        <v>2020022109</v>
      </c>
      <c r="B610" s="2" t="s">
        <v>522</v>
      </c>
      <c r="C610" s="2">
        <v>21</v>
      </c>
      <c r="D610" s="2">
        <v>9</v>
      </c>
      <c r="E610" s="3">
        <v>68</v>
      </c>
    </row>
    <row r="611" ht="14.25" spans="1:5">
      <c r="A611" s="2" t="str">
        <f>"2020022110"</f>
        <v>2020022110</v>
      </c>
      <c r="B611" s="2" t="s">
        <v>522</v>
      </c>
      <c r="C611" s="2">
        <v>21</v>
      </c>
      <c r="D611" s="2">
        <v>10</v>
      </c>
      <c r="E611" s="3">
        <v>72.8</v>
      </c>
    </row>
    <row r="612" ht="14.25" spans="1:5">
      <c r="A612" s="2" t="str">
        <f>"2020022111"</f>
        <v>2020022111</v>
      </c>
      <c r="B612" s="2" t="s">
        <v>522</v>
      </c>
      <c r="C612" s="2">
        <v>21</v>
      </c>
      <c r="D612" s="2">
        <v>11</v>
      </c>
      <c r="E612" s="3">
        <v>55.1</v>
      </c>
    </row>
    <row r="613" ht="14.25" spans="1:5">
      <c r="A613" s="2" t="str">
        <f>"2020022112"</f>
        <v>2020022112</v>
      </c>
      <c r="B613" s="2" t="s">
        <v>522</v>
      </c>
      <c r="C613" s="2">
        <v>21</v>
      </c>
      <c r="D613" s="2">
        <v>12</v>
      </c>
      <c r="E613" s="3">
        <v>69.8</v>
      </c>
    </row>
    <row r="614" ht="14.25" spans="1:5">
      <c r="A614" s="2" t="str">
        <f>"2020022113"</f>
        <v>2020022113</v>
      </c>
      <c r="B614" s="2" t="s">
        <v>522</v>
      </c>
      <c r="C614" s="2">
        <v>21</v>
      </c>
      <c r="D614" s="2">
        <v>13</v>
      </c>
      <c r="E614" s="3">
        <v>69.8</v>
      </c>
    </row>
    <row r="615" ht="14.25" spans="1:5">
      <c r="A615" s="2" t="str">
        <f>"2020022114"</f>
        <v>2020022114</v>
      </c>
      <c r="B615" s="2" t="s">
        <v>522</v>
      </c>
      <c r="C615" s="2">
        <v>21</v>
      </c>
      <c r="D615" s="2">
        <v>14</v>
      </c>
      <c r="E615" s="3">
        <v>64.3</v>
      </c>
    </row>
    <row r="616" ht="14.25" spans="1:5">
      <c r="A616" s="2" t="str">
        <f>"2020022115"</f>
        <v>2020022115</v>
      </c>
      <c r="B616" s="2" t="s">
        <v>522</v>
      </c>
      <c r="C616" s="2">
        <v>21</v>
      </c>
      <c r="D616" s="2">
        <v>15</v>
      </c>
      <c r="E616" s="3" t="s">
        <v>16</v>
      </c>
    </row>
    <row r="617" ht="14.25" spans="1:5">
      <c r="A617" s="2" t="str">
        <f>"2020022116"</f>
        <v>2020022116</v>
      </c>
      <c r="B617" s="2" t="s">
        <v>522</v>
      </c>
      <c r="C617" s="2">
        <v>21</v>
      </c>
      <c r="D617" s="2">
        <v>16</v>
      </c>
      <c r="E617" s="3" t="s">
        <v>16</v>
      </c>
    </row>
    <row r="618" ht="14.25" spans="1:5">
      <c r="A618" s="2" t="str">
        <f>"2020022117"</f>
        <v>2020022117</v>
      </c>
      <c r="B618" s="2" t="s">
        <v>522</v>
      </c>
      <c r="C618" s="2">
        <v>21</v>
      </c>
      <c r="D618" s="2">
        <v>17</v>
      </c>
      <c r="E618" s="3" t="s">
        <v>16</v>
      </c>
    </row>
    <row r="619" ht="14.25" spans="1:5">
      <c r="A619" s="2" t="str">
        <f>"2020022118"</f>
        <v>2020022118</v>
      </c>
      <c r="B619" s="2" t="s">
        <v>522</v>
      </c>
      <c r="C619" s="2">
        <v>21</v>
      </c>
      <c r="D619" s="2">
        <v>18</v>
      </c>
      <c r="E619" s="3" t="s">
        <v>16</v>
      </c>
    </row>
    <row r="620" ht="14.25" spans="1:5">
      <c r="A620" s="2" t="str">
        <f>"2020022119"</f>
        <v>2020022119</v>
      </c>
      <c r="B620" s="2" t="s">
        <v>522</v>
      </c>
      <c r="C620" s="2">
        <v>21</v>
      </c>
      <c r="D620" s="2">
        <v>19</v>
      </c>
      <c r="E620" s="3">
        <v>46.6</v>
      </c>
    </row>
    <row r="621" ht="14.25" spans="1:5">
      <c r="A621" s="2" t="str">
        <f>"2020022120"</f>
        <v>2020022120</v>
      </c>
      <c r="B621" s="2" t="s">
        <v>522</v>
      </c>
      <c r="C621" s="2">
        <v>21</v>
      </c>
      <c r="D621" s="2">
        <v>20</v>
      </c>
      <c r="E621" s="3">
        <v>63.7</v>
      </c>
    </row>
    <row r="622" ht="14.25" spans="1:5">
      <c r="A622" s="2" t="str">
        <f>"2020022121"</f>
        <v>2020022121</v>
      </c>
      <c r="B622" s="2" t="s">
        <v>522</v>
      </c>
      <c r="C622" s="2">
        <v>21</v>
      </c>
      <c r="D622" s="2">
        <v>21</v>
      </c>
      <c r="E622" s="3">
        <v>68.9</v>
      </c>
    </row>
    <row r="623" ht="14.25" spans="1:5">
      <c r="A623" s="2" t="str">
        <f>"2020022122"</f>
        <v>2020022122</v>
      </c>
      <c r="B623" s="2" t="s">
        <v>522</v>
      </c>
      <c r="C623" s="2">
        <v>21</v>
      </c>
      <c r="D623" s="2">
        <v>22</v>
      </c>
      <c r="E623" s="3">
        <v>67</v>
      </c>
    </row>
    <row r="624" ht="14.25" spans="1:5">
      <c r="A624" s="2" t="str">
        <f>"2020022123"</f>
        <v>2020022123</v>
      </c>
      <c r="B624" s="2" t="s">
        <v>522</v>
      </c>
      <c r="C624" s="2">
        <v>21</v>
      </c>
      <c r="D624" s="2">
        <v>23</v>
      </c>
      <c r="E624" s="3" t="s">
        <v>16</v>
      </c>
    </row>
    <row r="625" ht="14.25" spans="1:5">
      <c r="A625" s="2" t="str">
        <f>"2020022124"</f>
        <v>2020022124</v>
      </c>
      <c r="B625" s="2" t="s">
        <v>522</v>
      </c>
      <c r="C625" s="2">
        <v>21</v>
      </c>
      <c r="D625" s="2">
        <v>24</v>
      </c>
      <c r="E625" s="3">
        <v>58</v>
      </c>
    </row>
    <row r="626" ht="14.25" spans="1:5">
      <c r="A626" s="2" t="str">
        <f>"2020022125"</f>
        <v>2020022125</v>
      </c>
      <c r="B626" s="2" t="s">
        <v>522</v>
      </c>
      <c r="C626" s="2">
        <v>21</v>
      </c>
      <c r="D626" s="2">
        <v>25</v>
      </c>
      <c r="E626" s="3" t="s">
        <v>16</v>
      </c>
    </row>
    <row r="627" ht="14.25" spans="1:5">
      <c r="A627" s="2" t="str">
        <f>"2020022126"</f>
        <v>2020022126</v>
      </c>
      <c r="B627" s="2" t="s">
        <v>522</v>
      </c>
      <c r="C627" s="2">
        <v>21</v>
      </c>
      <c r="D627" s="2">
        <v>26</v>
      </c>
      <c r="E627" s="3">
        <v>60.4</v>
      </c>
    </row>
    <row r="628" ht="14.25" spans="1:5">
      <c r="A628" s="2" t="str">
        <f>"2020022127"</f>
        <v>2020022127</v>
      </c>
      <c r="B628" s="2" t="s">
        <v>522</v>
      </c>
      <c r="C628" s="2">
        <v>21</v>
      </c>
      <c r="D628" s="2">
        <v>27</v>
      </c>
      <c r="E628" s="3" t="s">
        <v>16</v>
      </c>
    </row>
    <row r="629" ht="14.25" spans="1:5">
      <c r="A629" s="2" t="str">
        <f>"2020022128"</f>
        <v>2020022128</v>
      </c>
      <c r="B629" s="2" t="s">
        <v>522</v>
      </c>
      <c r="C629" s="2">
        <v>21</v>
      </c>
      <c r="D629" s="2">
        <v>28</v>
      </c>
      <c r="E629" s="3">
        <v>52.2</v>
      </c>
    </row>
    <row r="630" ht="14.25" spans="1:5">
      <c r="A630" s="2" t="str">
        <f>"2020022129"</f>
        <v>2020022129</v>
      </c>
      <c r="B630" s="2" t="s">
        <v>522</v>
      </c>
      <c r="C630" s="2">
        <v>21</v>
      </c>
      <c r="D630" s="2">
        <v>29</v>
      </c>
      <c r="E630" s="3">
        <v>58.8</v>
      </c>
    </row>
    <row r="631" ht="14.25" spans="1:5">
      <c r="A631" s="2" t="str">
        <f>"2020022130"</f>
        <v>2020022130</v>
      </c>
      <c r="B631" s="2" t="s">
        <v>522</v>
      </c>
      <c r="C631" s="2">
        <v>21</v>
      </c>
      <c r="D631" s="2">
        <v>30</v>
      </c>
      <c r="E631" s="3" t="s">
        <v>16</v>
      </c>
    </row>
    <row r="632" ht="14.25" spans="1:5">
      <c r="A632" s="2" t="str">
        <f>"2020022201"</f>
        <v>2020022201</v>
      </c>
      <c r="B632" s="2" t="s">
        <v>522</v>
      </c>
      <c r="C632" s="2">
        <v>22</v>
      </c>
      <c r="D632" s="2">
        <v>1</v>
      </c>
      <c r="E632" s="3" t="s">
        <v>16</v>
      </c>
    </row>
    <row r="633" ht="14.25" spans="1:5">
      <c r="A633" s="2" t="str">
        <f>"2020022202"</f>
        <v>2020022202</v>
      </c>
      <c r="B633" s="2" t="s">
        <v>522</v>
      </c>
      <c r="C633" s="2">
        <v>22</v>
      </c>
      <c r="D633" s="2">
        <v>2</v>
      </c>
      <c r="E633" s="3" t="s">
        <v>16</v>
      </c>
    </row>
    <row r="634" ht="14.25" spans="1:5">
      <c r="A634" s="2" t="str">
        <f>"2020022203"</f>
        <v>2020022203</v>
      </c>
      <c r="B634" s="2" t="s">
        <v>522</v>
      </c>
      <c r="C634" s="2">
        <v>22</v>
      </c>
      <c r="D634" s="2">
        <v>3</v>
      </c>
      <c r="E634" s="3">
        <v>68.9</v>
      </c>
    </row>
    <row r="635" ht="14.25" spans="1:5">
      <c r="A635" s="2" t="str">
        <f>"2020022204"</f>
        <v>2020022204</v>
      </c>
      <c r="B635" s="2" t="s">
        <v>522</v>
      </c>
      <c r="C635" s="2">
        <v>22</v>
      </c>
      <c r="D635" s="2">
        <v>4</v>
      </c>
      <c r="E635" s="3" t="s">
        <v>16</v>
      </c>
    </row>
    <row r="636" ht="14.25" spans="1:5">
      <c r="A636" s="2" t="str">
        <f>"2020022205"</f>
        <v>2020022205</v>
      </c>
      <c r="B636" s="2" t="s">
        <v>522</v>
      </c>
      <c r="C636" s="2">
        <v>22</v>
      </c>
      <c r="D636" s="2">
        <v>5</v>
      </c>
      <c r="E636" s="3" t="s">
        <v>16</v>
      </c>
    </row>
    <row r="637" ht="14.25" spans="1:5">
      <c r="A637" s="2" t="str">
        <f>"2020022206"</f>
        <v>2020022206</v>
      </c>
      <c r="B637" s="2" t="s">
        <v>522</v>
      </c>
      <c r="C637" s="2">
        <v>22</v>
      </c>
      <c r="D637" s="2">
        <v>6</v>
      </c>
      <c r="E637" s="3">
        <v>63.6</v>
      </c>
    </row>
    <row r="638" ht="14.25" spans="1:5">
      <c r="A638" s="2" t="str">
        <f>"2020022207"</f>
        <v>2020022207</v>
      </c>
      <c r="B638" s="2" t="s">
        <v>522</v>
      </c>
      <c r="C638" s="2">
        <v>22</v>
      </c>
      <c r="D638" s="2">
        <v>7</v>
      </c>
      <c r="E638" s="3" t="s">
        <v>16</v>
      </c>
    </row>
    <row r="639" ht="14.25" spans="1:5">
      <c r="A639" s="2" t="str">
        <f>"2020022208"</f>
        <v>2020022208</v>
      </c>
      <c r="B639" s="2" t="s">
        <v>522</v>
      </c>
      <c r="C639" s="2">
        <v>22</v>
      </c>
      <c r="D639" s="2">
        <v>8</v>
      </c>
      <c r="E639" s="3" t="s">
        <v>16</v>
      </c>
    </row>
    <row r="640" ht="14.25" spans="1:5">
      <c r="A640" s="2" t="str">
        <f>"2020022209"</f>
        <v>2020022209</v>
      </c>
      <c r="B640" s="2" t="s">
        <v>522</v>
      </c>
      <c r="C640" s="2">
        <v>22</v>
      </c>
      <c r="D640" s="2">
        <v>9</v>
      </c>
      <c r="E640" s="3" t="s">
        <v>16</v>
      </c>
    </row>
    <row r="641" ht="14.25" spans="1:5">
      <c r="A641" s="2" t="str">
        <f>"2020022210"</f>
        <v>2020022210</v>
      </c>
      <c r="B641" s="2" t="s">
        <v>522</v>
      </c>
      <c r="C641" s="2">
        <v>22</v>
      </c>
      <c r="D641" s="2">
        <v>10</v>
      </c>
      <c r="E641" s="3">
        <v>77.7</v>
      </c>
    </row>
    <row r="642" ht="14.25" spans="1:5">
      <c r="A642" s="2" t="str">
        <f>"2020022211"</f>
        <v>2020022211</v>
      </c>
      <c r="B642" s="2" t="s">
        <v>522</v>
      </c>
      <c r="C642" s="2">
        <v>22</v>
      </c>
      <c r="D642" s="2">
        <v>11</v>
      </c>
      <c r="E642" s="3">
        <v>61.2</v>
      </c>
    </row>
    <row r="643" ht="14.25" spans="1:5">
      <c r="A643" s="2" t="str">
        <f>"2020022212"</f>
        <v>2020022212</v>
      </c>
      <c r="B643" s="2" t="s">
        <v>522</v>
      </c>
      <c r="C643" s="2">
        <v>22</v>
      </c>
      <c r="D643" s="2">
        <v>12</v>
      </c>
      <c r="E643" s="3">
        <v>72.8</v>
      </c>
    </row>
    <row r="644" ht="14.25" spans="1:5">
      <c r="A644" s="2" t="str">
        <f>"2020022213"</f>
        <v>2020022213</v>
      </c>
      <c r="B644" s="2" t="s">
        <v>522</v>
      </c>
      <c r="C644" s="2">
        <v>22</v>
      </c>
      <c r="D644" s="2">
        <v>13</v>
      </c>
      <c r="E644" s="3" t="s">
        <v>16</v>
      </c>
    </row>
    <row r="645" ht="14.25" spans="1:5">
      <c r="A645" s="2" t="str">
        <f>"2020022214"</f>
        <v>2020022214</v>
      </c>
      <c r="B645" s="2" t="s">
        <v>522</v>
      </c>
      <c r="C645" s="2">
        <v>22</v>
      </c>
      <c r="D645" s="2">
        <v>14</v>
      </c>
      <c r="E645" s="3">
        <v>51.8</v>
      </c>
    </row>
    <row r="646" ht="14.25" spans="1:5">
      <c r="A646" s="2" t="str">
        <f>"2020022215"</f>
        <v>2020022215</v>
      </c>
      <c r="B646" s="2" t="s">
        <v>522</v>
      </c>
      <c r="C646" s="2">
        <v>22</v>
      </c>
      <c r="D646" s="2">
        <v>15</v>
      </c>
      <c r="E646" s="3">
        <v>75.1</v>
      </c>
    </row>
    <row r="647" ht="14.25" spans="1:5">
      <c r="A647" s="2" t="str">
        <f>"2020022216"</f>
        <v>2020022216</v>
      </c>
      <c r="B647" s="2" t="s">
        <v>522</v>
      </c>
      <c r="C647" s="2">
        <v>22</v>
      </c>
      <c r="D647" s="2">
        <v>16</v>
      </c>
      <c r="E647" s="3" t="s">
        <v>16</v>
      </c>
    </row>
    <row r="648" ht="14.25" spans="1:5">
      <c r="A648" s="2" t="str">
        <f>"2020022217"</f>
        <v>2020022217</v>
      </c>
      <c r="B648" s="2" t="s">
        <v>522</v>
      </c>
      <c r="C648" s="2">
        <v>22</v>
      </c>
      <c r="D648" s="2">
        <v>17</v>
      </c>
      <c r="E648" s="3" t="s">
        <v>16</v>
      </c>
    </row>
    <row r="649" ht="14.25" spans="1:5">
      <c r="A649" s="2" t="str">
        <f>"2020022218"</f>
        <v>2020022218</v>
      </c>
      <c r="B649" s="2" t="s">
        <v>522</v>
      </c>
      <c r="C649" s="2">
        <v>22</v>
      </c>
      <c r="D649" s="2">
        <v>18</v>
      </c>
      <c r="E649" s="3" t="s">
        <v>16</v>
      </c>
    </row>
    <row r="650" ht="14.25" spans="1:5">
      <c r="A650" s="2" t="str">
        <f>"2020022219"</f>
        <v>2020022219</v>
      </c>
      <c r="B650" s="2" t="s">
        <v>522</v>
      </c>
      <c r="C650" s="2">
        <v>22</v>
      </c>
      <c r="D650" s="2">
        <v>19</v>
      </c>
      <c r="E650" s="3" t="s">
        <v>16</v>
      </c>
    </row>
    <row r="651" ht="14.25" spans="1:5">
      <c r="A651" s="2" t="str">
        <f>"2020022220"</f>
        <v>2020022220</v>
      </c>
      <c r="B651" s="2" t="s">
        <v>523</v>
      </c>
      <c r="C651" s="2">
        <v>22</v>
      </c>
      <c r="D651" s="2">
        <v>20</v>
      </c>
      <c r="E651" s="3" t="s">
        <v>16</v>
      </c>
    </row>
    <row r="652" ht="14.25" spans="1:5">
      <c r="A652" s="2" t="str">
        <f>"2020022221"</f>
        <v>2020022221</v>
      </c>
      <c r="B652" s="2" t="s">
        <v>523</v>
      </c>
      <c r="C652" s="2">
        <v>22</v>
      </c>
      <c r="D652" s="2">
        <v>21</v>
      </c>
      <c r="E652" s="3">
        <v>70.1</v>
      </c>
    </row>
    <row r="653" ht="14.25" spans="1:5">
      <c r="A653" s="2" t="str">
        <f>"2020022222"</f>
        <v>2020022222</v>
      </c>
      <c r="B653" s="2" t="s">
        <v>523</v>
      </c>
      <c r="C653" s="2">
        <v>22</v>
      </c>
      <c r="D653" s="2">
        <v>22</v>
      </c>
      <c r="E653" s="3">
        <v>58.6</v>
      </c>
    </row>
    <row r="654" ht="14.25" spans="1:5">
      <c r="A654" s="2" t="str">
        <f>"2020022223"</f>
        <v>2020022223</v>
      </c>
      <c r="B654" s="2" t="s">
        <v>523</v>
      </c>
      <c r="C654" s="2">
        <v>22</v>
      </c>
      <c r="D654" s="2">
        <v>23</v>
      </c>
      <c r="E654" s="3">
        <v>74.8</v>
      </c>
    </row>
    <row r="655" ht="14.25" spans="1:5">
      <c r="A655" s="2" t="str">
        <f>"2020022224"</f>
        <v>2020022224</v>
      </c>
      <c r="B655" s="2" t="s">
        <v>523</v>
      </c>
      <c r="C655" s="2">
        <v>22</v>
      </c>
      <c r="D655" s="2">
        <v>24</v>
      </c>
      <c r="E655" s="3">
        <v>72.4</v>
      </c>
    </row>
    <row r="656" ht="14.25" spans="1:5">
      <c r="A656" s="2" t="str">
        <f>"2020022225"</f>
        <v>2020022225</v>
      </c>
      <c r="B656" s="2" t="s">
        <v>523</v>
      </c>
      <c r="C656" s="2">
        <v>22</v>
      </c>
      <c r="D656" s="2">
        <v>25</v>
      </c>
      <c r="E656" s="3">
        <v>36.5</v>
      </c>
    </row>
    <row r="657" ht="14.25" spans="1:5">
      <c r="A657" s="2" t="str">
        <f>"2020022226"</f>
        <v>2020022226</v>
      </c>
      <c r="B657" s="2" t="s">
        <v>523</v>
      </c>
      <c r="C657" s="2">
        <v>22</v>
      </c>
      <c r="D657" s="2">
        <v>26</v>
      </c>
      <c r="E657" s="3">
        <v>64.9</v>
      </c>
    </row>
    <row r="658" ht="14.25" spans="1:5">
      <c r="A658" s="2" t="str">
        <f>"2020022227"</f>
        <v>2020022227</v>
      </c>
      <c r="B658" s="2" t="s">
        <v>523</v>
      </c>
      <c r="C658" s="2">
        <v>22</v>
      </c>
      <c r="D658" s="2">
        <v>27</v>
      </c>
      <c r="E658" s="3">
        <v>63</v>
      </c>
    </row>
    <row r="659" ht="14.25" spans="1:5">
      <c r="A659" s="2" t="str">
        <f>"2020022228"</f>
        <v>2020022228</v>
      </c>
      <c r="B659" s="2" t="s">
        <v>523</v>
      </c>
      <c r="C659" s="2">
        <v>22</v>
      </c>
      <c r="D659" s="2">
        <v>28</v>
      </c>
      <c r="E659" s="3">
        <v>70.1</v>
      </c>
    </row>
    <row r="660" ht="14.25" spans="1:5">
      <c r="A660" s="2" t="str">
        <f>"2020022229"</f>
        <v>2020022229</v>
      </c>
      <c r="B660" s="2" t="s">
        <v>523</v>
      </c>
      <c r="C660" s="2">
        <v>22</v>
      </c>
      <c r="D660" s="2">
        <v>29</v>
      </c>
      <c r="E660" s="3" t="s">
        <v>16</v>
      </c>
    </row>
    <row r="661" ht="14.25" spans="1:5">
      <c r="A661" s="2" t="str">
        <f>"2020022230"</f>
        <v>2020022230</v>
      </c>
      <c r="B661" s="2" t="s">
        <v>523</v>
      </c>
      <c r="C661" s="2">
        <v>22</v>
      </c>
      <c r="D661" s="2">
        <v>30</v>
      </c>
      <c r="E661" s="3" t="s">
        <v>16</v>
      </c>
    </row>
    <row r="662" ht="14.25" spans="1:5">
      <c r="A662" s="2" t="str">
        <f>"2020022301"</f>
        <v>2020022301</v>
      </c>
      <c r="B662" s="2" t="s">
        <v>523</v>
      </c>
      <c r="C662" s="2">
        <v>23</v>
      </c>
      <c r="D662" s="2">
        <v>1</v>
      </c>
      <c r="E662" s="3">
        <v>66.6</v>
      </c>
    </row>
    <row r="663" ht="14.25" spans="1:5">
      <c r="A663" s="2" t="str">
        <f>"2020022302"</f>
        <v>2020022302</v>
      </c>
      <c r="B663" s="2" t="s">
        <v>523</v>
      </c>
      <c r="C663" s="2">
        <v>23</v>
      </c>
      <c r="D663" s="2">
        <v>2</v>
      </c>
      <c r="E663" s="3">
        <v>65</v>
      </c>
    </row>
    <row r="664" ht="14.25" spans="1:5">
      <c r="A664" s="2" t="str">
        <f>"2020022303"</f>
        <v>2020022303</v>
      </c>
      <c r="B664" s="2" t="s">
        <v>523</v>
      </c>
      <c r="C664" s="2">
        <v>23</v>
      </c>
      <c r="D664" s="2">
        <v>3</v>
      </c>
      <c r="E664" s="3">
        <v>67.3</v>
      </c>
    </row>
    <row r="665" ht="14.25" spans="1:5">
      <c r="A665" s="2" t="str">
        <f>"2020022304"</f>
        <v>2020022304</v>
      </c>
      <c r="B665" s="2" t="s">
        <v>523</v>
      </c>
      <c r="C665" s="2">
        <v>23</v>
      </c>
      <c r="D665" s="2">
        <v>4</v>
      </c>
      <c r="E665" s="3">
        <v>70.5</v>
      </c>
    </row>
    <row r="666" ht="14.25" spans="1:5">
      <c r="A666" s="2" t="str">
        <f>"2020022305"</f>
        <v>2020022305</v>
      </c>
      <c r="B666" s="2" t="s">
        <v>523</v>
      </c>
      <c r="C666" s="2">
        <v>23</v>
      </c>
      <c r="D666" s="2">
        <v>5</v>
      </c>
      <c r="E666" s="3">
        <v>66.6</v>
      </c>
    </row>
    <row r="667" ht="14.25" spans="1:5">
      <c r="A667" s="2" t="str">
        <f>"2020022306"</f>
        <v>2020022306</v>
      </c>
      <c r="B667" s="2" t="s">
        <v>523</v>
      </c>
      <c r="C667" s="2">
        <v>23</v>
      </c>
      <c r="D667" s="2">
        <v>6</v>
      </c>
      <c r="E667" s="3">
        <v>64.6</v>
      </c>
    </row>
    <row r="668" ht="14.25" spans="1:5">
      <c r="A668" s="2" t="str">
        <f>"2020022307"</f>
        <v>2020022307</v>
      </c>
      <c r="B668" s="2" t="s">
        <v>523</v>
      </c>
      <c r="C668" s="2">
        <v>23</v>
      </c>
      <c r="D668" s="2">
        <v>7</v>
      </c>
      <c r="E668" s="3">
        <v>64</v>
      </c>
    </row>
    <row r="669" ht="14.25" spans="1:5">
      <c r="A669" s="2" t="str">
        <f>"2020022308"</f>
        <v>2020022308</v>
      </c>
      <c r="B669" s="2" t="s">
        <v>523</v>
      </c>
      <c r="C669" s="2">
        <v>23</v>
      </c>
      <c r="D669" s="2">
        <v>8</v>
      </c>
      <c r="E669" s="3">
        <v>64.9</v>
      </c>
    </row>
    <row r="670" ht="14.25" spans="1:5">
      <c r="A670" s="2" t="str">
        <f>"2020022309"</f>
        <v>2020022309</v>
      </c>
      <c r="B670" s="2" t="s">
        <v>523</v>
      </c>
      <c r="C670" s="2">
        <v>23</v>
      </c>
      <c r="D670" s="2">
        <v>9</v>
      </c>
      <c r="E670" s="3">
        <v>73.8</v>
      </c>
    </row>
    <row r="671" ht="14.25" spans="1:5">
      <c r="A671" s="2" t="str">
        <f>"2020022310"</f>
        <v>2020022310</v>
      </c>
      <c r="B671" s="2" t="s">
        <v>523</v>
      </c>
      <c r="C671" s="2">
        <v>23</v>
      </c>
      <c r="D671" s="2">
        <v>10</v>
      </c>
      <c r="E671" s="3">
        <v>55.9</v>
      </c>
    </row>
    <row r="672" ht="14.25" spans="1:5">
      <c r="A672" s="2" t="str">
        <f>"2020022311"</f>
        <v>2020022311</v>
      </c>
      <c r="B672" s="2" t="s">
        <v>523</v>
      </c>
      <c r="C672" s="2">
        <v>23</v>
      </c>
      <c r="D672" s="2">
        <v>11</v>
      </c>
      <c r="E672" s="3">
        <v>57.1</v>
      </c>
    </row>
    <row r="673" ht="14.25" spans="1:5">
      <c r="A673" s="2" t="str">
        <f>"2020022312"</f>
        <v>2020022312</v>
      </c>
      <c r="B673" s="2" t="s">
        <v>523</v>
      </c>
      <c r="C673" s="2">
        <v>23</v>
      </c>
      <c r="D673" s="2">
        <v>12</v>
      </c>
      <c r="E673" s="3" t="s">
        <v>16</v>
      </c>
    </row>
    <row r="674" ht="14.25" spans="1:5">
      <c r="A674" s="2" t="str">
        <f>"2020022313"</f>
        <v>2020022313</v>
      </c>
      <c r="B674" s="2" t="s">
        <v>523</v>
      </c>
      <c r="C674" s="2">
        <v>23</v>
      </c>
      <c r="D674" s="2">
        <v>13</v>
      </c>
      <c r="E674" s="3">
        <v>74.8</v>
      </c>
    </row>
    <row r="675" ht="14.25" spans="1:5">
      <c r="A675" s="2" t="str">
        <f>"2020022314"</f>
        <v>2020022314</v>
      </c>
      <c r="B675" s="2" t="s">
        <v>523</v>
      </c>
      <c r="C675" s="2">
        <v>23</v>
      </c>
      <c r="D675" s="2">
        <v>14</v>
      </c>
      <c r="E675" s="3">
        <v>58.4</v>
      </c>
    </row>
    <row r="676" ht="14.25" spans="1:5">
      <c r="A676" s="2" t="str">
        <f>"2020022315"</f>
        <v>2020022315</v>
      </c>
      <c r="B676" s="2" t="s">
        <v>523</v>
      </c>
      <c r="C676" s="2">
        <v>23</v>
      </c>
      <c r="D676" s="2">
        <v>15</v>
      </c>
      <c r="E676" s="3" t="s">
        <v>16</v>
      </c>
    </row>
    <row r="677" ht="14.25" spans="1:5">
      <c r="A677" s="2" t="str">
        <f>"2020022316"</f>
        <v>2020022316</v>
      </c>
      <c r="B677" s="2" t="s">
        <v>523</v>
      </c>
      <c r="C677" s="2">
        <v>23</v>
      </c>
      <c r="D677" s="2">
        <v>16</v>
      </c>
      <c r="E677" s="3">
        <v>53.2</v>
      </c>
    </row>
    <row r="678" ht="14.25" spans="1:5">
      <c r="A678" s="2" t="str">
        <f>"2020022317"</f>
        <v>2020022317</v>
      </c>
      <c r="B678" s="2" t="s">
        <v>523</v>
      </c>
      <c r="C678" s="2">
        <v>23</v>
      </c>
      <c r="D678" s="2">
        <v>17</v>
      </c>
      <c r="E678" s="3" t="s">
        <v>16</v>
      </c>
    </row>
    <row r="679" ht="14.25" spans="1:5">
      <c r="A679" s="2" t="str">
        <f>"2020022318"</f>
        <v>2020022318</v>
      </c>
      <c r="B679" s="2" t="s">
        <v>523</v>
      </c>
      <c r="C679" s="2">
        <v>23</v>
      </c>
      <c r="D679" s="2">
        <v>18</v>
      </c>
      <c r="E679" s="3" t="s">
        <v>16</v>
      </c>
    </row>
    <row r="680" ht="14.25" spans="1:5">
      <c r="A680" s="2" t="str">
        <f>"2020022319"</f>
        <v>2020022319</v>
      </c>
      <c r="B680" s="2" t="s">
        <v>523</v>
      </c>
      <c r="C680" s="2">
        <v>23</v>
      </c>
      <c r="D680" s="2">
        <v>19</v>
      </c>
      <c r="E680" s="3">
        <v>68.2</v>
      </c>
    </row>
    <row r="681" ht="14.25" spans="1:5">
      <c r="A681" s="2" t="str">
        <f>"2020022320"</f>
        <v>2020022320</v>
      </c>
      <c r="B681" s="2" t="s">
        <v>523</v>
      </c>
      <c r="C681" s="2">
        <v>23</v>
      </c>
      <c r="D681" s="2">
        <v>20</v>
      </c>
      <c r="E681" s="3">
        <v>72.8</v>
      </c>
    </row>
    <row r="682" ht="14.25" spans="1:5">
      <c r="A682" s="2" t="str">
        <f>"2020022321"</f>
        <v>2020022321</v>
      </c>
      <c r="B682" s="2" t="s">
        <v>523</v>
      </c>
      <c r="C682" s="2">
        <v>23</v>
      </c>
      <c r="D682" s="2">
        <v>21</v>
      </c>
      <c r="E682" s="3">
        <v>59.6</v>
      </c>
    </row>
    <row r="683" ht="14.25" spans="1:5">
      <c r="A683" s="2" t="str">
        <f>"2020022322"</f>
        <v>2020022322</v>
      </c>
      <c r="B683" s="2" t="s">
        <v>523</v>
      </c>
      <c r="C683" s="2">
        <v>23</v>
      </c>
      <c r="D683" s="2">
        <v>22</v>
      </c>
      <c r="E683" s="3">
        <v>59</v>
      </c>
    </row>
    <row r="684" ht="14.25" spans="1:5">
      <c r="A684" s="2" t="str">
        <f>"2020022323"</f>
        <v>2020022323</v>
      </c>
      <c r="B684" s="2" t="s">
        <v>523</v>
      </c>
      <c r="C684" s="2">
        <v>23</v>
      </c>
      <c r="D684" s="2">
        <v>23</v>
      </c>
      <c r="E684" s="3" t="s">
        <v>16</v>
      </c>
    </row>
    <row r="685" ht="14.25" spans="1:5">
      <c r="A685" s="2" t="str">
        <f>"2020022324"</f>
        <v>2020022324</v>
      </c>
      <c r="B685" s="2" t="s">
        <v>523</v>
      </c>
      <c r="C685" s="2">
        <v>23</v>
      </c>
      <c r="D685" s="2">
        <v>24</v>
      </c>
      <c r="E685" s="3">
        <v>82.3</v>
      </c>
    </row>
    <row r="686" ht="14.25" spans="1:5">
      <c r="A686" s="2" t="str">
        <f>"2020022325"</f>
        <v>2020022325</v>
      </c>
      <c r="B686" s="2" t="s">
        <v>523</v>
      </c>
      <c r="C686" s="2">
        <v>23</v>
      </c>
      <c r="D686" s="2">
        <v>25</v>
      </c>
      <c r="E686" s="3" t="s">
        <v>16</v>
      </c>
    </row>
    <row r="687" ht="14.25" spans="1:5">
      <c r="A687" s="2" t="str">
        <f>"2020022326"</f>
        <v>2020022326</v>
      </c>
      <c r="B687" s="2" t="s">
        <v>523</v>
      </c>
      <c r="C687" s="2">
        <v>23</v>
      </c>
      <c r="D687" s="2">
        <v>26</v>
      </c>
      <c r="E687" s="3" t="s">
        <v>16</v>
      </c>
    </row>
    <row r="688" ht="14.25" spans="1:5">
      <c r="A688" s="2" t="str">
        <f>"2020022327"</f>
        <v>2020022327</v>
      </c>
      <c r="B688" s="2" t="s">
        <v>523</v>
      </c>
      <c r="C688" s="2">
        <v>23</v>
      </c>
      <c r="D688" s="2">
        <v>27</v>
      </c>
      <c r="E688" s="3">
        <v>64.3</v>
      </c>
    </row>
    <row r="689" ht="14.25" spans="1:5">
      <c r="A689" s="2" t="str">
        <f>"2020022328"</f>
        <v>2020022328</v>
      </c>
      <c r="B689" s="2" t="s">
        <v>523</v>
      </c>
      <c r="C689" s="2">
        <v>23</v>
      </c>
      <c r="D689" s="2">
        <v>28</v>
      </c>
      <c r="E689" s="3">
        <v>68.3</v>
      </c>
    </row>
    <row r="690" ht="14.25" spans="1:5">
      <c r="A690" s="2" t="str">
        <f>"2020022329"</f>
        <v>2020022329</v>
      </c>
      <c r="B690" s="2" t="s">
        <v>523</v>
      </c>
      <c r="C690" s="2">
        <v>23</v>
      </c>
      <c r="D690" s="2">
        <v>29</v>
      </c>
      <c r="E690" s="3">
        <v>63.3</v>
      </c>
    </row>
    <row r="691" ht="14.25" spans="1:5">
      <c r="A691" s="2" t="str">
        <f>"2020022330"</f>
        <v>2020022330</v>
      </c>
      <c r="B691" s="2" t="s">
        <v>523</v>
      </c>
      <c r="C691" s="2">
        <v>23</v>
      </c>
      <c r="D691" s="2">
        <v>30</v>
      </c>
      <c r="E691" s="3">
        <v>71.2</v>
      </c>
    </row>
    <row r="692" ht="14.25" spans="1:5">
      <c r="A692" s="2" t="str">
        <f>"2020022401"</f>
        <v>2020022401</v>
      </c>
      <c r="B692" s="2" t="s">
        <v>523</v>
      </c>
      <c r="C692" s="2">
        <v>24</v>
      </c>
      <c r="D692" s="2">
        <v>1</v>
      </c>
      <c r="E692" s="3">
        <v>59.4</v>
      </c>
    </row>
    <row r="693" ht="14.25" spans="1:5">
      <c r="A693" s="2" t="str">
        <f>"2020022402"</f>
        <v>2020022402</v>
      </c>
      <c r="B693" s="2" t="s">
        <v>523</v>
      </c>
      <c r="C693" s="2">
        <v>24</v>
      </c>
      <c r="D693" s="2">
        <v>2</v>
      </c>
      <c r="E693" s="3">
        <v>64.9</v>
      </c>
    </row>
    <row r="694" ht="14.25" spans="1:5">
      <c r="A694" s="2" t="str">
        <f>"2020022403"</f>
        <v>2020022403</v>
      </c>
      <c r="B694" s="2" t="s">
        <v>523</v>
      </c>
      <c r="C694" s="2">
        <v>24</v>
      </c>
      <c r="D694" s="2">
        <v>3</v>
      </c>
      <c r="E694" s="3" t="s">
        <v>16</v>
      </c>
    </row>
    <row r="695" ht="14.25" spans="1:5">
      <c r="A695" s="2" t="str">
        <f>"2020022404"</f>
        <v>2020022404</v>
      </c>
      <c r="B695" s="2" t="s">
        <v>523</v>
      </c>
      <c r="C695" s="2">
        <v>24</v>
      </c>
      <c r="D695" s="2">
        <v>4</v>
      </c>
      <c r="E695" s="3">
        <v>70.9</v>
      </c>
    </row>
    <row r="696" ht="14.25" spans="1:5">
      <c r="A696" s="2" t="str">
        <f>"2020022405"</f>
        <v>2020022405</v>
      </c>
      <c r="B696" s="2" t="s">
        <v>523</v>
      </c>
      <c r="C696" s="2">
        <v>24</v>
      </c>
      <c r="D696" s="2">
        <v>5</v>
      </c>
      <c r="E696" s="3" t="s">
        <v>16</v>
      </c>
    </row>
    <row r="697" ht="14.25" spans="1:5">
      <c r="A697" s="2" t="str">
        <f>"2020022406"</f>
        <v>2020022406</v>
      </c>
      <c r="B697" s="2" t="s">
        <v>523</v>
      </c>
      <c r="C697" s="2">
        <v>24</v>
      </c>
      <c r="D697" s="2">
        <v>6</v>
      </c>
      <c r="E697" s="3" t="s">
        <v>16</v>
      </c>
    </row>
    <row r="698" ht="14.25" spans="1:5">
      <c r="A698" s="2" t="str">
        <f>"2020022407"</f>
        <v>2020022407</v>
      </c>
      <c r="B698" s="2" t="s">
        <v>523</v>
      </c>
      <c r="C698" s="2">
        <v>24</v>
      </c>
      <c r="D698" s="2">
        <v>7</v>
      </c>
      <c r="E698" s="3">
        <v>64.9</v>
      </c>
    </row>
    <row r="699" ht="14.25" spans="1:5">
      <c r="A699" s="2" t="str">
        <f>"2020022408"</f>
        <v>2020022408</v>
      </c>
      <c r="B699" s="2" t="s">
        <v>523</v>
      </c>
      <c r="C699" s="2">
        <v>24</v>
      </c>
      <c r="D699" s="2">
        <v>8</v>
      </c>
      <c r="E699" s="3">
        <v>80</v>
      </c>
    </row>
    <row r="700" ht="14.25" spans="1:5">
      <c r="A700" s="2" t="str">
        <f>"2020022409"</f>
        <v>2020022409</v>
      </c>
      <c r="B700" s="2" t="s">
        <v>523</v>
      </c>
      <c r="C700" s="2">
        <v>24</v>
      </c>
      <c r="D700" s="2">
        <v>9</v>
      </c>
      <c r="E700" s="3" t="s">
        <v>16</v>
      </c>
    </row>
    <row r="701" ht="14.25" spans="1:5">
      <c r="A701" s="2" t="str">
        <f>"2020022410"</f>
        <v>2020022410</v>
      </c>
      <c r="B701" s="2" t="s">
        <v>523</v>
      </c>
      <c r="C701" s="2">
        <v>24</v>
      </c>
      <c r="D701" s="2">
        <v>10</v>
      </c>
      <c r="E701" s="3" t="s">
        <v>16</v>
      </c>
    </row>
    <row r="702" ht="14.25" spans="1:5">
      <c r="A702" s="2" t="str">
        <f>"2020022411"</f>
        <v>2020022411</v>
      </c>
      <c r="B702" s="2" t="s">
        <v>523</v>
      </c>
      <c r="C702" s="2">
        <v>24</v>
      </c>
      <c r="D702" s="2">
        <v>11</v>
      </c>
      <c r="E702" s="3">
        <v>83</v>
      </c>
    </row>
    <row r="703" ht="14.25" spans="1:5">
      <c r="A703" s="2" t="str">
        <f>"2020022412"</f>
        <v>2020022412</v>
      </c>
      <c r="B703" s="2" t="s">
        <v>523</v>
      </c>
      <c r="C703" s="2">
        <v>24</v>
      </c>
      <c r="D703" s="2">
        <v>12</v>
      </c>
      <c r="E703" s="3">
        <v>52.6</v>
      </c>
    </row>
    <row r="704" ht="14.25" spans="1:5">
      <c r="A704" s="2" t="str">
        <f>"2020022413"</f>
        <v>2020022413</v>
      </c>
      <c r="B704" s="2" t="s">
        <v>523</v>
      </c>
      <c r="C704" s="2">
        <v>24</v>
      </c>
      <c r="D704" s="2">
        <v>13</v>
      </c>
      <c r="E704" s="3">
        <v>56.5</v>
      </c>
    </row>
    <row r="705" ht="14.25" spans="1:5">
      <c r="A705" s="2" t="str">
        <f>"2020022414"</f>
        <v>2020022414</v>
      </c>
      <c r="B705" s="2" t="s">
        <v>523</v>
      </c>
      <c r="C705" s="2">
        <v>24</v>
      </c>
      <c r="D705" s="2">
        <v>14</v>
      </c>
      <c r="E705" s="3" t="s">
        <v>16</v>
      </c>
    </row>
    <row r="706" ht="14.25" spans="1:5">
      <c r="A706" s="2" t="str">
        <f>"2020022415"</f>
        <v>2020022415</v>
      </c>
      <c r="B706" s="2" t="s">
        <v>523</v>
      </c>
      <c r="C706" s="2">
        <v>24</v>
      </c>
      <c r="D706" s="2">
        <v>15</v>
      </c>
      <c r="E706" s="3" t="s">
        <v>16</v>
      </c>
    </row>
    <row r="707" ht="14.25" spans="1:5">
      <c r="A707" s="2" t="str">
        <f>"2020022416"</f>
        <v>2020022416</v>
      </c>
      <c r="B707" s="2" t="s">
        <v>523</v>
      </c>
      <c r="C707" s="2">
        <v>24</v>
      </c>
      <c r="D707" s="2">
        <v>16</v>
      </c>
      <c r="E707" s="3">
        <v>59.4</v>
      </c>
    </row>
    <row r="708" ht="14.25" spans="1:5">
      <c r="A708" s="2" t="str">
        <f>"2020022417"</f>
        <v>2020022417</v>
      </c>
      <c r="B708" s="2" t="s">
        <v>523</v>
      </c>
      <c r="C708" s="2">
        <v>24</v>
      </c>
      <c r="D708" s="2">
        <v>17</v>
      </c>
      <c r="E708" s="3">
        <v>53.6</v>
      </c>
    </row>
    <row r="709" ht="14.25" spans="1:5">
      <c r="A709" s="2" t="str">
        <f>"2020022418"</f>
        <v>2020022418</v>
      </c>
      <c r="B709" s="2" t="s">
        <v>523</v>
      </c>
      <c r="C709" s="2">
        <v>24</v>
      </c>
      <c r="D709" s="2">
        <v>18</v>
      </c>
      <c r="E709" s="3">
        <v>64.9</v>
      </c>
    </row>
    <row r="710" ht="14.25" spans="1:5">
      <c r="A710" s="2" t="str">
        <f>"2020022419"</f>
        <v>2020022419</v>
      </c>
      <c r="B710" s="2" t="s">
        <v>523</v>
      </c>
      <c r="C710" s="2">
        <v>24</v>
      </c>
      <c r="D710" s="2">
        <v>19</v>
      </c>
      <c r="E710" s="3">
        <v>73.8</v>
      </c>
    </row>
    <row r="711" ht="14.25" spans="1:5">
      <c r="A711" s="2" t="str">
        <f>"2020022420"</f>
        <v>2020022420</v>
      </c>
      <c r="B711" s="2" t="s">
        <v>523</v>
      </c>
      <c r="C711" s="2">
        <v>24</v>
      </c>
      <c r="D711" s="2">
        <v>20</v>
      </c>
      <c r="E711" s="3">
        <v>62</v>
      </c>
    </row>
    <row r="712" ht="14.25" spans="1:5">
      <c r="A712" s="2" t="str">
        <f>"2020022421"</f>
        <v>2020022421</v>
      </c>
      <c r="B712" s="2" t="s">
        <v>523</v>
      </c>
      <c r="C712" s="2">
        <v>24</v>
      </c>
      <c r="D712" s="2">
        <v>21</v>
      </c>
      <c r="E712" s="3">
        <v>72.8</v>
      </c>
    </row>
    <row r="713" ht="14.25" spans="1:5">
      <c r="A713" s="2" t="str">
        <f>"2020022422"</f>
        <v>2020022422</v>
      </c>
      <c r="B713" s="2" t="s">
        <v>523</v>
      </c>
      <c r="C713" s="2">
        <v>24</v>
      </c>
      <c r="D713" s="2">
        <v>22</v>
      </c>
      <c r="E713" s="3" t="s">
        <v>16</v>
      </c>
    </row>
    <row r="714" ht="14.25" spans="1:5">
      <c r="A714" s="2" t="str">
        <f>"2020022423"</f>
        <v>2020022423</v>
      </c>
      <c r="B714" s="2" t="s">
        <v>523</v>
      </c>
      <c r="C714" s="2">
        <v>24</v>
      </c>
      <c r="D714" s="2">
        <v>23</v>
      </c>
      <c r="E714" s="3" t="s">
        <v>16</v>
      </c>
    </row>
    <row r="715" ht="14.25" spans="1:5">
      <c r="A715" s="2" t="str">
        <f>"2020022424"</f>
        <v>2020022424</v>
      </c>
      <c r="B715" s="2" t="s">
        <v>523</v>
      </c>
      <c r="C715" s="2">
        <v>24</v>
      </c>
      <c r="D715" s="2">
        <v>24</v>
      </c>
      <c r="E715" s="3">
        <v>62.3</v>
      </c>
    </row>
    <row r="716" ht="14.25" spans="1:5">
      <c r="A716" s="2" t="str">
        <f>"2020022425"</f>
        <v>2020022425</v>
      </c>
      <c r="B716" s="2" t="s">
        <v>523</v>
      </c>
      <c r="C716" s="2">
        <v>24</v>
      </c>
      <c r="D716" s="2">
        <v>25</v>
      </c>
      <c r="E716" s="3">
        <v>76.6</v>
      </c>
    </row>
    <row r="717" ht="14.25" spans="1:5">
      <c r="A717" s="2" t="str">
        <f>"2020022426"</f>
        <v>2020022426</v>
      </c>
      <c r="B717" s="2" t="s">
        <v>523</v>
      </c>
      <c r="C717" s="2">
        <v>24</v>
      </c>
      <c r="D717" s="2">
        <v>26</v>
      </c>
      <c r="E717" s="3">
        <v>74.8</v>
      </c>
    </row>
    <row r="718" ht="14.25" spans="1:5">
      <c r="A718" s="2" t="str">
        <f>"2020022427"</f>
        <v>2020022427</v>
      </c>
      <c r="B718" s="2" t="s">
        <v>523</v>
      </c>
      <c r="C718" s="2">
        <v>24</v>
      </c>
      <c r="D718" s="2">
        <v>27</v>
      </c>
      <c r="E718" s="3">
        <v>63.3</v>
      </c>
    </row>
    <row r="719" ht="14.25" spans="1:5">
      <c r="A719" s="2" t="str">
        <f>"2020022428"</f>
        <v>2020022428</v>
      </c>
      <c r="B719" s="2" t="s">
        <v>523</v>
      </c>
      <c r="C719" s="2">
        <v>24</v>
      </c>
      <c r="D719" s="2">
        <v>28</v>
      </c>
      <c r="E719" s="3">
        <v>60.7</v>
      </c>
    </row>
    <row r="720" ht="14.25" spans="1:5">
      <c r="A720" s="2" t="str">
        <f>"2020022429"</f>
        <v>2020022429</v>
      </c>
      <c r="B720" s="2" t="s">
        <v>523</v>
      </c>
      <c r="C720" s="2">
        <v>24</v>
      </c>
      <c r="D720" s="2">
        <v>29</v>
      </c>
      <c r="E720" s="3">
        <v>62.1</v>
      </c>
    </row>
    <row r="721" ht="14.25" spans="1:5">
      <c r="A721" s="2" t="str">
        <f>"2020022430"</f>
        <v>2020022430</v>
      </c>
      <c r="B721" s="2" t="s">
        <v>523</v>
      </c>
      <c r="C721" s="2">
        <v>24</v>
      </c>
      <c r="D721" s="2">
        <v>30</v>
      </c>
      <c r="E721" s="3" t="s">
        <v>16</v>
      </c>
    </row>
    <row r="722" ht="14.25" spans="1:5">
      <c r="A722" s="2" t="str">
        <f>"2020022501"</f>
        <v>2020022501</v>
      </c>
      <c r="B722" s="2" t="s">
        <v>523</v>
      </c>
      <c r="C722" s="2">
        <v>25</v>
      </c>
      <c r="D722" s="2">
        <v>1</v>
      </c>
      <c r="E722" s="3">
        <v>65.9</v>
      </c>
    </row>
    <row r="723" ht="14.25" spans="1:5">
      <c r="A723" s="2" t="str">
        <f>"2020022502"</f>
        <v>2020022502</v>
      </c>
      <c r="B723" s="2" t="s">
        <v>523</v>
      </c>
      <c r="C723" s="2">
        <v>25</v>
      </c>
      <c r="D723" s="2">
        <v>2</v>
      </c>
      <c r="E723" s="3">
        <v>52.1</v>
      </c>
    </row>
    <row r="724" ht="14.25" spans="1:5">
      <c r="A724" s="2" t="str">
        <f>"2020022503"</f>
        <v>2020022503</v>
      </c>
      <c r="B724" s="2" t="s">
        <v>523</v>
      </c>
      <c r="C724" s="2">
        <v>25</v>
      </c>
      <c r="D724" s="2">
        <v>3</v>
      </c>
      <c r="E724" s="3">
        <v>61.4</v>
      </c>
    </row>
    <row r="725" ht="14.25" spans="1:5">
      <c r="A725" s="2" t="str">
        <f>"2020022504"</f>
        <v>2020022504</v>
      </c>
      <c r="B725" s="2" t="s">
        <v>523</v>
      </c>
      <c r="C725" s="2">
        <v>25</v>
      </c>
      <c r="D725" s="2">
        <v>4</v>
      </c>
      <c r="E725" s="3">
        <v>46.3</v>
      </c>
    </row>
    <row r="726" ht="14.25" spans="1:5">
      <c r="A726" s="2" t="str">
        <f>"2020022505"</f>
        <v>2020022505</v>
      </c>
      <c r="B726" s="2" t="s">
        <v>523</v>
      </c>
      <c r="C726" s="2">
        <v>25</v>
      </c>
      <c r="D726" s="2">
        <v>5</v>
      </c>
      <c r="E726" s="3">
        <v>60</v>
      </c>
    </row>
    <row r="727" ht="14.25" spans="1:5">
      <c r="A727" s="2" t="str">
        <f>"2020022506"</f>
        <v>2020022506</v>
      </c>
      <c r="B727" s="2" t="s">
        <v>523</v>
      </c>
      <c r="C727" s="2">
        <v>25</v>
      </c>
      <c r="D727" s="2">
        <v>6</v>
      </c>
      <c r="E727" s="3">
        <v>65.3</v>
      </c>
    </row>
    <row r="728" ht="14.25" spans="1:5">
      <c r="A728" s="2" t="str">
        <f>"2020022507"</f>
        <v>2020022507</v>
      </c>
      <c r="B728" s="2" t="s">
        <v>523</v>
      </c>
      <c r="C728" s="2">
        <v>25</v>
      </c>
      <c r="D728" s="2">
        <v>7</v>
      </c>
      <c r="E728" s="3" t="s">
        <v>16</v>
      </c>
    </row>
    <row r="729" ht="14.25" spans="1:5">
      <c r="A729" s="2" t="str">
        <f>"2020022508"</f>
        <v>2020022508</v>
      </c>
      <c r="B729" s="2" t="s">
        <v>523</v>
      </c>
      <c r="C729" s="2">
        <v>25</v>
      </c>
      <c r="D729" s="2">
        <v>8</v>
      </c>
      <c r="E729" s="3">
        <v>73.4</v>
      </c>
    </row>
    <row r="730" ht="14.25" spans="1:5">
      <c r="A730" s="2" t="str">
        <f>"2020022509"</f>
        <v>2020022509</v>
      </c>
      <c r="B730" s="2" t="s">
        <v>523</v>
      </c>
      <c r="C730" s="2">
        <v>25</v>
      </c>
      <c r="D730" s="2">
        <v>9</v>
      </c>
      <c r="E730" s="3">
        <v>78</v>
      </c>
    </row>
    <row r="731" ht="14.25" spans="1:5">
      <c r="A731" s="2" t="str">
        <f>"2020022510"</f>
        <v>2020022510</v>
      </c>
      <c r="B731" s="2" t="s">
        <v>523</v>
      </c>
      <c r="C731" s="2">
        <v>25</v>
      </c>
      <c r="D731" s="2">
        <v>10</v>
      </c>
      <c r="E731" s="3">
        <v>71.2</v>
      </c>
    </row>
    <row r="732" ht="14.25" spans="1:5">
      <c r="A732" s="2" t="str">
        <f>"2020022511"</f>
        <v>2020022511</v>
      </c>
      <c r="B732" s="2" t="s">
        <v>523</v>
      </c>
      <c r="C732" s="2">
        <v>25</v>
      </c>
      <c r="D732" s="2">
        <v>11</v>
      </c>
      <c r="E732" s="3">
        <v>63.6</v>
      </c>
    </row>
    <row r="733" ht="14.25" spans="1:5">
      <c r="A733" s="2" t="str">
        <f>"2020022512"</f>
        <v>2020022512</v>
      </c>
      <c r="B733" s="2" t="s">
        <v>523</v>
      </c>
      <c r="C733" s="2">
        <v>25</v>
      </c>
      <c r="D733" s="2">
        <v>12</v>
      </c>
      <c r="E733" s="3">
        <v>59</v>
      </c>
    </row>
    <row r="734" ht="14.25" spans="1:5">
      <c r="A734" s="2" t="str">
        <f>"2020022513"</f>
        <v>2020022513</v>
      </c>
      <c r="B734" s="2" t="s">
        <v>523</v>
      </c>
      <c r="C734" s="2">
        <v>25</v>
      </c>
      <c r="D734" s="2">
        <v>13</v>
      </c>
      <c r="E734" s="3" t="s">
        <v>16</v>
      </c>
    </row>
    <row r="735" ht="14.25" spans="1:5">
      <c r="A735" s="2" t="str">
        <f>"2020022514"</f>
        <v>2020022514</v>
      </c>
      <c r="B735" s="2" t="s">
        <v>523</v>
      </c>
      <c r="C735" s="2">
        <v>25</v>
      </c>
      <c r="D735" s="2">
        <v>14</v>
      </c>
      <c r="E735" s="3">
        <v>76.1</v>
      </c>
    </row>
    <row r="736" ht="14.25" spans="1:5">
      <c r="A736" s="2" t="str">
        <f>"2020022515"</f>
        <v>2020022515</v>
      </c>
      <c r="B736" s="2" t="s">
        <v>523</v>
      </c>
      <c r="C736" s="2">
        <v>25</v>
      </c>
      <c r="D736" s="2">
        <v>15</v>
      </c>
      <c r="E736" s="3" t="s">
        <v>16</v>
      </c>
    </row>
    <row r="737" ht="14.25" spans="1:5">
      <c r="A737" s="2" t="str">
        <f>"2020022516"</f>
        <v>2020022516</v>
      </c>
      <c r="B737" s="2" t="s">
        <v>523</v>
      </c>
      <c r="C737" s="2">
        <v>25</v>
      </c>
      <c r="D737" s="2">
        <v>16</v>
      </c>
      <c r="E737" s="3" t="s">
        <v>16</v>
      </c>
    </row>
    <row r="738" ht="14.25" spans="1:5">
      <c r="A738" s="2" t="str">
        <f>"2020022517"</f>
        <v>2020022517</v>
      </c>
      <c r="B738" s="2" t="s">
        <v>523</v>
      </c>
      <c r="C738" s="2">
        <v>25</v>
      </c>
      <c r="D738" s="2">
        <v>17</v>
      </c>
      <c r="E738" s="3">
        <v>67.2</v>
      </c>
    </row>
    <row r="739" ht="14.25" spans="1:5">
      <c r="A739" s="2" t="str">
        <f>"2020022518"</f>
        <v>2020022518</v>
      </c>
      <c r="B739" s="2" t="s">
        <v>523</v>
      </c>
      <c r="C739" s="2">
        <v>25</v>
      </c>
      <c r="D739" s="2">
        <v>18</v>
      </c>
      <c r="E739" s="3" t="s">
        <v>16</v>
      </c>
    </row>
    <row r="740" ht="14.25" spans="1:5">
      <c r="A740" s="2" t="str">
        <f>"2020022519"</f>
        <v>2020022519</v>
      </c>
      <c r="B740" s="2" t="s">
        <v>523</v>
      </c>
      <c r="C740" s="2">
        <v>25</v>
      </c>
      <c r="D740" s="2">
        <v>19</v>
      </c>
      <c r="E740" s="3">
        <v>65</v>
      </c>
    </row>
    <row r="741" ht="14.25" spans="1:5">
      <c r="A741" s="2" t="str">
        <f>"2020022520"</f>
        <v>2020022520</v>
      </c>
      <c r="B741" s="2" t="s">
        <v>523</v>
      </c>
      <c r="C741" s="2">
        <v>25</v>
      </c>
      <c r="D741" s="2">
        <v>20</v>
      </c>
      <c r="E741" s="3" t="s">
        <v>16</v>
      </c>
    </row>
    <row r="742" ht="14.25" spans="1:5">
      <c r="A742" s="2" t="str">
        <f>"2020022521"</f>
        <v>2020022521</v>
      </c>
      <c r="B742" s="2" t="s">
        <v>523</v>
      </c>
      <c r="C742" s="2">
        <v>25</v>
      </c>
      <c r="D742" s="2">
        <v>21</v>
      </c>
      <c r="E742" s="3" t="s">
        <v>16</v>
      </c>
    </row>
    <row r="743" ht="14.25" spans="1:5">
      <c r="A743" s="2" t="str">
        <f>"2020022522"</f>
        <v>2020022522</v>
      </c>
      <c r="B743" s="2" t="s">
        <v>523</v>
      </c>
      <c r="C743" s="2">
        <v>25</v>
      </c>
      <c r="D743" s="2">
        <v>22</v>
      </c>
      <c r="E743" s="3">
        <v>77.4</v>
      </c>
    </row>
    <row r="744" ht="14.25" spans="1:5">
      <c r="A744" s="2" t="str">
        <f>"2020022523"</f>
        <v>2020022523</v>
      </c>
      <c r="B744" s="2" t="s">
        <v>523</v>
      </c>
      <c r="C744" s="2">
        <v>25</v>
      </c>
      <c r="D744" s="2">
        <v>23</v>
      </c>
      <c r="E744" s="3">
        <v>61.7</v>
      </c>
    </row>
    <row r="745" ht="14.25" spans="1:5">
      <c r="A745" s="2" t="str">
        <f>"2020022524"</f>
        <v>2020022524</v>
      </c>
      <c r="B745" s="2" t="s">
        <v>523</v>
      </c>
      <c r="C745" s="2">
        <v>25</v>
      </c>
      <c r="D745" s="2">
        <v>24</v>
      </c>
      <c r="E745" s="3">
        <v>74.8</v>
      </c>
    </row>
    <row r="746" ht="14.25" spans="1:5">
      <c r="A746" s="2" t="str">
        <f>"2020022525"</f>
        <v>2020022525</v>
      </c>
      <c r="B746" s="2" t="s">
        <v>523</v>
      </c>
      <c r="C746" s="2">
        <v>25</v>
      </c>
      <c r="D746" s="2">
        <v>25</v>
      </c>
      <c r="E746" s="3">
        <v>44.5</v>
      </c>
    </row>
    <row r="747" ht="14.25" spans="1:5">
      <c r="A747" s="2" t="str">
        <f>"2020022526"</f>
        <v>2020022526</v>
      </c>
      <c r="B747" s="2" t="s">
        <v>523</v>
      </c>
      <c r="C747" s="2">
        <v>25</v>
      </c>
      <c r="D747" s="2">
        <v>26</v>
      </c>
      <c r="E747" s="3">
        <v>55.7</v>
      </c>
    </row>
    <row r="748" ht="14.25" spans="1:5">
      <c r="A748" s="2" t="str">
        <f>"2020022527"</f>
        <v>2020022527</v>
      </c>
      <c r="B748" s="2" t="s">
        <v>523</v>
      </c>
      <c r="C748" s="2">
        <v>25</v>
      </c>
      <c r="D748" s="2">
        <v>27</v>
      </c>
      <c r="E748" s="3">
        <v>68.9</v>
      </c>
    </row>
    <row r="749" ht="14.25" spans="1:5">
      <c r="A749" s="2" t="str">
        <f>"2020022528"</f>
        <v>2020022528</v>
      </c>
      <c r="B749" s="2" t="s">
        <v>523</v>
      </c>
      <c r="C749" s="2">
        <v>25</v>
      </c>
      <c r="D749" s="2">
        <v>28</v>
      </c>
      <c r="E749" s="3">
        <v>55.8</v>
      </c>
    </row>
    <row r="750" ht="14.25" spans="1:5">
      <c r="A750" s="2" t="str">
        <f>"2020022529"</f>
        <v>2020022529</v>
      </c>
      <c r="B750" s="2" t="s">
        <v>523</v>
      </c>
      <c r="C750" s="2">
        <v>25</v>
      </c>
      <c r="D750" s="2">
        <v>29</v>
      </c>
      <c r="E750" s="3">
        <v>70.2</v>
      </c>
    </row>
    <row r="751" ht="14.25" spans="1:5">
      <c r="A751" s="2" t="str">
        <f>"2020022530"</f>
        <v>2020022530</v>
      </c>
      <c r="B751" s="2" t="s">
        <v>523</v>
      </c>
      <c r="C751" s="2">
        <v>25</v>
      </c>
      <c r="D751" s="2">
        <v>30</v>
      </c>
      <c r="E751" s="3">
        <v>73.2</v>
      </c>
    </row>
    <row r="752" ht="14.25" spans="1:5">
      <c r="A752" s="2" t="str">
        <f>"2020022601"</f>
        <v>2020022601</v>
      </c>
      <c r="B752" s="2" t="s">
        <v>523</v>
      </c>
      <c r="C752" s="2">
        <v>26</v>
      </c>
      <c r="D752" s="2">
        <v>1</v>
      </c>
      <c r="E752" s="3" t="s">
        <v>16</v>
      </c>
    </row>
    <row r="753" ht="14.25" spans="1:5">
      <c r="A753" s="2" t="str">
        <f>"2020022602"</f>
        <v>2020022602</v>
      </c>
      <c r="B753" s="2" t="s">
        <v>523</v>
      </c>
      <c r="C753" s="2">
        <v>26</v>
      </c>
      <c r="D753" s="2">
        <v>2</v>
      </c>
      <c r="E753" s="3">
        <v>65.6</v>
      </c>
    </row>
    <row r="754" ht="14.25" spans="1:5">
      <c r="A754" s="2" t="str">
        <f>"2020022603"</f>
        <v>2020022603</v>
      </c>
      <c r="B754" s="2" t="s">
        <v>523</v>
      </c>
      <c r="C754" s="2">
        <v>26</v>
      </c>
      <c r="D754" s="2">
        <v>3</v>
      </c>
      <c r="E754" s="3">
        <v>67.8</v>
      </c>
    </row>
    <row r="755" ht="14.25" spans="1:5">
      <c r="A755" s="2" t="str">
        <f>"2020022604"</f>
        <v>2020022604</v>
      </c>
      <c r="B755" s="2" t="s">
        <v>523</v>
      </c>
      <c r="C755" s="2">
        <v>26</v>
      </c>
      <c r="D755" s="2">
        <v>4</v>
      </c>
      <c r="E755" s="3" t="s">
        <v>16</v>
      </c>
    </row>
    <row r="756" ht="14.25" spans="1:5">
      <c r="A756" s="2" t="str">
        <f>"2020022605"</f>
        <v>2020022605</v>
      </c>
      <c r="B756" s="2" t="s">
        <v>523</v>
      </c>
      <c r="C756" s="2">
        <v>26</v>
      </c>
      <c r="D756" s="2">
        <v>5</v>
      </c>
      <c r="E756" s="3">
        <v>53.5</v>
      </c>
    </row>
    <row r="757" ht="14.25" spans="1:5">
      <c r="A757" s="2" t="str">
        <f>"2020022606"</f>
        <v>2020022606</v>
      </c>
      <c r="B757" s="2" t="s">
        <v>523</v>
      </c>
      <c r="C757" s="2">
        <v>26</v>
      </c>
      <c r="D757" s="2">
        <v>6</v>
      </c>
      <c r="E757" s="3" t="s">
        <v>16</v>
      </c>
    </row>
    <row r="758" ht="14.25" spans="1:5">
      <c r="A758" s="2" t="str">
        <f>"2020022607"</f>
        <v>2020022607</v>
      </c>
      <c r="B758" s="2" t="s">
        <v>523</v>
      </c>
      <c r="C758" s="2">
        <v>26</v>
      </c>
      <c r="D758" s="2">
        <v>7</v>
      </c>
      <c r="E758" s="3">
        <v>56.1</v>
      </c>
    </row>
    <row r="759" ht="14.25" spans="1:5">
      <c r="A759" s="2" t="str">
        <f>"2020022608"</f>
        <v>2020022608</v>
      </c>
      <c r="B759" s="2" t="s">
        <v>523</v>
      </c>
      <c r="C759" s="2">
        <v>26</v>
      </c>
      <c r="D759" s="2">
        <v>8</v>
      </c>
      <c r="E759" s="3">
        <v>59.3</v>
      </c>
    </row>
    <row r="760" ht="14.25" spans="1:5">
      <c r="A760" s="2" t="str">
        <f>"2020022609"</f>
        <v>2020022609</v>
      </c>
      <c r="B760" s="2" t="s">
        <v>523</v>
      </c>
      <c r="C760" s="2">
        <v>26</v>
      </c>
      <c r="D760" s="2">
        <v>9</v>
      </c>
      <c r="E760" s="3" t="s">
        <v>16</v>
      </c>
    </row>
    <row r="761" ht="14.25" spans="1:5">
      <c r="A761" s="2" t="str">
        <f>"2020022610"</f>
        <v>2020022610</v>
      </c>
      <c r="B761" s="2" t="s">
        <v>523</v>
      </c>
      <c r="C761" s="2">
        <v>26</v>
      </c>
      <c r="D761" s="2">
        <v>10</v>
      </c>
      <c r="E761" s="3">
        <v>64.9</v>
      </c>
    </row>
    <row r="762" ht="14.25" spans="1:5">
      <c r="A762" s="2" t="str">
        <f>"2020022611"</f>
        <v>2020022611</v>
      </c>
      <c r="B762" s="2" t="s">
        <v>523</v>
      </c>
      <c r="C762" s="2">
        <v>26</v>
      </c>
      <c r="D762" s="2">
        <v>11</v>
      </c>
      <c r="E762" s="3">
        <v>78</v>
      </c>
    </row>
    <row r="763" ht="14.25" spans="1:5">
      <c r="A763" s="2" t="str">
        <f>"2020022612"</f>
        <v>2020022612</v>
      </c>
      <c r="B763" s="2" t="s">
        <v>523</v>
      </c>
      <c r="C763" s="2">
        <v>26</v>
      </c>
      <c r="D763" s="2">
        <v>12</v>
      </c>
      <c r="E763" s="3" t="s">
        <v>16</v>
      </c>
    </row>
    <row r="764" ht="14.25" spans="1:5">
      <c r="A764" s="2" t="str">
        <f>"2020022613"</f>
        <v>2020022613</v>
      </c>
      <c r="B764" s="2" t="s">
        <v>523</v>
      </c>
      <c r="C764" s="2">
        <v>26</v>
      </c>
      <c r="D764" s="2">
        <v>13</v>
      </c>
      <c r="E764" s="3">
        <v>69.2</v>
      </c>
    </row>
    <row r="765" ht="14.25" spans="1:5">
      <c r="A765" s="2" t="str">
        <f>"2020022614"</f>
        <v>2020022614</v>
      </c>
      <c r="B765" s="2" t="s">
        <v>523</v>
      </c>
      <c r="C765" s="2">
        <v>26</v>
      </c>
      <c r="D765" s="2">
        <v>14</v>
      </c>
      <c r="E765" s="3">
        <v>75.8</v>
      </c>
    </row>
    <row r="766" ht="14.25" spans="1:5">
      <c r="A766" s="2" t="str">
        <f>"2020022615"</f>
        <v>2020022615</v>
      </c>
      <c r="B766" s="2" t="s">
        <v>523</v>
      </c>
      <c r="C766" s="2">
        <v>26</v>
      </c>
      <c r="D766" s="2">
        <v>15</v>
      </c>
      <c r="E766" s="3" t="s">
        <v>16</v>
      </c>
    </row>
    <row r="767" ht="14.25" spans="1:5">
      <c r="A767" s="2" t="str">
        <f>"2020022616"</f>
        <v>2020022616</v>
      </c>
      <c r="B767" s="2" t="s">
        <v>523</v>
      </c>
      <c r="C767" s="2">
        <v>26</v>
      </c>
      <c r="D767" s="2">
        <v>16</v>
      </c>
      <c r="E767" s="3">
        <v>53.9</v>
      </c>
    </row>
    <row r="768" ht="14.25" spans="1:5">
      <c r="A768" s="2" t="str">
        <f>"2020022617"</f>
        <v>2020022617</v>
      </c>
      <c r="B768" s="2" t="s">
        <v>523</v>
      </c>
      <c r="C768" s="2">
        <v>26</v>
      </c>
      <c r="D768" s="2">
        <v>17</v>
      </c>
      <c r="E768" s="3">
        <v>59.7</v>
      </c>
    </row>
    <row r="769" ht="14.25" spans="1:5">
      <c r="A769" s="2" t="str">
        <f>"2020022618"</f>
        <v>2020022618</v>
      </c>
      <c r="B769" s="2" t="s">
        <v>523</v>
      </c>
      <c r="C769" s="2">
        <v>26</v>
      </c>
      <c r="D769" s="2">
        <v>18</v>
      </c>
      <c r="E769" s="3" t="s">
        <v>16</v>
      </c>
    </row>
    <row r="770" ht="14.25" spans="1:5">
      <c r="A770" s="2" t="str">
        <f>"2020022619"</f>
        <v>2020022619</v>
      </c>
      <c r="B770" s="2" t="s">
        <v>523</v>
      </c>
      <c r="C770" s="2">
        <v>26</v>
      </c>
      <c r="D770" s="2">
        <v>19</v>
      </c>
      <c r="E770" s="3">
        <v>57.2</v>
      </c>
    </row>
    <row r="771" ht="14.25" spans="1:5">
      <c r="A771" s="2" t="str">
        <f>"2020022620"</f>
        <v>2020022620</v>
      </c>
      <c r="B771" s="2" t="s">
        <v>523</v>
      </c>
      <c r="C771" s="2">
        <v>26</v>
      </c>
      <c r="D771" s="2">
        <v>20</v>
      </c>
      <c r="E771" s="3" t="s">
        <v>16</v>
      </c>
    </row>
    <row r="772" ht="14.25" spans="1:5">
      <c r="A772" s="2" t="str">
        <f>"2020022621"</f>
        <v>2020022621</v>
      </c>
      <c r="B772" s="2" t="s">
        <v>523</v>
      </c>
      <c r="C772" s="2">
        <v>26</v>
      </c>
      <c r="D772" s="2">
        <v>21</v>
      </c>
      <c r="E772" s="3">
        <v>60</v>
      </c>
    </row>
    <row r="773" ht="14.25" spans="1:5">
      <c r="A773" s="2" t="str">
        <f>"2020022622"</f>
        <v>2020022622</v>
      </c>
      <c r="B773" s="2" t="s">
        <v>523</v>
      </c>
      <c r="C773" s="2">
        <v>26</v>
      </c>
      <c r="D773" s="2">
        <v>22</v>
      </c>
      <c r="E773" s="3">
        <v>66.6</v>
      </c>
    </row>
    <row r="774" ht="14.25" spans="1:5">
      <c r="A774" s="2" t="str">
        <f>"2020022623"</f>
        <v>2020022623</v>
      </c>
      <c r="B774" s="2" t="s">
        <v>523</v>
      </c>
      <c r="C774" s="2">
        <v>26</v>
      </c>
      <c r="D774" s="2">
        <v>23</v>
      </c>
      <c r="E774" s="3" t="s">
        <v>16</v>
      </c>
    </row>
    <row r="775" ht="14.25" spans="1:5">
      <c r="A775" s="2" t="str">
        <f>"2020022624"</f>
        <v>2020022624</v>
      </c>
      <c r="B775" s="2" t="s">
        <v>523</v>
      </c>
      <c r="C775" s="2">
        <v>26</v>
      </c>
      <c r="D775" s="2">
        <v>24</v>
      </c>
      <c r="E775" s="3">
        <v>55.8</v>
      </c>
    </row>
    <row r="776" ht="14.25" spans="1:5">
      <c r="A776" s="2" t="str">
        <f>"2020022625"</f>
        <v>2020022625</v>
      </c>
      <c r="B776" s="2" t="s">
        <v>523</v>
      </c>
      <c r="C776" s="2">
        <v>26</v>
      </c>
      <c r="D776" s="2">
        <v>25</v>
      </c>
      <c r="E776" s="3">
        <v>73.4</v>
      </c>
    </row>
    <row r="777" ht="14.25" spans="1:5">
      <c r="A777" s="2" t="str">
        <f>"2020022626"</f>
        <v>2020022626</v>
      </c>
      <c r="B777" s="2" t="s">
        <v>523</v>
      </c>
      <c r="C777" s="2">
        <v>26</v>
      </c>
      <c r="D777" s="2">
        <v>26</v>
      </c>
      <c r="E777" s="3">
        <v>52.2</v>
      </c>
    </row>
    <row r="778" ht="14.25" spans="1:5">
      <c r="A778" s="2" t="str">
        <f>"2020022627"</f>
        <v>2020022627</v>
      </c>
      <c r="B778" s="2" t="s">
        <v>523</v>
      </c>
      <c r="C778" s="2">
        <v>26</v>
      </c>
      <c r="D778" s="2">
        <v>27</v>
      </c>
      <c r="E778" s="3" t="s">
        <v>16</v>
      </c>
    </row>
    <row r="779" ht="14.25" spans="1:5">
      <c r="A779" s="2" t="str">
        <f>"2020022628"</f>
        <v>2020022628</v>
      </c>
      <c r="B779" s="2" t="s">
        <v>523</v>
      </c>
      <c r="C779" s="2">
        <v>26</v>
      </c>
      <c r="D779" s="2">
        <v>28</v>
      </c>
      <c r="E779" s="3">
        <v>69.4</v>
      </c>
    </row>
    <row r="780" ht="14.25" spans="1:5">
      <c r="A780" s="2" t="str">
        <f>"2020022629"</f>
        <v>2020022629</v>
      </c>
      <c r="B780" s="2" t="s">
        <v>523</v>
      </c>
      <c r="C780" s="2">
        <v>26</v>
      </c>
      <c r="D780" s="2">
        <v>29</v>
      </c>
      <c r="E780" s="3">
        <v>59.7</v>
      </c>
    </row>
    <row r="781" ht="14.25" spans="1:5">
      <c r="A781" s="2" t="str">
        <f>"2020022630"</f>
        <v>2020022630</v>
      </c>
      <c r="B781" s="2" t="s">
        <v>523</v>
      </c>
      <c r="C781" s="2">
        <v>26</v>
      </c>
      <c r="D781" s="2">
        <v>30</v>
      </c>
      <c r="E781" s="3">
        <v>58.1</v>
      </c>
    </row>
    <row r="782" ht="14.25" spans="1:5">
      <c r="A782" s="2" t="str">
        <f>"2020022701"</f>
        <v>2020022701</v>
      </c>
      <c r="B782" s="2" t="s">
        <v>523</v>
      </c>
      <c r="C782" s="2">
        <v>27</v>
      </c>
      <c r="D782" s="2">
        <v>1</v>
      </c>
      <c r="E782" s="3">
        <v>52.6</v>
      </c>
    </row>
    <row r="783" ht="14.25" spans="1:5">
      <c r="A783" s="2" t="str">
        <f>"2020022702"</f>
        <v>2020022702</v>
      </c>
      <c r="B783" s="2" t="s">
        <v>523</v>
      </c>
      <c r="C783" s="2">
        <v>27</v>
      </c>
      <c r="D783" s="2">
        <v>2</v>
      </c>
      <c r="E783" s="3">
        <v>59.1</v>
      </c>
    </row>
    <row r="784" ht="14.25" spans="1:5">
      <c r="A784" s="2" t="str">
        <f>"2020022703"</f>
        <v>2020022703</v>
      </c>
      <c r="B784" s="2" t="s">
        <v>523</v>
      </c>
      <c r="C784" s="2">
        <v>27</v>
      </c>
      <c r="D784" s="2">
        <v>3</v>
      </c>
      <c r="E784" s="3" t="s">
        <v>16</v>
      </c>
    </row>
    <row r="785" ht="14.25" spans="1:5">
      <c r="A785" s="2" t="str">
        <f>"2020022704"</f>
        <v>2020022704</v>
      </c>
      <c r="B785" s="2" t="s">
        <v>523</v>
      </c>
      <c r="C785" s="2">
        <v>27</v>
      </c>
      <c r="D785" s="2">
        <v>4</v>
      </c>
      <c r="E785" s="3">
        <v>50.9</v>
      </c>
    </row>
    <row r="786" ht="14.25" spans="1:5">
      <c r="A786" s="2" t="str">
        <f>"2020022705"</f>
        <v>2020022705</v>
      </c>
      <c r="B786" s="2" t="s">
        <v>523</v>
      </c>
      <c r="C786" s="2">
        <v>27</v>
      </c>
      <c r="D786" s="2">
        <v>5</v>
      </c>
      <c r="E786" s="3">
        <v>74.1</v>
      </c>
    </row>
    <row r="787" ht="14.25" spans="1:5">
      <c r="A787" s="2" t="str">
        <f>"2020022706"</f>
        <v>2020022706</v>
      </c>
      <c r="B787" s="2" t="s">
        <v>523</v>
      </c>
      <c r="C787" s="2">
        <v>27</v>
      </c>
      <c r="D787" s="2">
        <v>6</v>
      </c>
      <c r="E787" s="3">
        <v>62.4</v>
      </c>
    </row>
    <row r="788" ht="14.25" spans="1:5">
      <c r="A788" s="2" t="str">
        <f>"2020022707"</f>
        <v>2020022707</v>
      </c>
      <c r="B788" s="2" t="s">
        <v>523</v>
      </c>
      <c r="C788" s="2">
        <v>27</v>
      </c>
      <c r="D788" s="2">
        <v>7</v>
      </c>
      <c r="E788" s="3">
        <v>69.9</v>
      </c>
    </row>
    <row r="789" ht="14.25" spans="1:5">
      <c r="A789" s="2" t="str">
        <f>"2020022708"</f>
        <v>2020022708</v>
      </c>
      <c r="B789" s="2" t="s">
        <v>523</v>
      </c>
      <c r="C789" s="2">
        <v>27</v>
      </c>
      <c r="D789" s="2">
        <v>8</v>
      </c>
      <c r="E789" s="3">
        <v>74.5</v>
      </c>
    </row>
    <row r="790" ht="14.25" spans="1:5">
      <c r="A790" s="2" t="str">
        <f>"2020022709"</f>
        <v>2020022709</v>
      </c>
      <c r="B790" s="2" t="s">
        <v>523</v>
      </c>
      <c r="C790" s="2">
        <v>27</v>
      </c>
      <c r="D790" s="2">
        <v>9</v>
      </c>
      <c r="E790" s="3">
        <v>68</v>
      </c>
    </row>
    <row r="791" ht="14.25" spans="1:5">
      <c r="A791" s="2" t="str">
        <f>"2020022710"</f>
        <v>2020022710</v>
      </c>
      <c r="B791" s="2" t="s">
        <v>523</v>
      </c>
      <c r="C791" s="2">
        <v>27</v>
      </c>
      <c r="D791" s="2">
        <v>10</v>
      </c>
      <c r="E791" s="3">
        <v>59</v>
      </c>
    </row>
    <row r="792" ht="14.25" spans="1:5">
      <c r="A792" s="2" t="str">
        <f>"2020022711"</f>
        <v>2020022711</v>
      </c>
      <c r="B792" s="2" t="s">
        <v>523</v>
      </c>
      <c r="C792" s="2">
        <v>27</v>
      </c>
      <c r="D792" s="2">
        <v>11</v>
      </c>
      <c r="E792" s="3">
        <v>66.3</v>
      </c>
    </row>
    <row r="793" ht="14.25" spans="1:5">
      <c r="A793" s="2" t="str">
        <f>"2020022712"</f>
        <v>2020022712</v>
      </c>
      <c r="B793" s="2" t="s">
        <v>523</v>
      </c>
      <c r="C793" s="2">
        <v>27</v>
      </c>
      <c r="D793" s="2">
        <v>12</v>
      </c>
      <c r="E793" s="3" t="s">
        <v>16</v>
      </c>
    </row>
    <row r="794" ht="14.25" spans="1:5">
      <c r="A794" s="2" t="str">
        <f>"2020022713"</f>
        <v>2020022713</v>
      </c>
      <c r="B794" s="2" t="s">
        <v>523</v>
      </c>
      <c r="C794" s="2">
        <v>27</v>
      </c>
      <c r="D794" s="2">
        <v>13</v>
      </c>
      <c r="E794" s="3" t="s">
        <v>16</v>
      </c>
    </row>
    <row r="795" ht="14.25" spans="1:5">
      <c r="A795" s="2" t="str">
        <f>"2020022714"</f>
        <v>2020022714</v>
      </c>
      <c r="B795" s="2" t="s">
        <v>523</v>
      </c>
      <c r="C795" s="2">
        <v>27</v>
      </c>
      <c r="D795" s="2">
        <v>14</v>
      </c>
      <c r="E795" s="3">
        <v>66.6</v>
      </c>
    </row>
    <row r="796" ht="14.25" spans="1:5">
      <c r="A796" s="2" t="str">
        <f>"2020022715"</f>
        <v>2020022715</v>
      </c>
      <c r="B796" s="2" t="s">
        <v>523</v>
      </c>
      <c r="C796" s="2">
        <v>27</v>
      </c>
      <c r="D796" s="2">
        <v>15</v>
      </c>
      <c r="E796" s="3">
        <v>65</v>
      </c>
    </row>
    <row r="797" ht="14.25" spans="1:5">
      <c r="A797" s="2" t="str">
        <f>"2020022716"</f>
        <v>2020022716</v>
      </c>
      <c r="B797" s="2" t="s">
        <v>523</v>
      </c>
      <c r="C797" s="2">
        <v>27</v>
      </c>
      <c r="D797" s="2">
        <v>16</v>
      </c>
      <c r="E797" s="3">
        <v>46</v>
      </c>
    </row>
    <row r="798" ht="14.25" spans="1:5">
      <c r="A798" s="2" t="str">
        <f>"2020022717"</f>
        <v>2020022717</v>
      </c>
      <c r="B798" s="2" t="s">
        <v>523</v>
      </c>
      <c r="C798" s="2">
        <v>27</v>
      </c>
      <c r="D798" s="2">
        <v>17</v>
      </c>
      <c r="E798" s="3">
        <v>75.5</v>
      </c>
    </row>
    <row r="799" ht="14.25" spans="1:5">
      <c r="A799" s="2" t="str">
        <f>"2020022718"</f>
        <v>2020022718</v>
      </c>
      <c r="B799" s="2" t="s">
        <v>523</v>
      </c>
      <c r="C799" s="2">
        <v>27</v>
      </c>
      <c r="D799" s="2">
        <v>18</v>
      </c>
      <c r="E799" s="3">
        <v>67</v>
      </c>
    </row>
    <row r="800" ht="14.25" spans="1:5">
      <c r="A800" s="2" t="str">
        <f>"2020022719"</f>
        <v>2020022719</v>
      </c>
      <c r="B800" s="2" t="s">
        <v>523</v>
      </c>
      <c r="C800" s="2">
        <v>27</v>
      </c>
      <c r="D800" s="2">
        <v>19</v>
      </c>
      <c r="E800" s="3">
        <v>70.2</v>
      </c>
    </row>
    <row r="801" ht="14.25" spans="1:5">
      <c r="A801" s="2" t="str">
        <f>"2020022720"</f>
        <v>2020022720</v>
      </c>
      <c r="B801" s="2" t="s">
        <v>523</v>
      </c>
      <c r="C801" s="2">
        <v>27</v>
      </c>
      <c r="D801" s="2">
        <v>20</v>
      </c>
      <c r="E801" s="3">
        <v>62</v>
      </c>
    </row>
    <row r="802" ht="14.25" spans="1:5">
      <c r="A802" s="2" t="str">
        <f>"2020022721"</f>
        <v>2020022721</v>
      </c>
      <c r="B802" s="2" t="s">
        <v>523</v>
      </c>
      <c r="C802" s="2">
        <v>27</v>
      </c>
      <c r="D802" s="2">
        <v>21</v>
      </c>
      <c r="E802" s="3">
        <v>57.4</v>
      </c>
    </row>
    <row r="803" ht="14.25" spans="1:5">
      <c r="A803" s="2" t="str">
        <f>"2020022722"</f>
        <v>2020022722</v>
      </c>
      <c r="B803" s="2" t="s">
        <v>523</v>
      </c>
      <c r="C803" s="2">
        <v>27</v>
      </c>
      <c r="D803" s="2">
        <v>22</v>
      </c>
      <c r="E803" s="3" t="s">
        <v>16</v>
      </c>
    </row>
    <row r="804" ht="14.25" spans="1:5">
      <c r="A804" s="2" t="str">
        <f>"2020022723"</f>
        <v>2020022723</v>
      </c>
      <c r="B804" s="2" t="s">
        <v>523</v>
      </c>
      <c r="C804" s="2">
        <v>27</v>
      </c>
      <c r="D804" s="2">
        <v>23</v>
      </c>
      <c r="E804" s="3">
        <v>69.6</v>
      </c>
    </row>
    <row r="805" ht="14.25" spans="1:5">
      <c r="A805" s="2" t="str">
        <f>"2020022724"</f>
        <v>2020022724</v>
      </c>
      <c r="B805" s="2" t="s">
        <v>523</v>
      </c>
      <c r="C805" s="2">
        <v>27</v>
      </c>
      <c r="D805" s="2">
        <v>24</v>
      </c>
      <c r="E805" s="3">
        <v>76.4</v>
      </c>
    </row>
    <row r="806" ht="14.25" spans="1:5">
      <c r="A806" s="2" t="str">
        <f>"2020022725"</f>
        <v>2020022725</v>
      </c>
      <c r="B806" s="2" t="s">
        <v>523</v>
      </c>
      <c r="C806" s="2">
        <v>27</v>
      </c>
      <c r="D806" s="2">
        <v>25</v>
      </c>
      <c r="E806" s="3">
        <v>58.3</v>
      </c>
    </row>
    <row r="807" ht="14.25" spans="1:5">
      <c r="A807" s="2" t="str">
        <f>"2020022726"</f>
        <v>2020022726</v>
      </c>
      <c r="B807" s="2" t="s">
        <v>523</v>
      </c>
      <c r="C807" s="2">
        <v>27</v>
      </c>
      <c r="D807" s="2">
        <v>26</v>
      </c>
      <c r="E807" s="3">
        <v>61</v>
      </c>
    </row>
    <row r="808" ht="14.25" spans="1:5">
      <c r="A808" s="2" t="str">
        <f>"2020022727"</f>
        <v>2020022727</v>
      </c>
      <c r="B808" s="2" t="s">
        <v>523</v>
      </c>
      <c r="C808" s="2">
        <v>27</v>
      </c>
      <c r="D808" s="2">
        <v>27</v>
      </c>
      <c r="E808" s="3" t="s">
        <v>16</v>
      </c>
    </row>
    <row r="809" ht="14.25" spans="1:5">
      <c r="A809" s="2" t="str">
        <f>"2020022728"</f>
        <v>2020022728</v>
      </c>
      <c r="B809" s="2" t="s">
        <v>523</v>
      </c>
      <c r="C809" s="2">
        <v>27</v>
      </c>
      <c r="D809" s="2">
        <v>28</v>
      </c>
      <c r="E809" s="3">
        <v>65</v>
      </c>
    </row>
    <row r="810" ht="14.25" spans="1:5">
      <c r="A810" s="2" t="str">
        <f>"2020022729"</f>
        <v>2020022729</v>
      </c>
      <c r="B810" s="2" t="s">
        <v>523</v>
      </c>
      <c r="C810" s="2">
        <v>27</v>
      </c>
      <c r="D810" s="2">
        <v>29</v>
      </c>
      <c r="E810" s="3">
        <v>77</v>
      </c>
    </row>
    <row r="811" ht="14.25" spans="1:5">
      <c r="A811" s="2" t="str">
        <f>"2020022730"</f>
        <v>2020022730</v>
      </c>
      <c r="B811" s="2" t="s">
        <v>523</v>
      </c>
      <c r="C811" s="2">
        <v>27</v>
      </c>
      <c r="D811" s="2">
        <v>30</v>
      </c>
      <c r="E811" s="3" t="s">
        <v>16</v>
      </c>
    </row>
    <row r="812" ht="14.25" spans="1:5">
      <c r="A812" s="2" t="str">
        <f>"2020022801"</f>
        <v>2020022801</v>
      </c>
      <c r="B812" s="2" t="s">
        <v>523</v>
      </c>
      <c r="C812" s="2">
        <v>28</v>
      </c>
      <c r="D812" s="2">
        <v>1</v>
      </c>
      <c r="E812" s="3">
        <v>66.6</v>
      </c>
    </row>
    <row r="813" ht="14.25" spans="1:5">
      <c r="A813" s="2" t="str">
        <f>"2020022802"</f>
        <v>2020022802</v>
      </c>
      <c r="B813" s="2" t="s">
        <v>523</v>
      </c>
      <c r="C813" s="2">
        <v>28</v>
      </c>
      <c r="D813" s="2">
        <v>2</v>
      </c>
      <c r="E813" s="3">
        <v>64</v>
      </c>
    </row>
    <row r="814" ht="14.25" spans="1:5">
      <c r="A814" s="2" t="str">
        <f>"2020022803"</f>
        <v>2020022803</v>
      </c>
      <c r="B814" s="2" t="s">
        <v>523</v>
      </c>
      <c r="C814" s="2">
        <v>28</v>
      </c>
      <c r="D814" s="2">
        <v>3</v>
      </c>
      <c r="E814" s="3">
        <v>55.4</v>
      </c>
    </row>
    <row r="815" ht="14.25" spans="1:5">
      <c r="A815" s="2" t="str">
        <f>"2020022804"</f>
        <v>2020022804</v>
      </c>
      <c r="B815" s="2" t="s">
        <v>523</v>
      </c>
      <c r="C815" s="2">
        <v>28</v>
      </c>
      <c r="D815" s="2">
        <v>4</v>
      </c>
      <c r="E815" s="3">
        <v>74.7</v>
      </c>
    </row>
    <row r="816" ht="14.25" spans="1:5">
      <c r="A816" s="2" t="str">
        <f>"2020022805"</f>
        <v>2020022805</v>
      </c>
      <c r="B816" s="2" t="s">
        <v>523</v>
      </c>
      <c r="C816" s="2">
        <v>28</v>
      </c>
      <c r="D816" s="2">
        <v>5</v>
      </c>
      <c r="E816" s="3" t="s">
        <v>16</v>
      </c>
    </row>
    <row r="817" ht="14.25" spans="1:5">
      <c r="A817" s="2" t="str">
        <f>"2020022806"</f>
        <v>2020022806</v>
      </c>
      <c r="B817" s="2" t="s">
        <v>523</v>
      </c>
      <c r="C817" s="2">
        <v>28</v>
      </c>
      <c r="D817" s="2">
        <v>6</v>
      </c>
      <c r="E817" s="3">
        <v>68.3</v>
      </c>
    </row>
    <row r="818" ht="14.25" spans="1:5">
      <c r="A818" s="2" t="str">
        <f>"2020022807"</f>
        <v>2020022807</v>
      </c>
      <c r="B818" s="2" t="s">
        <v>523</v>
      </c>
      <c r="C818" s="2">
        <v>28</v>
      </c>
      <c r="D818" s="2">
        <v>7</v>
      </c>
      <c r="E818" s="3">
        <v>61.4</v>
      </c>
    </row>
    <row r="819" ht="14.25" spans="1:5">
      <c r="A819" s="2" t="str">
        <f>"2020022808"</f>
        <v>2020022808</v>
      </c>
      <c r="B819" s="2" t="s">
        <v>523</v>
      </c>
      <c r="C819" s="2">
        <v>28</v>
      </c>
      <c r="D819" s="2">
        <v>8</v>
      </c>
      <c r="E819" s="3">
        <v>56.1</v>
      </c>
    </row>
    <row r="820" ht="14.25" spans="1:5">
      <c r="A820" s="2" t="str">
        <f>"2020022809"</f>
        <v>2020022809</v>
      </c>
      <c r="B820" s="2" t="s">
        <v>523</v>
      </c>
      <c r="C820" s="2">
        <v>28</v>
      </c>
      <c r="D820" s="2">
        <v>9</v>
      </c>
      <c r="E820" s="3">
        <v>62.7</v>
      </c>
    </row>
    <row r="821" ht="14.25" spans="1:5">
      <c r="A821" s="2" t="str">
        <f>"2020022810"</f>
        <v>2020022810</v>
      </c>
      <c r="B821" s="2" t="s">
        <v>523</v>
      </c>
      <c r="C821" s="2">
        <v>28</v>
      </c>
      <c r="D821" s="2">
        <v>10</v>
      </c>
      <c r="E821" s="3" t="s">
        <v>16</v>
      </c>
    </row>
    <row r="822" ht="14.25" spans="1:5">
      <c r="A822" s="2" t="str">
        <f>"2020022811"</f>
        <v>2020022811</v>
      </c>
      <c r="B822" s="2" t="s">
        <v>523</v>
      </c>
      <c r="C822" s="2">
        <v>28</v>
      </c>
      <c r="D822" s="2">
        <v>11</v>
      </c>
      <c r="E822" s="3" t="s">
        <v>16</v>
      </c>
    </row>
    <row r="823" ht="14.25" spans="1:5">
      <c r="A823" s="2" t="str">
        <f>"2020022812"</f>
        <v>2020022812</v>
      </c>
      <c r="B823" s="2" t="s">
        <v>523</v>
      </c>
      <c r="C823" s="2">
        <v>28</v>
      </c>
      <c r="D823" s="2">
        <v>12</v>
      </c>
      <c r="E823" s="3" t="s">
        <v>16</v>
      </c>
    </row>
    <row r="824" ht="14.25" spans="1:5">
      <c r="A824" s="2" t="str">
        <f>"2020022813"</f>
        <v>2020022813</v>
      </c>
      <c r="B824" s="2" t="s">
        <v>523</v>
      </c>
      <c r="C824" s="2">
        <v>28</v>
      </c>
      <c r="D824" s="2">
        <v>13</v>
      </c>
      <c r="E824" s="3" t="s">
        <v>16</v>
      </c>
    </row>
    <row r="825" ht="14.25" spans="1:5">
      <c r="A825" s="2" t="str">
        <f>"2020022814"</f>
        <v>2020022814</v>
      </c>
      <c r="B825" s="2" t="s">
        <v>523</v>
      </c>
      <c r="C825" s="2">
        <v>28</v>
      </c>
      <c r="D825" s="2">
        <v>14</v>
      </c>
      <c r="E825" s="3">
        <v>59.7</v>
      </c>
    </row>
    <row r="826" ht="14.25" spans="1:5">
      <c r="A826" s="2" t="str">
        <f>"2020022815"</f>
        <v>2020022815</v>
      </c>
      <c r="B826" s="2" t="s">
        <v>523</v>
      </c>
      <c r="C826" s="2">
        <v>28</v>
      </c>
      <c r="D826" s="2">
        <v>15</v>
      </c>
      <c r="E826" s="3">
        <v>60.8</v>
      </c>
    </row>
    <row r="827" ht="14.25" spans="1:5">
      <c r="A827" s="2" t="str">
        <f>"2020022816"</f>
        <v>2020022816</v>
      </c>
      <c r="B827" s="2" t="s">
        <v>523</v>
      </c>
      <c r="C827" s="2">
        <v>28</v>
      </c>
      <c r="D827" s="2">
        <v>16</v>
      </c>
      <c r="E827" s="3">
        <v>62</v>
      </c>
    </row>
    <row r="828" ht="14.25" spans="1:5">
      <c r="A828" s="2" t="str">
        <f>"2020022817"</f>
        <v>2020022817</v>
      </c>
      <c r="B828" s="2" t="s">
        <v>523</v>
      </c>
      <c r="C828" s="2">
        <v>28</v>
      </c>
      <c r="D828" s="2">
        <v>17</v>
      </c>
      <c r="E828" s="3" t="s">
        <v>16</v>
      </c>
    </row>
    <row r="829" ht="14.25" spans="1:5">
      <c r="A829" s="2" t="str">
        <f>"2020022818"</f>
        <v>2020022818</v>
      </c>
      <c r="B829" s="2" t="s">
        <v>523</v>
      </c>
      <c r="C829" s="2">
        <v>28</v>
      </c>
      <c r="D829" s="2">
        <v>18</v>
      </c>
      <c r="E829" s="3">
        <v>64.4</v>
      </c>
    </row>
    <row r="830" ht="14.25" spans="1:5">
      <c r="A830" s="2" t="str">
        <f>"2020022819"</f>
        <v>2020022819</v>
      </c>
      <c r="B830" s="2" t="s">
        <v>523</v>
      </c>
      <c r="C830" s="2">
        <v>28</v>
      </c>
      <c r="D830" s="2">
        <v>19</v>
      </c>
      <c r="E830" s="3" t="s">
        <v>16</v>
      </c>
    </row>
    <row r="831" ht="14.25" spans="1:5">
      <c r="A831" s="2" t="str">
        <f>"2020022820"</f>
        <v>2020022820</v>
      </c>
      <c r="B831" s="2" t="s">
        <v>523</v>
      </c>
      <c r="C831" s="2">
        <v>28</v>
      </c>
      <c r="D831" s="2">
        <v>20</v>
      </c>
      <c r="E831" s="3">
        <v>65.9</v>
      </c>
    </row>
    <row r="832" ht="14.25" spans="1:5">
      <c r="A832" s="2" t="str">
        <f>"2020022821"</f>
        <v>2020022821</v>
      </c>
      <c r="B832" s="2" t="s">
        <v>523</v>
      </c>
      <c r="C832" s="2">
        <v>28</v>
      </c>
      <c r="D832" s="2">
        <v>21</v>
      </c>
      <c r="E832" s="3">
        <v>58.8</v>
      </c>
    </row>
    <row r="833" ht="14.25" spans="1:5">
      <c r="A833" s="2" t="str">
        <f>"2020022822"</f>
        <v>2020022822</v>
      </c>
      <c r="B833" s="2" t="s">
        <v>523</v>
      </c>
      <c r="C833" s="2">
        <v>28</v>
      </c>
      <c r="D833" s="2">
        <v>22</v>
      </c>
      <c r="E833" s="3">
        <v>58.7</v>
      </c>
    </row>
    <row r="834" ht="14.25" spans="1:5">
      <c r="A834" s="2" t="str">
        <f>"2020022823"</f>
        <v>2020022823</v>
      </c>
      <c r="B834" s="2" t="s">
        <v>523</v>
      </c>
      <c r="C834" s="2">
        <v>28</v>
      </c>
      <c r="D834" s="2">
        <v>23</v>
      </c>
      <c r="E834" s="3" t="s">
        <v>16</v>
      </c>
    </row>
    <row r="835" ht="14.25" spans="1:5">
      <c r="A835" s="2" t="str">
        <f>"2020022824"</f>
        <v>2020022824</v>
      </c>
      <c r="B835" s="2" t="s">
        <v>523</v>
      </c>
      <c r="C835" s="2">
        <v>28</v>
      </c>
      <c r="D835" s="2">
        <v>24</v>
      </c>
      <c r="E835" s="3" t="s">
        <v>16</v>
      </c>
    </row>
    <row r="836" ht="14.25" spans="1:5">
      <c r="A836" s="2" t="str">
        <f>"2020022825"</f>
        <v>2020022825</v>
      </c>
      <c r="B836" s="2" t="s">
        <v>523</v>
      </c>
      <c r="C836" s="2">
        <v>28</v>
      </c>
      <c r="D836" s="2">
        <v>25</v>
      </c>
      <c r="E836" s="3">
        <v>78.1</v>
      </c>
    </row>
    <row r="837" ht="14.25" spans="1:5">
      <c r="A837" s="2" t="str">
        <f>"2020022826"</f>
        <v>2020022826</v>
      </c>
      <c r="B837" s="2" t="s">
        <v>523</v>
      </c>
      <c r="C837" s="2">
        <v>28</v>
      </c>
      <c r="D837" s="2">
        <v>26</v>
      </c>
      <c r="E837" s="3" t="s">
        <v>16</v>
      </c>
    </row>
    <row r="838" ht="14.25" spans="1:5">
      <c r="A838" s="2" t="str">
        <f>"2020022827"</f>
        <v>2020022827</v>
      </c>
      <c r="B838" s="2" t="s">
        <v>523</v>
      </c>
      <c r="C838" s="2">
        <v>28</v>
      </c>
      <c r="D838" s="2">
        <v>27</v>
      </c>
      <c r="E838" s="3">
        <v>73.1</v>
      </c>
    </row>
    <row r="839" ht="14.25" spans="1:5">
      <c r="A839" s="2" t="str">
        <f>"2020022828"</f>
        <v>2020022828</v>
      </c>
      <c r="B839" s="2" t="s">
        <v>523</v>
      </c>
      <c r="C839" s="2">
        <v>28</v>
      </c>
      <c r="D839" s="2">
        <v>28</v>
      </c>
      <c r="E839" s="3" t="s">
        <v>16</v>
      </c>
    </row>
    <row r="840" ht="14.25" spans="1:5">
      <c r="A840" s="2" t="str">
        <f>"2020022829"</f>
        <v>2020022829</v>
      </c>
      <c r="B840" s="2" t="s">
        <v>523</v>
      </c>
      <c r="C840" s="2">
        <v>28</v>
      </c>
      <c r="D840" s="2">
        <v>29</v>
      </c>
      <c r="E840" s="3" t="s">
        <v>16</v>
      </c>
    </row>
    <row r="841" ht="14.25" spans="1:5">
      <c r="A841" s="2" t="str">
        <f>"2020022830"</f>
        <v>2020022830</v>
      </c>
      <c r="B841" s="2" t="s">
        <v>523</v>
      </c>
      <c r="C841" s="2">
        <v>28</v>
      </c>
      <c r="D841" s="2">
        <v>30</v>
      </c>
      <c r="E841" s="3">
        <v>71.1</v>
      </c>
    </row>
    <row r="842" ht="14.25" spans="1:5">
      <c r="A842" s="2" t="str">
        <f>"2020022901"</f>
        <v>2020022901</v>
      </c>
      <c r="B842" s="2" t="s">
        <v>523</v>
      </c>
      <c r="C842" s="2">
        <v>29</v>
      </c>
      <c r="D842" s="2">
        <v>1</v>
      </c>
      <c r="E842" s="3" t="s">
        <v>16</v>
      </c>
    </row>
    <row r="843" ht="14.25" spans="1:5">
      <c r="A843" s="2" t="str">
        <f>"2020022902"</f>
        <v>2020022902</v>
      </c>
      <c r="B843" s="2" t="s">
        <v>523</v>
      </c>
      <c r="C843" s="2">
        <v>29</v>
      </c>
      <c r="D843" s="2">
        <v>2</v>
      </c>
      <c r="E843" s="3">
        <v>64</v>
      </c>
    </row>
    <row r="844" ht="14.25" spans="1:5">
      <c r="A844" s="2" t="str">
        <f>"2020022903"</f>
        <v>2020022903</v>
      </c>
      <c r="B844" s="2" t="s">
        <v>523</v>
      </c>
      <c r="C844" s="2">
        <v>29</v>
      </c>
      <c r="D844" s="2">
        <v>3</v>
      </c>
      <c r="E844" s="3">
        <v>52.9</v>
      </c>
    </row>
    <row r="845" ht="14.25" spans="1:5">
      <c r="A845" s="2" t="str">
        <f>"2020022904"</f>
        <v>2020022904</v>
      </c>
      <c r="B845" s="2" t="s">
        <v>523</v>
      </c>
      <c r="C845" s="2">
        <v>29</v>
      </c>
      <c r="D845" s="2">
        <v>4</v>
      </c>
      <c r="E845" s="3" t="s">
        <v>16</v>
      </c>
    </row>
    <row r="846" ht="14.25" spans="1:5">
      <c r="A846" s="2" t="str">
        <f>"2020022905"</f>
        <v>2020022905</v>
      </c>
      <c r="B846" s="2" t="s">
        <v>523</v>
      </c>
      <c r="C846" s="2">
        <v>29</v>
      </c>
      <c r="D846" s="2">
        <v>5</v>
      </c>
      <c r="E846" s="3">
        <v>57.1</v>
      </c>
    </row>
    <row r="847" ht="14.25" spans="1:5">
      <c r="A847" s="2" t="str">
        <f>"2020022906"</f>
        <v>2020022906</v>
      </c>
      <c r="B847" s="2" t="s">
        <v>523</v>
      </c>
      <c r="C847" s="2">
        <v>29</v>
      </c>
      <c r="D847" s="2">
        <v>6</v>
      </c>
      <c r="E847" s="3">
        <v>75.8</v>
      </c>
    </row>
    <row r="848" ht="14.25" spans="1:5">
      <c r="A848" s="2" t="str">
        <f>"2020022907"</f>
        <v>2020022907</v>
      </c>
      <c r="B848" s="2" t="s">
        <v>523</v>
      </c>
      <c r="C848" s="2">
        <v>29</v>
      </c>
      <c r="D848" s="2">
        <v>7</v>
      </c>
      <c r="E848" s="3" t="s">
        <v>16</v>
      </c>
    </row>
    <row r="849" ht="14.25" spans="1:5">
      <c r="A849" s="2" t="str">
        <f>"2020022908"</f>
        <v>2020022908</v>
      </c>
      <c r="B849" s="2" t="s">
        <v>523</v>
      </c>
      <c r="C849" s="2">
        <v>29</v>
      </c>
      <c r="D849" s="2">
        <v>8</v>
      </c>
      <c r="E849" s="3">
        <v>53.2</v>
      </c>
    </row>
    <row r="850" ht="14.25" spans="1:5">
      <c r="A850" s="2" t="str">
        <f>"2020022909"</f>
        <v>2020022909</v>
      </c>
      <c r="B850" s="2" t="s">
        <v>523</v>
      </c>
      <c r="C850" s="2">
        <v>29</v>
      </c>
      <c r="D850" s="2">
        <v>9</v>
      </c>
      <c r="E850" s="3">
        <v>55.1</v>
      </c>
    </row>
    <row r="851" ht="14.25" spans="1:5">
      <c r="A851" s="2" t="str">
        <f>"2020022910"</f>
        <v>2020022910</v>
      </c>
      <c r="B851" s="2" t="s">
        <v>523</v>
      </c>
      <c r="C851" s="2">
        <v>29</v>
      </c>
      <c r="D851" s="2">
        <v>10</v>
      </c>
      <c r="E851" s="3" t="s">
        <v>16</v>
      </c>
    </row>
    <row r="852" ht="14.25" spans="1:5">
      <c r="A852" s="2" t="str">
        <f>"2020022911"</f>
        <v>2020022911</v>
      </c>
      <c r="B852" s="2" t="s">
        <v>523</v>
      </c>
      <c r="C852" s="2">
        <v>29</v>
      </c>
      <c r="D852" s="2">
        <v>11</v>
      </c>
      <c r="E852" s="3">
        <v>53.2</v>
      </c>
    </row>
    <row r="853" ht="14.25" spans="1:5">
      <c r="A853" s="2" t="str">
        <f>"2020022912"</f>
        <v>2020022912</v>
      </c>
      <c r="B853" s="2" t="s">
        <v>523</v>
      </c>
      <c r="C853" s="2">
        <v>29</v>
      </c>
      <c r="D853" s="2">
        <v>12</v>
      </c>
      <c r="E853" s="3" t="s">
        <v>16</v>
      </c>
    </row>
    <row r="854" ht="14.25" spans="1:5">
      <c r="A854" s="2" t="str">
        <f>"2020022913"</f>
        <v>2020022913</v>
      </c>
      <c r="B854" s="2" t="s">
        <v>523</v>
      </c>
      <c r="C854" s="2">
        <v>29</v>
      </c>
      <c r="D854" s="2">
        <v>13</v>
      </c>
      <c r="E854" s="3" t="s">
        <v>16</v>
      </c>
    </row>
    <row r="855" ht="14.25" spans="1:5">
      <c r="A855" s="2" t="str">
        <f>"2020022914"</f>
        <v>2020022914</v>
      </c>
      <c r="B855" s="2" t="s">
        <v>523</v>
      </c>
      <c r="C855" s="2">
        <v>29</v>
      </c>
      <c r="D855" s="2">
        <v>14</v>
      </c>
      <c r="E855" s="3" t="s">
        <v>16</v>
      </c>
    </row>
    <row r="856" ht="14.25" spans="1:5">
      <c r="A856" s="2" t="str">
        <f>"2020022915"</f>
        <v>2020022915</v>
      </c>
      <c r="B856" s="2" t="s">
        <v>523</v>
      </c>
      <c r="C856" s="2">
        <v>29</v>
      </c>
      <c r="D856" s="2">
        <v>15</v>
      </c>
      <c r="E856" s="3">
        <v>66</v>
      </c>
    </row>
    <row r="857" ht="14.25" spans="1:5">
      <c r="A857" s="2" t="str">
        <f>"2020022916"</f>
        <v>2020022916</v>
      </c>
      <c r="B857" s="2" t="s">
        <v>523</v>
      </c>
      <c r="C857" s="2">
        <v>29</v>
      </c>
      <c r="D857" s="2">
        <v>16</v>
      </c>
      <c r="E857" s="3" t="s">
        <v>16</v>
      </c>
    </row>
    <row r="858" ht="14.25" spans="1:5">
      <c r="A858" s="2" t="str">
        <f>"2020022917"</f>
        <v>2020022917</v>
      </c>
      <c r="B858" s="2" t="s">
        <v>523</v>
      </c>
      <c r="C858" s="2">
        <v>29</v>
      </c>
      <c r="D858" s="2">
        <v>17</v>
      </c>
      <c r="E858" s="3" t="s">
        <v>16</v>
      </c>
    </row>
    <row r="859" ht="14.25" spans="1:5">
      <c r="A859" s="2" t="str">
        <f>"2020022918"</f>
        <v>2020022918</v>
      </c>
      <c r="B859" s="2" t="s">
        <v>523</v>
      </c>
      <c r="C859" s="2">
        <v>29</v>
      </c>
      <c r="D859" s="2">
        <v>18</v>
      </c>
      <c r="E859" s="3">
        <v>53.1</v>
      </c>
    </row>
    <row r="860" ht="14.25" spans="1:5">
      <c r="A860" s="2" t="str">
        <f>"2020022919"</f>
        <v>2020022919</v>
      </c>
      <c r="B860" s="2" t="s">
        <v>523</v>
      </c>
      <c r="C860" s="2">
        <v>29</v>
      </c>
      <c r="D860" s="2">
        <v>19</v>
      </c>
      <c r="E860" s="3">
        <v>44</v>
      </c>
    </row>
    <row r="861" ht="14.25" spans="1:5">
      <c r="A861" s="2" t="str">
        <f>"2020022920"</f>
        <v>2020022920</v>
      </c>
      <c r="B861" s="2" t="s">
        <v>523</v>
      </c>
      <c r="C861" s="2">
        <v>29</v>
      </c>
      <c r="D861" s="2">
        <v>20</v>
      </c>
      <c r="E861" s="3" t="s">
        <v>16</v>
      </c>
    </row>
    <row r="862" ht="14.25" spans="1:5">
      <c r="A862" s="2" t="str">
        <f>"2020022921"</f>
        <v>2020022921</v>
      </c>
      <c r="B862" s="2" t="s">
        <v>523</v>
      </c>
      <c r="C862" s="2">
        <v>29</v>
      </c>
      <c r="D862" s="2">
        <v>21</v>
      </c>
      <c r="E862" s="3">
        <v>56.4</v>
      </c>
    </row>
    <row r="863" ht="14.25" spans="1:5">
      <c r="A863" s="2" t="str">
        <f>"2020022922"</f>
        <v>2020022922</v>
      </c>
      <c r="B863" s="2" t="s">
        <v>523</v>
      </c>
      <c r="C863" s="2">
        <v>29</v>
      </c>
      <c r="D863" s="2">
        <v>22</v>
      </c>
      <c r="E863" s="3" t="s">
        <v>16</v>
      </c>
    </row>
    <row r="864" ht="14.25" spans="1:5">
      <c r="A864" s="2" t="str">
        <f>"2020022923"</f>
        <v>2020022923</v>
      </c>
      <c r="B864" s="2" t="s">
        <v>523</v>
      </c>
      <c r="C864" s="2">
        <v>29</v>
      </c>
      <c r="D864" s="2">
        <v>23</v>
      </c>
      <c r="E864" s="3">
        <v>56.1</v>
      </c>
    </row>
    <row r="865" ht="14.25" spans="1:5">
      <c r="A865" s="2" t="str">
        <f>"2020022924"</f>
        <v>2020022924</v>
      </c>
      <c r="B865" s="2" t="s">
        <v>523</v>
      </c>
      <c r="C865" s="2">
        <v>29</v>
      </c>
      <c r="D865" s="2">
        <v>24</v>
      </c>
      <c r="E865" s="3">
        <v>71.2</v>
      </c>
    </row>
    <row r="866" ht="14.25" spans="1:5">
      <c r="A866" s="2" t="str">
        <f>"2020022925"</f>
        <v>2020022925</v>
      </c>
      <c r="B866" s="2" t="s">
        <v>523</v>
      </c>
      <c r="C866" s="2">
        <v>29</v>
      </c>
      <c r="D866" s="2">
        <v>25</v>
      </c>
      <c r="E866" s="3">
        <v>75.4</v>
      </c>
    </row>
    <row r="867" ht="14.25" spans="1:5">
      <c r="A867" s="2" t="str">
        <f>"2020022926"</f>
        <v>2020022926</v>
      </c>
      <c r="B867" s="2" t="s">
        <v>523</v>
      </c>
      <c r="C867" s="2">
        <v>29</v>
      </c>
      <c r="D867" s="2">
        <v>26</v>
      </c>
      <c r="E867" s="3">
        <v>66.7</v>
      </c>
    </row>
    <row r="868" ht="14.25" spans="1:5">
      <c r="A868" s="2" t="str">
        <f>"2020022927"</f>
        <v>2020022927</v>
      </c>
      <c r="B868" s="2" t="s">
        <v>523</v>
      </c>
      <c r="C868" s="2">
        <v>29</v>
      </c>
      <c r="D868" s="2">
        <v>27</v>
      </c>
      <c r="E868" s="3" t="s">
        <v>16</v>
      </c>
    </row>
    <row r="869" ht="14.25" spans="1:5">
      <c r="A869" s="2" t="str">
        <f>"2020022928"</f>
        <v>2020022928</v>
      </c>
      <c r="B869" s="2" t="s">
        <v>523</v>
      </c>
      <c r="C869" s="2">
        <v>29</v>
      </c>
      <c r="D869" s="2">
        <v>28</v>
      </c>
      <c r="E869" s="3">
        <v>56.1</v>
      </c>
    </row>
    <row r="870" ht="14.25" spans="1:5">
      <c r="A870" s="2" t="str">
        <f>"2020022929"</f>
        <v>2020022929</v>
      </c>
      <c r="B870" s="2" t="s">
        <v>523</v>
      </c>
      <c r="C870" s="2">
        <v>29</v>
      </c>
      <c r="D870" s="2">
        <v>29</v>
      </c>
      <c r="E870" s="3" t="s">
        <v>16</v>
      </c>
    </row>
    <row r="871" ht="14.25" spans="1:5">
      <c r="A871" s="2" t="str">
        <f>"2020022930"</f>
        <v>2020022930</v>
      </c>
      <c r="B871" s="2" t="s">
        <v>523</v>
      </c>
      <c r="C871" s="2">
        <v>29</v>
      </c>
      <c r="D871" s="2">
        <v>30</v>
      </c>
      <c r="E871" s="3">
        <v>74.8</v>
      </c>
    </row>
    <row r="872" ht="14.25" spans="1:5">
      <c r="A872" s="2" t="str">
        <f>"2020023001"</f>
        <v>2020023001</v>
      </c>
      <c r="B872" s="2" t="s">
        <v>523</v>
      </c>
      <c r="C872" s="2">
        <v>30</v>
      </c>
      <c r="D872" s="2">
        <v>1</v>
      </c>
      <c r="E872" s="3">
        <v>68.8</v>
      </c>
    </row>
    <row r="873" ht="14.25" spans="1:5">
      <c r="A873" s="2" t="str">
        <f>"2020023002"</f>
        <v>2020023002</v>
      </c>
      <c r="B873" s="2" t="s">
        <v>523</v>
      </c>
      <c r="C873" s="2">
        <v>30</v>
      </c>
      <c r="D873" s="2">
        <v>2</v>
      </c>
      <c r="E873" s="3">
        <v>75.1</v>
      </c>
    </row>
    <row r="874" ht="14.25" spans="1:5">
      <c r="A874" s="2" t="str">
        <f>"2020023003"</f>
        <v>2020023003</v>
      </c>
      <c r="B874" s="2" t="s">
        <v>523</v>
      </c>
      <c r="C874" s="2">
        <v>30</v>
      </c>
      <c r="D874" s="2">
        <v>3</v>
      </c>
      <c r="E874" s="3" t="s">
        <v>16</v>
      </c>
    </row>
    <row r="875" ht="14.25" spans="1:5">
      <c r="A875" s="2" t="str">
        <f>"2020023004"</f>
        <v>2020023004</v>
      </c>
      <c r="B875" s="2" t="s">
        <v>523</v>
      </c>
      <c r="C875" s="2">
        <v>30</v>
      </c>
      <c r="D875" s="2">
        <v>4</v>
      </c>
      <c r="E875" s="3">
        <v>63.2</v>
      </c>
    </row>
    <row r="876" ht="14.25" spans="1:5">
      <c r="A876" s="2" t="str">
        <f>"2020023005"</f>
        <v>2020023005</v>
      </c>
      <c r="B876" s="2" t="s">
        <v>523</v>
      </c>
      <c r="C876" s="2">
        <v>30</v>
      </c>
      <c r="D876" s="2">
        <v>5</v>
      </c>
      <c r="E876" s="3">
        <v>67.9</v>
      </c>
    </row>
    <row r="877" ht="14.25" spans="1:5">
      <c r="A877" s="2" t="str">
        <f>"2020023006"</f>
        <v>2020023006</v>
      </c>
      <c r="B877" s="2" t="s">
        <v>523</v>
      </c>
      <c r="C877" s="2">
        <v>30</v>
      </c>
      <c r="D877" s="2">
        <v>6</v>
      </c>
      <c r="E877" s="3">
        <v>64</v>
      </c>
    </row>
    <row r="878" ht="14.25" spans="1:5">
      <c r="A878" s="2" t="str">
        <f>"2020023007"</f>
        <v>2020023007</v>
      </c>
      <c r="B878" s="2" t="s">
        <v>523</v>
      </c>
      <c r="C878" s="2">
        <v>30</v>
      </c>
      <c r="D878" s="2">
        <v>7</v>
      </c>
      <c r="E878" s="3" t="s">
        <v>16</v>
      </c>
    </row>
    <row r="879" ht="14.25" spans="1:5">
      <c r="A879" s="2" t="str">
        <f>"2020023008"</f>
        <v>2020023008</v>
      </c>
      <c r="B879" s="2" t="s">
        <v>523</v>
      </c>
      <c r="C879" s="2">
        <v>30</v>
      </c>
      <c r="D879" s="2">
        <v>8</v>
      </c>
      <c r="E879" s="3" t="s">
        <v>16</v>
      </c>
    </row>
    <row r="880" ht="14.25" spans="1:5">
      <c r="A880" s="2" t="str">
        <f>"2020023009"</f>
        <v>2020023009</v>
      </c>
      <c r="B880" s="2" t="s">
        <v>523</v>
      </c>
      <c r="C880" s="2">
        <v>30</v>
      </c>
      <c r="D880" s="2">
        <v>9</v>
      </c>
      <c r="E880" s="3" t="s">
        <v>16</v>
      </c>
    </row>
    <row r="881" ht="14.25" spans="1:5">
      <c r="A881" s="2" t="str">
        <f>"2020023010"</f>
        <v>2020023010</v>
      </c>
      <c r="B881" s="2" t="s">
        <v>523</v>
      </c>
      <c r="C881" s="2">
        <v>30</v>
      </c>
      <c r="D881" s="2">
        <v>10</v>
      </c>
      <c r="E881" s="3">
        <v>63.4</v>
      </c>
    </row>
    <row r="882" ht="14.25" spans="1:5">
      <c r="A882" s="2" t="str">
        <f>"2020023011"</f>
        <v>2020023011</v>
      </c>
      <c r="B882" s="2" t="s">
        <v>523</v>
      </c>
      <c r="C882" s="2">
        <v>30</v>
      </c>
      <c r="D882" s="2">
        <v>11</v>
      </c>
      <c r="E882" s="3">
        <v>75.7</v>
      </c>
    </row>
    <row r="883" ht="14.25" spans="1:5">
      <c r="A883" s="2" t="str">
        <f>"2020023012"</f>
        <v>2020023012</v>
      </c>
      <c r="B883" s="2" t="s">
        <v>523</v>
      </c>
      <c r="C883" s="2">
        <v>30</v>
      </c>
      <c r="D883" s="2">
        <v>12</v>
      </c>
      <c r="E883" s="3" t="s">
        <v>16</v>
      </c>
    </row>
    <row r="884" ht="14.25" spans="1:5">
      <c r="A884" s="2" t="str">
        <f>"2020023013"</f>
        <v>2020023013</v>
      </c>
      <c r="B884" s="2" t="s">
        <v>523</v>
      </c>
      <c r="C884" s="2">
        <v>30</v>
      </c>
      <c r="D884" s="2">
        <v>13</v>
      </c>
      <c r="E884" s="3" t="s">
        <v>16</v>
      </c>
    </row>
    <row r="885" ht="14.25" spans="1:5">
      <c r="A885" s="2" t="str">
        <f>"2020023014"</f>
        <v>2020023014</v>
      </c>
      <c r="B885" s="2" t="s">
        <v>523</v>
      </c>
      <c r="C885" s="2">
        <v>30</v>
      </c>
      <c r="D885" s="2">
        <v>14</v>
      </c>
      <c r="E885" s="3">
        <v>57.1</v>
      </c>
    </row>
    <row r="886" ht="14.25" spans="1:5">
      <c r="A886" s="2" t="str">
        <f>"2020023015"</f>
        <v>2020023015</v>
      </c>
      <c r="B886" s="2" t="s">
        <v>523</v>
      </c>
      <c r="C886" s="2">
        <v>30</v>
      </c>
      <c r="D886" s="2">
        <v>15</v>
      </c>
      <c r="E886" s="3">
        <v>60.3</v>
      </c>
    </row>
    <row r="887" ht="14.25" spans="1:5">
      <c r="A887" s="2" t="str">
        <f>"2020023016"</f>
        <v>2020023016</v>
      </c>
      <c r="B887" s="2" t="s">
        <v>523</v>
      </c>
      <c r="C887" s="2">
        <v>30</v>
      </c>
      <c r="D887" s="2">
        <v>16</v>
      </c>
      <c r="E887" s="3">
        <v>60</v>
      </c>
    </row>
    <row r="888" ht="14.25" spans="1:5">
      <c r="A888" s="2" t="str">
        <f>"2020023017"</f>
        <v>2020023017</v>
      </c>
      <c r="B888" s="2" t="s">
        <v>523</v>
      </c>
      <c r="C888" s="2">
        <v>30</v>
      </c>
      <c r="D888" s="2">
        <v>17</v>
      </c>
      <c r="E888" s="3" t="s">
        <v>16</v>
      </c>
    </row>
    <row r="889" ht="14.25" spans="1:5">
      <c r="A889" s="2" t="str">
        <f>"2020023018"</f>
        <v>2020023018</v>
      </c>
      <c r="B889" s="2" t="s">
        <v>523</v>
      </c>
      <c r="C889" s="2">
        <v>30</v>
      </c>
      <c r="D889" s="2">
        <v>18</v>
      </c>
      <c r="E889" s="3" t="s">
        <v>16</v>
      </c>
    </row>
    <row r="890" ht="14.25" spans="1:5">
      <c r="A890" s="2" t="str">
        <f>"2020023019"</f>
        <v>2020023019</v>
      </c>
      <c r="B890" s="2" t="s">
        <v>523</v>
      </c>
      <c r="C890" s="2">
        <v>30</v>
      </c>
      <c r="D890" s="2">
        <v>19</v>
      </c>
      <c r="E890" s="3">
        <v>69.2</v>
      </c>
    </row>
    <row r="891" ht="14.25" spans="1:5">
      <c r="A891" s="2" t="str">
        <f>"2020023020"</f>
        <v>2020023020</v>
      </c>
      <c r="B891" s="2" t="s">
        <v>523</v>
      </c>
      <c r="C891" s="2">
        <v>30</v>
      </c>
      <c r="D891" s="2">
        <v>20</v>
      </c>
      <c r="E891" s="3">
        <v>75.1</v>
      </c>
    </row>
    <row r="892" ht="14.25" spans="1:5">
      <c r="A892" s="2" t="str">
        <f>"2020023021"</f>
        <v>2020023021</v>
      </c>
      <c r="B892" s="2" t="s">
        <v>523</v>
      </c>
      <c r="C892" s="2">
        <v>30</v>
      </c>
      <c r="D892" s="2">
        <v>21</v>
      </c>
      <c r="E892" s="3" t="s">
        <v>16</v>
      </c>
    </row>
    <row r="893" ht="14.25" spans="1:5">
      <c r="A893" s="2" t="str">
        <f>"2020023022"</f>
        <v>2020023022</v>
      </c>
      <c r="B893" s="2" t="s">
        <v>523</v>
      </c>
      <c r="C893" s="2">
        <v>30</v>
      </c>
      <c r="D893" s="2">
        <v>22</v>
      </c>
      <c r="E893" s="3">
        <v>79.7</v>
      </c>
    </row>
    <row r="894" ht="14.25" spans="1:5">
      <c r="A894" s="2" t="str">
        <f>"2020023023"</f>
        <v>2020023023</v>
      </c>
      <c r="B894" s="2" t="s">
        <v>523</v>
      </c>
      <c r="C894" s="2">
        <v>30</v>
      </c>
      <c r="D894" s="2">
        <v>23</v>
      </c>
      <c r="E894" s="3" t="s">
        <v>16</v>
      </c>
    </row>
    <row r="895" ht="14.25" spans="1:5">
      <c r="A895" s="2" t="str">
        <f>"2020023024"</f>
        <v>2020023024</v>
      </c>
      <c r="B895" s="2" t="s">
        <v>523</v>
      </c>
      <c r="C895" s="2">
        <v>30</v>
      </c>
      <c r="D895" s="2">
        <v>24</v>
      </c>
      <c r="E895" s="3" t="s">
        <v>16</v>
      </c>
    </row>
    <row r="896" ht="14.25" spans="1:5">
      <c r="A896" s="2" t="str">
        <f>"2020023025"</f>
        <v>2020023025</v>
      </c>
      <c r="B896" s="2" t="s">
        <v>523</v>
      </c>
      <c r="C896" s="2">
        <v>30</v>
      </c>
      <c r="D896" s="2">
        <v>25</v>
      </c>
      <c r="E896" s="3" t="s">
        <v>16</v>
      </c>
    </row>
    <row r="897" ht="14.25" spans="1:5">
      <c r="A897" s="2" t="str">
        <f>"2020023026"</f>
        <v>2020023026</v>
      </c>
      <c r="B897" s="2" t="s">
        <v>523</v>
      </c>
      <c r="C897" s="2">
        <v>30</v>
      </c>
      <c r="D897" s="2">
        <v>26</v>
      </c>
      <c r="E897" s="3">
        <v>53.1</v>
      </c>
    </row>
    <row r="898" ht="14.25" spans="1:5">
      <c r="A898" s="2" t="str">
        <f>"2020023027"</f>
        <v>2020023027</v>
      </c>
      <c r="B898" s="2" t="s">
        <v>523</v>
      </c>
      <c r="C898" s="2">
        <v>30</v>
      </c>
      <c r="D898" s="2">
        <v>27</v>
      </c>
      <c r="E898" s="3">
        <v>75.4</v>
      </c>
    </row>
    <row r="899" ht="14.25" spans="1:5">
      <c r="A899" s="2" t="str">
        <f>"2020023028"</f>
        <v>2020023028</v>
      </c>
      <c r="B899" s="2" t="s">
        <v>523</v>
      </c>
      <c r="C899" s="2">
        <v>30</v>
      </c>
      <c r="D899" s="2">
        <v>28</v>
      </c>
      <c r="E899" s="3">
        <v>73.8</v>
      </c>
    </row>
    <row r="900" ht="14.25" spans="1:5">
      <c r="A900" s="2" t="str">
        <f>"2020023029"</f>
        <v>2020023029</v>
      </c>
      <c r="B900" s="2" t="s">
        <v>523</v>
      </c>
      <c r="C900" s="2">
        <v>30</v>
      </c>
      <c r="D900" s="2">
        <v>29</v>
      </c>
      <c r="E900" s="3" t="s">
        <v>16</v>
      </c>
    </row>
    <row r="901" ht="14.25" spans="1:5">
      <c r="A901" s="2" t="str">
        <f>"2020023030"</f>
        <v>2020023030</v>
      </c>
      <c r="B901" s="2" t="s">
        <v>523</v>
      </c>
      <c r="C901" s="2">
        <v>30</v>
      </c>
      <c r="D901" s="2">
        <v>30</v>
      </c>
      <c r="E901" s="3">
        <v>67.3</v>
      </c>
    </row>
    <row r="902" ht="14.25" spans="1:5">
      <c r="A902" s="2" t="str">
        <f>"2020023101"</f>
        <v>2020023101</v>
      </c>
      <c r="B902" s="2" t="s">
        <v>523</v>
      </c>
      <c r="C902" s="2">
        <v>31</v>
      </c>
      <c r="D902" s="2">
        <v>1</v>
      </c>
      <c r="E902" s="3">
        <v>60.1</v>
      </c>
    </row>
    <row r="903" ht="14.25" spans="1:5">
      <c r="A903" s="2" t="str">
        <f>"2020023102"</f>
        <v>2020023102</v>
      </c>
      <c r="B903" s="2" t="s">
        <v>523</v>
      </c>
      <c r="C903" s="2">
        <v>31</v>
      </c>
      <c r="D903" s="2">
        <v>2</v>
      </c>
      <c r="E903" s="3">
        <v>57.1</v>
      </c>
    </row>
    <row r="904" ht="14.25" spans="1:5">
      <c r="A904" s="2" t="str">
        <f>"2020023103"</f>
        <v>2020023103</v>
      </c>
      <c r="B904" s="2" t="s">
        <v>523</v>
      </c>
      <c r="C904" s="2">
        <v>31</v>
      </c>
      <c r="D904" s="2">
        <v>3</v>
      </c>
      <c r="E904" s="3" t="s">
        <v>16</v>
      </c>
    </row>
    <row r="905" ht="14.25" spans="1:5">
      <c r="A905" s="2" t="str">
        <f>"2020023104"</f>
        <v>2020023104</v>
      </c>
      <c r="B905" s="2" t="s">
        <v>523</v>
      </c>
      <c r="C905" s="2">
        <v>31</v>
      </c>
      <c r="D905" s="2">
        <v>4</v>
      </c>
      <c r="E905" s="3">
        <v>71.8</v>
      </c>
    </row>
    <row r="906" ht="14.25" spans="1:5">
      <c r="A906" s="2" t="str">
        <f>"2020023105"</f>
        <v>2020023105</v>
      </c>
      <c r="B906" s="2" t="s">
        <v>523</v>
      </c>
      <c r="C906" s="2">
        <v>31</v>
      </c>
      <c r="D906" s="2">
        <v>5</v>
      </c>
      <c r="E906" s="3" t="s">
        <v>16</v>
      </c>
    </row>
    <row r="907" ht="14.25" spans="1:5">
      <c r="A907" s="2" t="str">
        <f>"2020023106"</f>
        <v>2020023106</v>
      </c>
      <c r="B907" s="2" t="s">
        <v>523</v>
      </c>
      <c r="C907" s="2">
        <v>31</v>
      </c>
      <c r="D907" s="2">
        <v>6</v>
      </c>
      <c r="E907" s="3" t="s">
        <v>16</v>
      </c>
    </row>
    <row r="908" ht="14.25" spans="1:5">
      <c r="A908" s="2" t="str">
        <f>"2020023107"</f>
        <v>2020023107</v>
      </c>
      <c r="B908" s="2" t="s">
        <v>523</v>
      </c>
      <c r="C908" s="2">
        <v>31</v>
      </c>
      <c r="D908" s="2">
        <v>7</v>
      </c>
      <c r="E908" s="3" t="s">
        <v>16</v>
      </c>
    </row>
    <row r="909" ht="14.25" spans="1:5">
      <c r="A909" s="2" t="str">
        <f>"2020023108"</f>
        <v>2020023108</v>
      </c>
      <c r="B909" s="2" t="s">
        <v>523</v>
      </c>
      <c r="C909" s="2">
        <v>31</v>
      </c>
      <c r="D909" s="2">
        <v>8</v>
      </c>
      <c r="E909" s="3">
        <v>67.3</v>
      </c>
    </row>
    <row r="910" ht="14.25" spans="1:5">
      <c r="A910" s="2" t="str">
        <f>"2020023109"</f>
        <v>2020023109</v>
      </c>
      <c r="B910" s="2" t="s">
        <v>523</v>
      </c>
      <c r="C910" s="2">
        <v>31</v>
      </c>
      <c r="D910" s="2">
        <v>9</v>
      </c>
      <c r="E910" s="3">
        <v>54.2</v>
      </c>
    </row>
    <row r="911" ht="14.25" spans="1:5">
      <c r="A911" s="2" t="str">
        <f>"2020023110"</f>
        <v>2020023110</v>
      </c>
      <c r="B911" s="2" t="s">
        <v>523</v>
      </c>
      <c r="C911" s="2">
        <v>31</v>
      </c>
      <c r="D911" s="2">
        <v>10</v>
      </c>
      <c r="E911" s="3">
        <v>52.2</v>
      </c>
    </row>
    <row r="912" ht="14.25" spans="1:5">
      <c r="A912" s="2" t="str">
        <f>"2020023111"</f>
        <v>2020023111</v>
      </c>
      <c r="B912" s="2" t="s">
        <v>523</v>
      </c>
      <c r="C912" s="2">
        <v>31</v>
      </c>
      <c r="D912" s="2">
        <v>11</v>
      </c>
      <c r="E912" s="3">
        <v>62</v>
      </c>
    </row>
    <row r="913" ht="14.25" spans="1:5">
      <c r="A913" s="2" t="str">
        <f>"2020023112"</f>
        <v>2020023112</v>
      </c>
      <c r="B913" s="2" t="s">
        <v>523</v>
      </c>
      <c r="C913" s="2">
        <v>31</v>
      </c>
      <c r="D913" s="2">
        <v>12</v>
      </c>
      <c r="E913" s="3" t="s">
        <v>16</v>
      </c>
    </row>
    <row r="914" ht="14.25" spans="1:5">
      <c r="A914" s="2" t="str">
        <f>"2020023113"</f>
        <v>2020023113</v>
      </c>
      <c r="B914" s="2" t="s">
        <v>523</v>
      </c>
      <c r="C914" s="2">
        <v>31</v>
      </c>
      <c r="D914" s="2">
        <v>13</v>
      </c>
      <c r="E914" s="3">
        <v>81.3</v>
      </c>
    </row>
    <row r="915" ht="14.25" spans="1:5">
      <c r="A915" s="2" t="str">
        <f>"2020023114"</f>
        <v>2020023114</v>
      </c>
      <c r="B915" s="2" t="s">
        <v>523</v>
      </c>
      <c r="C915" s="2">
        <v>31</v>
      </c>
      <c r="D915" s="2">
        <v>14</v>
      </c>
      <c r="E915" s="3">
        <v>45.3</v>
      </c>
    </row>
    <row r="916" ht="14.25" spans="1:5">
      <c r="A916" s="2" t="str">
        <f>"2020023115"</f>
        <v>2020023115</v>
      </c>
      <c r="B916" s="2" t="s">
        <v>523</v>
      </c>
      <c r="C916" s="2">
        <v>31</v>
      </c>
      <c r="D916" s="2">
        <v>15</v>
      </c>
      <c r="E916" s="3">
        <v>64.3</v>
      </c>
    </row>
    <row r="917" ht="14.25" spans="1:5">
      <c r="A917" s="2" t="str">
        <f>"2020023116"</f>
        <v>2020023116</v>
      </c>
      <c r="B917" s="2" t="s">
        <v>523</v>
      </c>
      <c r="C917" s="2">
        <v>31</v>
      </c>
      <c r="D917" s="2">
        <v>16</v>
      </c>
      <c r="E917" s="3">
        <v>65.9</v>
      </c>
    </row>
    <row r="918" ht="14.25" spans="1:5">
      <c r="A918" s="2" t="str">
        <f>"2020023117"</f>
        <v>2020023117</v>
      </c>
      <c r="B918" s="2" t="s">
        <v>523</v>
      </c>
      <c r="C918" s="2">
        <v>31</v>
      </c>
      <c r="D918" s="2">
        <v>17</v>
      </c>
      <c r="E918" s="3">
        <v>61</v>
      </c>
    </row>
    <row r="919" ht="14.25" spans="1:5">
      <c r="A919" s="2" t="str">
        <f>"2020023118"</f>
        <v>2020023118</v>
      </c>
      <c r="B919" s="2" t="s">
        <v>523</v>
      </c>
      <c r="C919" s="2">
        <v>31</v>
      </c>
      <c r="D919" s="2">
        <v>18</v>
      </c>
      <c r="E919" s="3" t="s">
        <v>16</v>
      </c>
    </row>
    <row r="920" ht="14.25" spans="1:5">
      <c r="A920" s="2" t="str">
        <f>"2020023119"</f>
        <v>2020023119</v>
      </c>
      <c r="B920" s="2" t="s">
        <v>523</v>
      </c>
      <c r="C920" s="2">
        <v>31</v>
      </c>
      <c r="D920" s="2">
        <v>19</v>
      </c>
      <c r="E920" s="3" t="s">
        <v>16</v>
      </c>
    </row>
    <row r="921" ht="14.25" spans="1:5">
      <c r="A921" s="2" t="str">
        <f>"2020023120"</f>
        <v>2020023120</v>
      </c>
      <c r="B921" s="2" t="s">
        <v>523</v>
      </c>
      <c r="C921" s="2">
        <v>31</v>
      </c>
      <c r="D921" s="2">
        <v>20</v>
      </c>
      <c r="E921" s="3">
        <v>75.4</v>
      </c>
    </row>
    <row r="922" ht="14.25" spans="1:5">
      <c r="A922" s="2" t="str">
        <f>"2020023121"</f>
        <v>2020023121</v>
      </c>
      <c r="B922" s="2" t="s">
        <v>523</v>
      </c>
      <c r="C922" s="2">
        <v>31</v>
      </c>
      <c r="D922" s="2">
        <v>21</v>
      </c>
      <c r="E922" s="3" t="s">
        <v>16</v>
      </c>
    </row>
    <row r="923" ht="14.25" spans="1:5">
      <c r="A923" s="2" t="str">
        <f>"2020023122"</f>
        <v>2020023122</v>
      </c>
      <c r="B923" s="2" t="s">
        <v>523</v>
      </c>
      <c r="C923" s="2">
        <v>31</v>
      </c>
      <c r="D923" s="2">
        <v>22</v>
      </c>
      <c r="E923" s="3" t="s">
        <v>16</v>
      </c>
    </row>
    <row r="924" ht="14.25" spans="1:5">
      <c r="A924" s="2" t="str">
        <f>"2020023123"</f>
        <v>2020023123</v>
      </c>
      <c r="B924" s="2" t="s">
        <v>523</v>
      </c>
      <c r="C924" s="2">
        <v>31</v>
      </c>
      <c r="D924" s="2">
        <v>23</v>
      </c>
      <c r="E924" s="3">
        <v>54.2</v>
      </c>
    </row>
    <row r="925" ht="14.25" spans="1:5">
      <c r="A925" s="2" t="str">
        <f>"2020023124"</f>
        <v>2020023124</v>
      </c>
      <c r="B925" s="2" t="s">
        <v>523</v>
      </c>
      <c r="C925" s="2">
        <v>31</v>
      </c>
      <c r="D925" s="2">
        <v>24</v>
      </c>
      <c r="E925" s="3" t="s">
        <v>16</v>
      </c>
    </row>
    <row r="926" ht="14.25" spans="1:5">
      <c r="A926" s="2" t="str">
        <f>"2020023125"</f>
        <v>2020023125</v>
      </c>
      <c r="B926" s="2" t="s">
        <v>523</v>
      </c>
      <c r="C926" s="2">
        <v>31</v>
      </c>
      <c r="D926" s="2">
        <v>25</v>
      </c>
      <c r="E926" s="3" t="s">
        <v>16</v>
      </c>
    </row>
    <row r="927" ht="14.25" spans="1:5">
      <c r="A927" s="2" t="str">
        <f>"2020023126"</f>
        <v>2020023126</v>
      </c>
      <c r="B927" s="2" t="s">
        <v>523</v>
      </c>
      <c r="C927" s="2">
        <v>31</v>
      </c>
      <c r="D927" s="2">
        <v>26</v>
      </c>
      <c r="E927" s="3">
        <v>68.6</v>
      </c>
    </row>
    <row r="928" ht="14.25" spans="1:5">
      <c r="A928" s="2" t="str">
        <f>"2020023127"</f>
        <v>2020023127</v>
      </c>
      <c r="B928" s="2" t="s">
        <v>523</v>
      </c>
      <c r="C928" s="2">
        <v>31</v>
      </c>
      <c r="D928" s="2">
        <v>27</v>
      </c>
      <c r="E928" s="3" t="s">
        <v>16</v>
      </c>
    </row>
    <row r="929" ht="14.25" spans="1:5">
      <c r="A929" s="2" t="str">
        <f>"2020023128"</f>
        <v>2020023128</v>
      </c>
      <c r="B929" s="2" t="s">
        <v>523</v>
      </c>
      <c r="C929" s="2">
        <v>31</v>
      </c>
      <c r="D929" s="2">
        <v>28</v>
      </c>
      <c r="E929" s="3" t="s">
        <v>16</v>
      </c>
    </row>
    <row r="930" ht="14.25" spans="1:5">
      <c r="A930" s="2" t="str">
        <f>"2020023129"</f>
        <v>2020023129</v>
      </c>
      <c r="B930" s="2" t="s">
        <v>523</v>
      </c>
      <c r="C930" s="2">
        <v>31</v>
      </c>
      <c r="D930" s="2">
        <v>29</v>
      </c>
      <c r="E930" s="3" t="s">
        <v>16</v>
      </c>
    </row>
    <row r="931" ht="14.25" spans="1:5">
      <c r="A931" s="2" t="str">
        <f>"2020023130"</f>
        <v>2020023130</v>
      </c>
      <c r="B931" s="2" t="s">
        <v>523</v>
      </c>
      <c r="C931" s="2">
        <v>31</v>
      </c>
      <c r="D931" s="2">
        <v>30</v>
      </c>
      <c r="E931" s="3" t="s">
        <v>16</v>
      </c>
    </row>
    <row r="932" ht="14.25" spans="1:5">
      <c r="A932" s="2" t="str">
        <f>"2020023201"</f>
        <v>2020023201</v>
      </c>
      <c r="B932" s="2" t="s">
        <v>523</v>
      </c>
      <c r="C932" s="2">
        <v>32</v>
      </c>
      <c r="D932" s="2">
        <v>1</v>
      </c>
      <c r="E932" s="3">
        <v>62.4</v>
      </c>
    </row>
    <row r="933" ht="14.25" spans="1:5">
      <c r="A933" s="2" t="str">
        <f>"2020023202"</f>
        <v>2020023202</v>
      </c>
      <c r="B933" s="2" t="s">
        <v>523</v>
      </c>
      <c r="C933" s="2">
        <v>32</v>
      </c>
      <c r="D933" s="2">
        <v>2</v>
      </c>
      <c r="E933" s="3">
        <v>78.4</v>
      </c>
    </row>
    <row r="934" ht="14.25" spans="1:5">
      <c r="A934" s="2" t="str">
        <f>"2020023203"</f>
        <v>2020023203</v>
      </c>
      <c r="B934" s="2" t="s">
        <v>523</v>
      </c>
      <c r="C934" s="2">
        <v>32</v>
      </c>
      <c r="D934" s="2">
        <v>3</v>
      </c>
      <c r="E934" s="3">
        <v>75.1</v>
      </c>
    </row>
    <row r="935" ht="14.25" spans="1:5">
      <c r="A935" s="2" t="str">
        <f>"2020023204"</f>
        <v>2020023204</v>
      </c>
      <c r="B935" s="2" t="s">
        <v>523</v>
      </c>
      <c r="C935" s="2">
        <v>32</v>
      </c>
      <c r="D935" s="2">
        <v>4</v>
      </c>
      <c r="E935" s="3" t="s">
        <v>16</v>
      </c>
    </row>
    <row r="936" ht="14.25" spans="1:5">
      <c r="A936" s="2" t="str">
        <f>"2020023205"</f>
        <v>2020023205</v>
      </c>
      <c r="B936" s="2" t="s">
        <v>523</v>
      </c>
      <c r="C936" s="2">
        <v>32</v>
      </c>
      <c r="D936" s="2">
        <v>5</v>
      </c>
      <c r="E936" s="3" t="s">
        <v>16</v>
      </c>
    </row>
    <row r="937" ht="14.25" spans="1:5">
      <c r="A937" s="2" t="str">
        <f>"2020023206"</f>
        <v>2020023206</v>
      </c>
      <c r="B937" s="2" t="s">
        <v>523</v>
      </c>
      <c r="C937" s="2">
        <v>32</v>
      </c>
      <c r="D937" s="2">
        <v>6</v>
      </c>
      <c r="E937" s="3">
        <v>71.9</v>
      </c>
    </row>
    <row r="938" ht="14.25" spans="1:5">
      <c r="A938" s="2" t="str">
        <f>"2020023207"</f>
        <v>2020023207</v>
      </c>
      <c r="B938" s="2" t="s">
        <v>523</v>
      </c>
      <c r="C938" s="2">
        <v>32</v>
      </c>
      <c r="D938" s="2">
        <v>7</v>
      </c>
      <c r="E938" s="3" t="s">
        <v>16</v>
      </c>
    </row>
    <row r="939" ht="14.25" spans="1:5">
      <c r="A939" s="2" t="str">
        <f>"2020023208"</f>
        <v>2020023208</v>
      </c>
      <c r="B939" s="2" t="s">
        <v>523</v>
      </c>
      <c r="C939" s="2">
        <v>32</v>
      </c>
      <c r="D939" s="2">
        <v>8</v>
      </c>
      <c r="E939" s="3">
        <v>65.7</v>
      </c>
    </row>
    <row r="940" ht="14.25" spans="1:5">
      <c r="A940" s="2" t="str">
        <f>"2020023209"</f>
        <v>2020023209</v>
      </c>
      <c r="B940" s="2" t="s">
        <v>523</v>
      </c>
      <c r="C940" s="2">
        <v>32</v>
      </c>
      <c r="D940" s="2">
        <v>9</v>
      </c>
      <c r="E940" s="3" t="s">
        <v>16</v>
      </c>
    </row>
    <row r="941" ht="14.25" spans="1:5">
      <c r="A941" s="2" t="str">
        <f>"2020023210"</f>
        <v>2020023210</v>
      </c>
      <c r="B941" s="2" t="s">
        <v>523</v>
      </c>
      <c r="C941" s="2">
        <v>32</v>
      </c>
      <c r="D941" s="2">
        <v>10</v>
      </c>
      <c r="E941" s="3" t="s">
        <v>16</v>
      </c>
    </row>
    <row r="942" ht="14.25" spans="1:5">
      <c r="A942" s="2" t="str">
        <f>"2020023211"</f>
        <v>2020023211</v>
      </c>
      <c r="B942" s="2" t="s">
        <v>523</v>
      </c>
      <c r="C942" s="2">
        <v>32</v>
      </c>
      <c r="D942" s="2">
        <v>11</v>
      </c>
      <c r="E942" s="3" t="s">
        <v>16</v>
      </c>
    </row>
    <row r="943" ht="14.25" spans="1:5">
      <c r="A943" s="2" t="str">
        <f>"2020023212"</f>
        <v>2020023212</v>
      </c>
      <c r="B943" s="2" t="s">
        <v>523</v>
      </c>
      <c r="C943" s="2">
        <v>32</v>
      </c>
      <c r="D943" s="2">
        <v>12</v>
      </c>
      <c r="E943" s="3" t="s">
        <v>16</v>
      </c>
    </row>
    <row r="944" ht="14.25" spans="1:5">
      <c r="A944" s="2" t="str">
        <f>"2020023213"</f>
        <v>2020023213</v>
      </c>
      <c r="B944" s="2" t="s">
        <v>523</v>
      </c>
      <c r="C944" s="2">
        <v>32</v>
      </c>
      <c r="D944" s="2">
        <v>13</v>
      </c>
      <c r="E944" s="3" t="s">
        <v>16</v>
      </c>
    </row>
    <row r="945" ht="14.25" spans="1:5">
      <c r="A945" s="2" t="str">
        <f>"2020023214"</f>
        <v>2020023214</v>
      </c>
      <c r="B945" s="2" t="s">
        <v>523</v>
      </c>
      <c r="C945" s="2">
        <v>32</v>
      </c>
      <c r="D945" s="2">
        <v>14</v>
      </c>
      <c r="E945" s="3" t="s">
        <v>16</v>
      </c>
    </row>
    <row r="946" ht="14.25" spans="1:5">
      <c r="A946" s="2" t="str">
        <f>"2020023215"</f>
        <v>2020023215</v>
      </c>
      <c r="B946" s="2" t="s">
        <v>523</v>
      </c>
      <c r="C946" s="2">
        <v>32</v>
      </c>
      <c r="D946" s="2">
        <v>15</v>
      </c>
      <c r="E946" s="3">
        <v>57.7</v>
      </c>
    </row>
    <row r="947" ht="14.25" spans="1:5">
      <c r="A947" s="2" t="str">
        <f>"2020023216"</f>
        <v>2020023216</v>
      </c>
      <c r="B947" s="2" t="s">
        <v>523</v>
      </c>
      <c r="C947" s="2">
        <v>32</v>
      </c>
      <c r="D947" s="2">
        <v>16</v>
      </c>
      <c r="E947" s="3">
        <v>54.6</v>
      </c>
    </row>
    <row r="948" ht="14.25" spans="1:5">
      <c r="A948" s="2" t="str">
        <f>"2020023217"</f>
        <v>2020023217</v>
      </c>
      <c r="B948" s="2" t="s">
        <v>523</v>
      </c>
      <c r="C948" s="2">
        <v>32</v>
      </c>
      <c r="D948" s="2">
        <v>17</v>
      </c>
      <c r="E948" s="3" t="s">
        <v>16</v>
      </c>
    </row>
    <row r="949" ht="14.25" spans="1:5">
      <c r="A949" s="2" t="str">
        <f>"2020023218"</f>
        <v>2020023218</v>
      </c>
      <c r="B949" s="2" t="s">
        <v>523</v>
      </c>
      <c r="C949" s="2">
        <v>32</v>
      </c>
      <c r="D949" s="2">
        <v>18</v>
      </c>
      <c r="E949" s="3" t="s">
        <v>16</v>
      </c>
    </row>
    <row r="950" ht="14.25" spans="1:5">
      <c r="A950" s="2" t="str">
        <f>"2020023219"</f>
        <v>2020023219</v>
      </c>
      <c r="B950" s="2" t="s">
        <v>523</v>
      </c>
      <c r="C950" s="2">
        <v>32</v>
      </c>
      <c r="D950" s="2">
        <v>19</v>
      </c>
      <c r="E950" s="3" t="s">
        <v>16</v>
      </c>
    </row>
    <row r="951" ht="14.25" spans="1:5">
      <c r="A951" s="2" t="str">
        <f>"2020023220"</f>
        <v>2020023220</v>
      </c>
      <c r="B951" s="2" t="s">
        <v>523</v>
      </c>
      <c r="C951" s="2">
        <v>32</v>
      </c>
      <c r="D951" s="2">
        <v>20</v>
      </c>
      <c r="E951" s="3">
        <v>66</v>
      </c>
    </row>
    <row r="952" ht="14.25" spans="1:5">
      <c r="A952" s="2" t="str">
        <f>"2020023221"</f>
        <v>2020023221</v>
      </c>
      <c r="B952" s="2" t="s">
        <v>523</v>
      </c>
      <c r="C952" s="2">
        <v>32</v>
      </c>
      <c r="D952" s="2">
        <v>21</v>
      </c>
      <c r="E952" s="3">
        <v>64.3</v>
      </c>
    </row>
    <row r="953" ht="14.25" spans="1:5">
      <c r="A953" s="2" t="str">
        <f>"2020023222"</f>
        <v>2020023222</v>
      </c>
      <c r="B953" s="2" t="s">
        <v>523</v>
      </c>
      <c r="C953" s="2">
        <v>32</v>
      </c>
      <c r="D953" s="2">
        <v>22</v>
      </c>
      <c r="E953" s="3" t="s">
        <v>16</v>
      </c>
    </row>
    <row r="954" ht="14.25" spans="1:5">
      <c r="A954" s="2" t="str">
        <f>"2020023223"</f>
        <v>2020023223</v>
      </c>
      <c r="B954" s="2" t="s">
        <v>523</v>
      </c>
      <c r="C954" s="2">
        <v>32</v>
      </c>
      <c r="D954" s="2">
        <v>23</v>
      </c>
      <c r="E954" s="3" t="s">
        <v>16</v>
      </c>
    </row>
    <row r="955" ht="14.25" spans="1:5">
      <c r="A955" s="2" t="str">
        <f>"2020023224"</f>
        <v>2020023224</v>
      </c>
      <c r="B955" s="2" t="s">
        <v>523</v>
      </c>
      <c r="C955" s="2">
        <v>32</v>
      </c>
      <c r="D955" s="2">
        <v>24</v>
      </c>
      <c r="E955" s="3" t="s">
        <v>16</v>
      </c>
    </row>
    <row r="956" ht="14.25" spans="1:5">
      <c r="A956" s="2" t="str">
        <f>"2020023225"</f>
        <v>2020023225</v>
      </c>
      <c r="B956" s="2" t="s">
        <v>523</v>
      </c>
      <c r="C956" s="2">
        <v>32</v>
      </c>
      <c r="D956" s="2">
        <v>25</v>
      </c>
      <c r="E956" s="3" t="s">
        <v>16</v>
      </c>
    </row>
    <row r="957" ht="14.25" spans="1:5">
      <c r="A957" s="2" t="str">
        <f>"2020023226"</f>
        <v>2020023226</v>
      </c>
      <c r="B957" s="2" t="s">
        <v>523</v>
      </c>
      <c r="C957" s="2">
        <v>32</v>
      </c>
      <c r="D957" s="2">
        <v>26</v>
      </c>
      <c r="E957" s="3">
        <v>53.4</v>
      </c>
    </row>
    <row r="958" ht="14.25" spans="1:5">
      <c r="A958" s="2" t="str">
        <f>"2020023227"</f>
        <v>2020023227</v>
      </c>
      <c r="B958" s="2" t="s">
        <v>523</v>
      </c>
      <c r="C958" s="2">
        <v>32</v>
      </c>
      <c r="D958" s="2">
        <v>27</v>
      </c>
      <c r="E958" s="3">
        <v>64.9</v>
      </c>
    </row>
    <row r="959" ht="14.25" spans="1:5">
      <c r="A959" s="2" t="str">
        <f>"2020023228"</f>
        <v>2020023228</v>
      </c>
      <c r="B959" s="2" t="s">
        <v>523</v>
      </c>
      <c r="C959" s="2">
        <v>32</v>
      </c>
      <c r="D959" s="2">
        <v>28</v>
      </c>
      <c r="E959" s="3" t="s">
        <v>16</v>
      </c>
    </row>
    <row r="960" ht="14.25" spans="1:5">
      <c r="A960" s="2" t="str">
        <f>"2020023229"</f>
        <v>2020023229</v>
      </c>
      <c r="B960" s="2" t="s">
        <v>523</v>
      </c>
      <c r="C960" s="2">
        <v>32</v>
      </c>
      <c r="D960" s="2">
        <v>29</v>
      </c>
      <c r="E960" s="3" t="s">
        <v>16</v>
      </c>
    </row>
    <row r="961" ht="14.25" spans="1:5">
      <c r="A961" s="2" t="str">
        <f>"2020023230"</f>
        <v>2020023230</v>
      </c>
      <c r="B961" s="2" t="s">
        <v>523</v>
      </c>
      <c r="C961" s="2">
        <v>32</v>
      </c>
      <c r="D961" s="2">
        <v>30</v>
      </c>
      <c r="E961" s="3">
        <v>61.4</v>
      </c>
    </row>
    <row r="962" ht="14.25" spans="1:5">
      <c r="A962" s="2" t="str">
        <f>"2020023301"</f>
        <v>2020023301</v>
      </c>
      <c r="B962" s="2" t="s">
        <v>523</v>
      </c>
      <c r="C962" s="2">
        <v>33</v>
      </c>
      <c r="D962" s="2">
        <v>1</v>
      </c>
      <c r="E962" s="3">
        <v>54.4</v>
      </c>
    </row>
    <row r="963" ht="14.25" spans="1:5">
      <c r="A963" s="2" t="str">
        <f>"2020023302"</f>
        <v>2020023302</v>
      </c>
      <c r="B963" s="2" t="s">
        <v>523</v>
      </c>
      <c r="C963" s="2">
        <v>33</v>
      </c>
      <c r="D963" s="2">
        <v>2</v>
      </c>
      <c r="E963" s="3">
        <v>69.8</v>
      </c>
    </row>
    <row r="964" ht="14.25" spans="1:5">
      <c r="A964" s="2" t="str">
        <f>"2020023303"</f>
        <v>2020023303</v>
      </c>
      <c r="B964" s="2" t="s">
        <v>523</v>
      </c>
      <c r="C964" s="2">
        <v>33</v>
      </c>
      <c r="D964" s="2">
        <v>3</v>
      </c>
      <c r="E964" s="3" t="s">
        <v>16</v>
      </c>
    </row>
    <row r="965" ht="14.25" spans="1:5">
      <c r="A965" s="2" t="str">
        <f>"2020023304"</f>
        <v>2020023304</v>
      </c>
      <c r="B965" s="2" t="s">
        <v>523</v>
      </c>
      <c r="C965" s="2">
        <v>33</v>
      </c>
      <c r="D965" s="2">
        <v>4</v>
      </c>
      <c r="E965" s="3" t="s">
        <v>16</v>
      </c>
    </row>
    <row r="966" ht="14.25" spans="1:5">
      <c r="A966" s="2" t="str">
        <f>"2020023305"</f>
        <v>2020023305</v>
      </c>
      <c r="B966" s="2" t="s">
        <v>523</v>
      </c>
      <c r="C966" s="2">
        <v>33</v>
      </c>
      <c r="D966" s="2">
        <v>5</v>
      </c>
      <c r="E966" s="3" t="s">
        <v>16</v>
      </c>
    </row>
    <row r="967" ht="14.25" spans="1:5">
      <c r="A967" s="2" t="str">
        <f>"2020023306"</f>
        <v>2020023306</v>
      </c>
      <c r="B967" s="2" t="s">
        <v>523</v>
      </c>
      <c r="C967" s="2">
        <v>33</v>
      </c>
      <c r="D967" s="2">
        <v>6</v>
      </c>
      <c r="E967" s="3" t="s">
        <v>16</v>
      </c>
    </row>
    <row r="968" ht="14.25" spans="1:5">
      <c r="A968" s="2" t="str">
        <f>"2020023307"</f>
        <v>2020023307</v>
      </c>
      <c r="B968" s="2" t="s">
        <v>523</v>
      </c>
      <c r="C968" s="2">
        <v>33</v>
      </c>
      <c r="D968" s="2">
        <v>7</v>
      </c>
      <c r="E968" s="3" t="s">
        <v>16</v>
      </c>
    </row>
    <row r="969" ht="14.25" spans="1:5">
      <c r="A969" s="2" t="str">
        <f>"2020023308"</f>
        <v>2020023308</v>
      </c>
      <c r="B969" s="2" t="s">
        <v>523</v>
      </c>
      <c r="C969" s="2">
        <v>33</v>
      </c>
      <c r="D969" s="2">
        <v>8</v>
      </c>
      <c r="E969" s="3" t="s">
        <v>16</v>
      </c>
    </row>
    <row r="970" ht="14.25" spans="1:5">
      <c r="A970" s="2" t="str">
        <f>"2020023309"</f>
        <v>2020023309</v>
      </c>
      <c r="B970" s="2" t="s">
        <v>523</v>
      </c>
      <c r="C970" s="2">
        <v>33</v>
      </c>
      <c r="D970" s="2">
        <v>9</v>
      </c>
      <c r="E970" s="3" t="s">
        <v>16</v>
      </c>
    </row>
    <row r="971" ht="14.25" spans="1:5">
      <c r="A971" s="2" t="str">
        <f>"2020023310"</f>
        <v>2020023310</v>
      </c>
      <c r="B971" s="2" t="s">
        <v>523</v>
      </c>
      <c r="C971" s="2">
        <v>33</v>
      </c>
      <c r="D971" s="2">
        <v>10</v>
      </c>
      <c r="E971" s="3" t="s">
        <v>16</v>
      </c>
    </row>
    <row r="972" ht="14.25" spans="1:5">
      <c r="A972" s="2" t="str">
        <f>"2020023311"</f>
        <v>2020023311</v>
      </c>
      <c r="B972" s="2" t="s">
        <v>523</v>
      </c>
      <c r="C972" s="2">
        <v>33</v>
      </c>
      <c r="D972" s="2">
        <v>11</v>
      </c>
      <c r="E972" s="3" t="s">
        <v>16</v>
      </c>
    </row>
    <row r="973" ht="14.25" spans="1:5">
      <c r="A973" s="2" t="str">
        <f>"2020023312"</f>
        <v>2020023312</v>
      </c>
      <c r="B973" s="2" t="s">
        <v>523</v>
      </c>
      <c r="C973" s="2">
        <v>33</v>
      </c>
      <c r="D973" s="2">
        <v>12</v>
      </c>
      <c r="E973" s="3">
        <v>59.2</v>
      </c>
    </row>
    <row r="974" ht="14.25" spans="1:5">
      <c r="A974" s="2" t="str">
        <f>"2020023313"</f>
        <v>2020023313</v>
      </c>
      <c r="B974" s="2" t="s">
        <v>523</v>
      </c>
      <c r="C974" s="2">
        <v>33</v>
      </c>
      <c r="D974" s="2">
        <v>13</v>
      </c>
      <c r="E974" s="3" t="s">
        <v>16</v>
      </c>
    </row>
    <row r="975" ht="14.25" spans="1:5">
      <c r="A975" s="2" t="str">
        <f>"2020023314"</f>
        <v>2020023314</v>
      </c>
      <c r="B975" s="2" t="s">
        <v>523</v>
      </c>
      <c r="C975" s="2">
        <v>33</v>
      </c>
      <c r="D975" s="2">
        <v>14</v>
      </c>
      <c r="E975" s="3">
        <v>47.8</v>
      </c>
    </row>
    <row r="976" ht="14.25" spans="1:5">
      <c r="A976" s="2" t="str">
        <f>"2020023315"</f>
        <v>2020023315</v>
      </c>
      <c r="B976" s="2" t="s">
        <v>523</v>
      </c>
      <c r="C976" s="2">
        <v>33</v>
      </c>
      <c r="D976" s="2">
        <v>15</v>
      </c>
      <c r="E976" s="3">
        <v>67.6</v>
      </c>
    </row>
    <row r="977" ht="14.25" spans="1:5">
      <c r="A977" s="2" t="str">
        <f>"2020023316"</f>
        <v>2020023316</v>
      </c>
      <c r="B977" s="2" t="s">
        <v>523</v>
      </c>
      <c r="C977" s="2">
        <v>33</v>
      </c>
      <c r="D977" s="2">
        <v>16</v>
      </c>
      <c r="E977" s="3">
        <v>58</v>
      </c>
    </row>
    <row r="978" ht="14.25" spans="1:5">
      <c r="A978" s="2" t="str">
        <f>"2020023317"</f>
        <v>2020023317</v>
      </c>
      <c r="B978" s="2" t="s">
        <v>523</v>
      </c>
      <c r="C978" s="2">
        <v>33</v>
      </c>
      <c r="D978" s="2">
        <v>17</v>
      </c>
      <c r="E978" s="3" t="s">
        <v>16</v>
      </c>
    </row>
    <row r="979" ht="14.25" spans="1:5">
      <c r="A979" s="2" t="str">
        <f>"2020023318"</f>
        <v>2020023318</v>
      </c>
      <c r="B979" s="2" t="s">
        <v>523</v>
      </c>
      <c r="C979" s="2">
        <v>33</v>
      </c>
      <c r="D979" s="2">
        <v>18</v>
      </c>
      <c r="E979" s="3">
        <v>70.5</v>
      </c>
    </row>
    <row r="980" ht="14.25" spans="1:5">
      <c r="A980" s="2" t="str">
        <f>"2020023319"</f>
        <v>2020023319</v>
      </c>
      <c r="B980" s="2" t="s">
        <v>523</v>
      </c>
      <c r="C980" s="2">
        <v>33</v>
      </c>
      <c r="D980" s="2">
        <v>19</v>
      </c>
      <c r="E980" s="3">
        <v>78.4</v>
      </c>
    </row>
    <row r="981" ht="14.25" spans="1:5">
      <c r="A981" s="2" t="str">
        <f>"2020023320"</f>
        <v>2020023320</v>
      </c>
      <c r="B981" s="2" t="s">
        <v>523</v>
      </c>
      <c r="C981" s="2">
        <v>33</v>
      </c>
      <c r="D981" s="2">
        <v>20</v>
      </c>
      <c r="E981" s="3">
        <v>64.6</v>
      </c>
    </row>
    <row r="982" ht="14.25" spans="1:5">
      <c r="A982" s="2" t="str">
        <f>"2020023321"</f>
        <v>2020023321</v>
      </c>
      <c r="B982" s="2" t="s">
        <v>523</v>
      </c>
      <c r="C982" s="2">
        <v>33</v>
      </c>
      <c r="D982" s="2">
        <v>21</v>
      </c>
      <c r="E982" s="3" t="s">
        <v>16</v>
      </c>
    </row>
    <row r="983" ht="14.25" spans="1:5">
      <c r="A983" s="2" t="str">
        <f>"2020023322"</f>
        <v>2020023322</v>
      </c>
      <c r="B983" s="2" t="s">
        <v>523</v>
      </c>
      <c r="C983" s="2">
        <v>33</v>
      </c>
      <c r="D983" s="2">
        <v>22</v>
      </c>
      <c r="E983" s="3" t="s">
        <v>16</v>
      </c>
    </row>
    <row r="984" ht="14.25" spans="1:5">
      <c r="A984" s="2" t="str">
        <f>"2020023323"</f>
        <v>2020023323</v>
      </c>
      <c r="B984" s="2" t="s">
        <v>523</v>
      </c>
      <c r="C984" s="2">
        <v>33</v>
      </c>
      <c r="D984" s="2">
        <v>23</v>
      </c>
      <c r="E984" s="3" t="s">
        <v>16</v>
      </c>
    </row>
    <row r="985" ht="14.25" spans="1:5">
      <c r="A985" s="2" t="str">
        <f>"2020023324"</f>
        <v>2020023324</v>
      </c>
      <c r="B985" s="2" t="s">
        <v>523</v>
      </c>
      <c r="C985" s="2">
        <v>33</v>
      </c>
      <c r="D985" s="2">
        <v>24</v>
      </c>
      <c r="E985" s="3">
        <v>65.9</v>
      </c>
    </row>
    <row r="986" ht="14.25" spans="1:5">
      <c r="A986" s="2" t="str">
        <f>"2020023325"</f>
        <v>2020023325</v>
      </c>
      <c r="B986" s="2" t="s">
        <v>523</v>
      </c>
      <c r="C986" s="2">
        <v>33</v>
      </c>
      <c r="D986" s="2">
        <v>25</v>
      </c>
      <c r="E986" s="3" t="s">
        <v>16</v>
      </c>
    </row>
    <row r="987" ht="14.25" spans="1:5">
      <c r="A987" s="2" t="str">
        <f>"2020023326"</f>
        <v>2020023326</v>
      </c>
      <c r="B987" s="2" t="s">
        <v>523</v>
      </c>
      <c r="C987" s="2">
        <v>33</v>
      </c>
      <c r="D987" s="2">
        <v>26</v>
      </c>
      <c r="E987" s="3">
        <v>66.3</v>
      </c>
    </row>
    <row r="988" ht="14.25" spans="1:5">
      <c r="A988" s="2" t="str">
        <f>"2020023327"</f>
        <v>2020023327</v>
      </c>
      <c r="B988" s="2" t="s">
        <v>523</v>
      </c>
      <c r="C988" s="2">
        <v>33</v>
      </c>
      <c r="D988" s="2">
        <v>27</v>
      </c>
      <c r="E988" s="3" t="s">
        <v>16</v>
      </c>
    </row>
    <row r="989" ht="14.25" spans="1:5">
      <c r="A989" s="2" t="str">
        <f>"2020023328"</f>
        <v>2020023328</v>
      </c>
      <c r="B989" s="2" t="s">
        <v>523</v>
      </c>
      <c r="C989" s="2">
        <v>33</v>
      </c>
      <c r="D989" s="2">
        <v>28</v>
      </c>
      <c r="E989" s="3">
        <v>58.3</v>
      </c>
    </row>
    <row r="990" ht="14.25" spans="1:5">
      <c r="A990" s="2" t="str">
        <f>"2020023329"</f>
        <v>2020023329</v>
      </c>
      <c r="B990" s="2" t="s">
        <v>523</v>
      </c>
      <c r="C990" s="2">
        <v>33</v>
      </c>
      <c r="D990" s="2">
        <v>29</v>
      </c>
      <c r="E990" s="3" t="s">
        <v>16</v>
      </c>
    </row>
    <row r="991" ht="14.25" spans="1:5">
      <c r="A991" s="2" t="str">
        <f>"2020023330"</f>
        <v>2020023330</v>
      </c>
      <c r="B991" s="2" t="s">
        <v>524</v>
      </c>
      <c r="C991" s="2">
        <v>33</v>
      </c>
      <c r="D991" s="2">
        <v>30</v>
      </c>
      <c r="E991" s="3">
        <v>70.3</v>
      </c>
    </row>
    <row r="992" ht="14.25" spans="1:5">
      <c r="A992" s="2" t="str">
        <f>"2020023401"</f>
        <v>2020023401</v>
      </c>
      <c r="B992" s="2" t="s">
        <v>524</v>
      </c>
      <c r="C992" s="2">
        <v>34</v>
      </c>
      <c r="D992" s="2">
        <v>1</v>
      </c>
      <c r="E992" s="3" t="s">
        <v>16</v>
      </c>
    </row>
    <row r="993" ht="14.25" spans="1:5">
      <c r="A993" s="2" t="str">
        <f>"2020023402"</f>
        <v>2020023402</v>
      </c>
      <c r="B993" s="2" t="s">
        <v>524</v>
      </c>
      <c r="C993" s="2">
        <v>34</v>
      </c>
      <c r="D993" s="2">
        <v>2</v>
      </c>
      <c r="E993" s="3">
        <v>58.4</v>
      </c>
    </row>
    <row r="994" ht="14.25" spans="1:5">
      <c r="A994" s="2" t="str">
        <f>"2020023403"</f>
        <v>2020023403</v>
      </c>
      <c r="B994" s="2" t="s">
        <v>524</v>
      </c>
      <c r="C994" s="2">
        <v>34</v>
      </c>
      <c r="D994" s="2">
        <v>3</v>
      </c>
      <c r="E994" s="3">
        <v>61.7</v>
      </c>
    </row>
    <row r="995" ht="14.25" spans="1:5">
      <c r="A995" s="2" t="str">
        <f>"2020023404"</f>
        <v>2020023404</v>
      </c>
      <c r="B995" s="2" t="s">
        <v>524</v>
      </c>
      <c r="C995" s="2">
        <v>34</v>
      </c>
      <c r="D995" s="2">
        <v>4</v>
      </c>
      <c r="E995" s="3" t="s">
        <v>16</v>
      </c>
    </row>
    <row r="996" ht="14.25" spans="1:5">
      <c r="A996" s="2" t="str">
        <f>"2020023405"</f>
        <v>2020023405</v>
      </c>
      <c r="B996" s="2" t="s">
        <v>524</v>
      </c>
      <c r="C996" s="2">
        <v>34</v>
      </c>
      <c r="D996" s="2">
        <v>5</v>
      </c>
      <c r="E996" s="3" t="s">
        <v>16</v>
      </c>
    </row>
    <row r="997" ht="14.25" spans="1:5">
      <c r="A997" s="2" t="str">
        <f>"2020023406"</f>
        <v>2020023406</v>
      </c>
      <c r="B997" s="2" t="s">
        <v>524</v>
      </c>
      <c r="C997" s="2">
        <v>34</v>
      </c>
      <c r="D997" s="2">
        <v>6</v>
      </c>
      <c r="E997" s="3">
        <v>61.3</v>
      </c>
    </row>
    <row r="998" ht="14.25" spans="1:5">
      <c r="A998" s="2" t="str">
        <f>"2020023407"</f>
        <v>2020023407</v>
      </c>
      <c r="B998" s="2" t="s">
        <v>524</v>
      </c>
      <c r="C998" s="2">
        <v>34</v>
      </c>
      <c r="D998" s="2">
        <v>7</v>
      </c>
      <c r="E998" s="3">
        <v>54.2</v>
      </c>
    </row>
    <row r="999" ht="14.25" spans="1:5">
      <c r="A999" s="2" t="str">
        <f>"2020023408"</f>
        <v>2020023408</v>
      </c>
      <c r="B999" s="2" t="s">
        <v>524</v>
      </c>
      <c r="C999" s="2">
        <v>34</v>
      </c>
      <c r="D999" s="2">
        <v>8</v>
      </c>
      <c r="E999" s="3">
        <v>65.9</v>
      </c>
    </row>
    <row r="1000" ht="14.25" spans="1:5">
      <c r="A1000" s="2" t="str">
        <f>"2020023409"</f>
        <v>2020023409</v>
      </c>
      <c r="B1000" s="2" t="s">
        <v>524</v>
      </c>
      <c r="C1000" s="2">
        <v>34</v>
      </c>
      <c r="D1000" s="2">
        <v>9</v>
      </c>
      <c r="E1000" s="3">
        <v>66.6</v>
      </c>
    </row>
    <row r="1001" ht="14.25" spans="1:5">
      <c r="A1001" s="2" t="str">
        <f>"2020023410"</f>
        <v>2020023410</v>
      </c>
      <c r="B1001" s="2" t="s">
        <v>524</v>
      </c>
      <c r="C1001" s="2">
        <v>34</v>
      </c>
      <c r="D1001" s="2">
        <v>10</v>
      </c>
      <c r="E1001" s="3">
        <v>62.3</v>
      </c>
    </row>
    <row r="1002" ht="14.25" spans="1:5">
      <c r="A1002" s="2" t="str">
        <f>"2020023411"</f>
        <v>2020023411</v>
      </c>
      <c r="B1002" s="2" t="s">
        <v>524</v>
      </c>
      <c r="C1002" s="2">
        <v>34</v>
      </c>
      <c r="D1002" s="2">
        <v>11</v>
      </c>
      <c r="E1002" s="3">
        <v>67.3</v>
      </c>
    </row>
    <row r="1003" ht="14.25" spans="1:5">
      <c r="A1003" s="2" t="str">
        <f>"2020023412"</f>
        <v>2020023412</v>
      </c>
      <c r="B1003" s="2" t="s">
        <v>524</v>
      </c>
      <c r="C1003" s="2">
        <v>34</v>
      </c>
      <c r="D1003" s="2">
        <v>12</v>
      </c>
      <c r="E1003" s="3">
        <v>58.9</v>
      </c>
    </row>
    <row r="1004" ht="14.25" spans="1:5">
      <c r="A1004" s="2" t="str">
        <f>"2020023413"</f>
        <v>2020023413</v>
      </c>
      <c r="B1004" s="2" t="s">
        <v>524</v>
      </c>
      <c r="C1004" s="2">
        <v>34</v>
      </c>
      <c r="D1004" s="2">
        <v>13</v>
      </c>
      <c r="E1004" s="3">
        <v>61.8</v>
      </c>
    </row>
    <row r="1005" ht="14.25" spans="1:5">
      <c r="A1005" s="2" t="str">
        <f>"2020023414"</f>
        <v>2020023414</v>
      </c>
      <c r="B1005" s="2" t="s">
        <v>524</v>
      </c>
      <c r="C1005" s="2">
        <v>34</v>
      </c>
      <c r="D1005" s="2">
        <v>14</v>
      </c>
      <c r="E1005" s="3">
        <v>70.5</v>
      </c>
    </row>
    <row r="1006" ht="14.25" spans="1:5">
      <c r="A1006" s="2" t="str">
        <f>"2020023415"</f>
        <v>2020023415</v>
      </c>
      <c r="B1006" s="2" t="s">
        <v>524</v>
      </c>
      <c r="C1006" s="2">
        <v>34</v>
      </c>
      <c r="D1006" s="2">
        <v>15</v>
      </c>
      <c r="E1006" s="3">
        <v>74.1</v>
      </c>
    </row>
    <row r="1007" ht="14.25" spans="1:5">
      <c r="A1007" s="2" t="str">
        <f>"2020023416"</f>
        <v>2020023416</v>
      </c>
      <c r="B1007" s="2" t="s">
        <v>524</v>
      </c>
      <c r="C1007" s="2">
        <v>34</v>
      </c>
      <c r="D1007" s="2">
        <v>16</v>
      </c>
      <c r="E1007" s="3">
        <v>71.1</v>
      </c>
    </row>
    <row r="1008" ht="14.25" spans="1:5">
      <c r="A1008" s="2" t="str">
        <f>"2020023417"</f>
        <v>2020023417</v>
      </c>
      <c r="B1008" s="2" t="s">
        <v>524</v>
      </c>
      <c r="C1008" s="2">
        <v>34</v>
      </c>
      <c r="D1008" s="2">
        <v>17</v>
      </c>
      <c r="E1008" s="3">
        <v>46.5</v>
      </c>
    </row>
    <row r="1009" ht="14.25" spans="1:5">
      <c r="A1009" s="2" t="str">
        <f>"2020023418"</f>
        <v>2020023418</v>
      </c>
      <c r="B1009" s="2" t="s">
        <v>524</v>
      </c>
      <c r="C1009" s="2">
        <v>34</v>
      </c>
      <c r="D1009" s="2">
        <v>18</v>
      </c>
      <c r="E1009" s="3" t="s">
        <v>16</v>
      </c>
    </row>
    <row r="1010" ht="14.25" spans="1:5">
      <c r="A1010" s="2" t="str">
        <f>"2020023419"</f>
        <v>2020023419</v>
      </c>
      <c r="B1010" s="2" t="s">
        <v>524</v>
      </c>
      <c r="C1010" s="2">
        <v>34</v>
      </c>
      <c r="D1010" s="2">
        <v>19</v>
      </c>
      <c r="E1010" s="3" t="s">
        <v>16</v>
      </c>
    </row>
    <row r="1011" ht="14.25" spans="1:5">
      <c r="A1011" s="2" t="str">
        <f>"2020023420"</f>
        <v>2020023420</v>
      </c>
      <c r="B1011" s="2" t="s">
        <v>524</v>
      </c>
      <c r="C1011" s="2">
        <v>34</v>
      </c>
      <c r="D1011" s="2">
        <v>20</v>
      </c>
      <c r="E1011" s="3">
        <v>59.4</v>
      </c>
    </row>
    <row r="1012" ht="14.25" spans="1:5">
      <c r="A1012" s="2" t="str">
        <f>"2020023421"</f>
        <v>2020023421</v>
      </c>
      <c r="B1012" s="2" t="s">
        <v>524</v>
      </c>
      <c r="C1012" s="2">
        <v>34</v>
      </c>
      <c r="D1012" s="2">
        <v>21</v>
      </c>
      <c r="E1012" s="3">
        <v>68.6</v>
      </c>
    </row>
    <row r="1013" ht="14.25" spans="1:5">
      <c r="A1013" s="2" t="str">
        <f>"2020023422"</f>
        <v>2020023422</v>
      </c>
      <c r="B1013" s="2" t="s">
        <v>524</v>
      </c>
      <c r="C1013" s="2">
        <v>34</v>
      </c>
      <c r="D1013" s="2">
        <v>22</v>
      </c>
      <c r="E1013" s="3">
        <v>63.6</v>
      </c>
    </row>
    <row r="1014" ht="14.25" spans="1:5">
      <c r="A1014" s="2" t="str">
        <f>"2020023423"</f>
        <v>2020023423</v>
      </c>
      <c r="B1014" s="2" t="s">
        <v>524</v>
      </c>
      <c r="C1014" s="2">
        <v>34</v>
      </c>
      <c r="D1014" s="2">
        <v>23</v>
      </c>
      <c r="E1014" s="3">
        <v>68.5</v>
      </c>
    </row>
    <row r="1015" ht="14.25" spans="1:5">
      <c r="A1015" s="2" t="str">
        <f>"2020023424"</f>
        <v>2020023424</v>
      </c>
      <c r="B1015" s="2" t="s">
        <v>524</v>
      </c>
      <c r="C1015" s="2">
        <v>34</v>
      </c>
      <c r="D1015" s="2">
        <v>24</v>
      </c>
      <c r="E1015" s="3">
        <v>62.7</v>
      </c>
    </row>
    <row r="1016" ht="14.25" spans="1:5">
      <c r="A1016" s="2" t="str">
        <f>"2020023425"</f>
        <v>2020023425</v>
      </c>
      <c r="B1016" s="2" t="s">
        <v>524</v>
      </c>
      <c r="C1016" s="2">
        <v>34</v>
      </c>
      <c r="D1016" s="2">
        <v>25</v>
      </c>
      <c r="E1016" s="3">
        <v>64.9</v>
      </c>
    </row>
    <row r="1017" ht="14.25" spans="1:5">
      <c r="A1017" s="2" t="str">
        <f>"2020023426"</f>
        <v>2020023426</v>
      </c>
      <c r="B1017" s="2" t="s">
        <v>524</v>
      </c>
      <c r="C1017" s="2">
        <v>34</v>
      </c>
      <c r="D1017" s="2">
        <v>26</v>
      </c>
      <c r="E1017" s="3" t="s">
        <v>16</v>
      </c>
    </row>
    <row r="1018" ht="14.25" spans="1:5">
      <c r="A1018" s="2" t="str">
        <f>"2020023427"</f>
        <v>2020023427</v>
      </c>
      <c r="B1018" s="2" t="s">
        <v>524</v>
      </c>
      <c r="C1018" s="2">
        <v>34</v>
      </c>
      <c r="D1018" s="2">
        <v>27</v>
      </c>
      <c r="E1018" s="3" t="s">
        <v>16</v>
      </c>
    </row>
    <row r="1019" ht="14.25" spans="1:5">
      <c r="A1019" s="2" t="str">
        <f>"2020023428"</f>
        <v>2020023428</v>
      </c>
      <c r="B1019" s="2" t="s">
        <v>524</v>
      </c>
      <c r="C1019" s="2">
        <v>34</v>
      </c>
      <c r="D1019" s="2">
        <v>28</v>
      </c>
      <c r="E1019" s="3" t="s">
        <v>16</v>
      </c>
    </row>
    <row r="1020" ht="14.25" spans="1:5">
      <c r="A1020" s="2" t="str">
        <f>"2020023429"</f>
        <v>2020023429</v>
      </c>
      <c r="B1020" s="2" t="s">
        <v>524</v>
      </c>
      <c r="C1020" s="2">
        <v>34</v>
      </c>
      <c r="D1020" s="2">
        <v>29</v>
      </c>
      <c r="E1020" s="3" t="s">
        <v>16</v>
      </c>
    </row>
    <row r="1021" ht="14.25" spans="1:5">
      <c r="A1021" s="2" t="str">
        <f>"2020023430"</f>
        <v>2020023430</v>
      </c>
      <c r="B1021" s="2" t="s">
        <v>524</v>
      </c>
      <c r="C1021" s="2">
        <v>34</v>
      </c>
      <c r="D1021" s="2">
        <v>30</v>
      </c>
      <c r="E1021" s="3">
        <v>74.7</v>
      </c>
    </row>
    <row r="1022" ht="14.25" spans="1:5">
      <c r="A1022" s="2" t="str">
        <f>"2020023501"</f>
        <v>2020023501</v>
      </c>
      <c r="B1022" s="2" t="s">
        <v>524</v>
      </c>
      <c r="C1022" s="2">
        <v>35</v>
      </c>
      <c r="D1022" s="2">
        <v>1</v>
      </c>
      <c r="E1022" s="3">
        <v>61.7</v>
      </c>
    </row>
    <row r="1023" ht="14.25" spans="1:5">
      <c r="A1023" s="2" t="str">
        <f>"2020023502"</f>
        <v>2020023502</v>
      </c>
      <c r="B1023" s="2" t="s">
        <v>524</v>
      </c>
      <c r="C1023" s="2">
        <v>35</v>
      </c>
      <c r="D1023" s="2">
        <v>2</v>
      </c>
      <c r="E1023" s="3">
        <v>75.1</v>
      </c>
    </row>
    <row r="1024" ht="14.25" spans="1:5">
      <c r="A1024" s="2" t="str">
        <f>"2020023503"</f>
        <v>2020023503</v>
      </c>
      <c r="B1024" s="2" t="s">
        <v>524</v>
      </c>
      <c r="C1024" s="2">
        <v>35</v>
      </c>
      <c r="D1024" s="2">
        <v>3</v>
      </c>
      <c r="E1024" s="3">
        <v>61.1</v>
      </c>
    </row>
    <row r="1025" ht="14.25" spans="1:5">
      <c r="A1025" s="2" t="str">
        <f>"2020023504"</f>
        <v>2020023504</v>
      </c>
      <c r="B1025" s="2" t="s">
        <v>524</v>
      </c>
      <c r="C1025" s="2">
        <v>35</v>
      </c>
      <c r="D1025" s="2">
        <v>4</v>
      </c>
      <c r="E1025" s="3">
        <v>51.4</v>
      </c>
    </row>
    <row r="1026" ht="14.25" spans="1:5">
      <c r="A1026" s="2" t="str">
        <f>"2020023505"</f>
        <v>2020023505</v>
      </c>
      <c r="B1026" s="2" t="s">
        <v>524</v>
      </c>
      <c r="C1026" s="2">
        <v>35</v>
      </c>
      <c r="D1026" s="2">
        <v>5</v>
      </c>
      <c r="E1026" s="3" t="s">
        <v>16</v>
      </c>
    </row>
    <row r="1027" ht="14.25" spans="1:5">
      <c r="A1027" s="2" t="str">
        <f>"2020023506"</f>
        <v>2020023506</v>
      </c>
      <c r="B1027" s="2" t="s">
        <v>524</v>
      </c>
      <c r="C1027" s="2">
        <v>35</v>
      </c>
      <c r="D1027" s="2">
        <v>6</v>
      </c>
      <c r="E1027" s="3">
        <v>75.7</v>
      </c>
    </row>
    <row r="1028" ht="14.25" spans="1:5">
      <c r="A1028" s="2" t="str">
        <f>"2020023507"</f>
        <v>2020023507</v>
      </c>
      <c r="B1028" s="2" t="s">
        <v>524</v>
      </c>
      <c r="C1028" s="2">
        <v>35</v>
      </c>
      <c r="D1028" s="2">
        <v>7</v>
      </c>
      <c r="E1028" s="3">
        <v>65.3</v>
      </c>
    </row>
    <row r="1029" ht="14.25" spans="1:5">
      <c r="A1029" s="2" t="str">
        <f>"2020023508"</f>
        <v>2020023508</v>
      </c>
      <c r="B1029" s="2" t="s">
        <v>524</v>
      </c>
      <c r="C1029" s="2">
        <v>35</v>
      </c>
      <c r="D1029" s="2">
        <v>8</v>
      </c>
      <c r="E1029" s="3">
        <v>58.1</v>
      </c>
    </row>
    <row r="1030" ht="14.25" spans="1:5">
      <c r="A1030" s="2" t="str">
        <f>"2020023509"</f>
        <v>2020023509</v>
      </c>
      <c r="B1030" s="2" t="s">
        <v>524</v>
      </c>
      <c r="C1030" s="2">
        <v>35</v>
      </c>
      <c r="D1030" s="2">
        <v>9</v>
      </c>
      <c r="E1030" s="3">
        <v>71.5</v>
      </c>
    </row>
    <row r="1031" ht="14.25" spans="1:5">
      <c r="A1031" s="2" t="str">
        <f>"2020023510"</f>
        <v>2020023510</v>
      </c>
      <c r="B1031" s="2" t="s">
        <v>524</v>
      </c>
      <c r="C1031" s="2">
        <v>35</v>
      </c>
      <c r="D1031" s="2">
        <v>10</v>
      </c>
      <c r="E1031" s="3" t="s">
        <v>16</v>
      </c>
    </row>
    <row r="1032" ht="14.25" spans="1:5">
      <c r="A1032" s="2" t="str">
        <f>"2020023511"</f>
        <v>2020023511</v>
      </c>
      <c r="B1032" s="2" t="s">
        <v>524</v>
      </c>
      <c r="C1032" s="2">
        <v>35</v>
      </c>
      <c r="D1032" s="2">
        <v>11</v>
      </c>
      <c r="E1032" s="3">
        <v>65.6</v>
      </c>
    </row>
    <row r="1033" ht="14.25" spans="1:5">
      <c r="A1033" s="2" t="str">
        <f>"2020023512"</f>
        <v>2020023512</v>
      </c>
      <c r="B1033" s="2" t="s">
        <v>524</v>
      </c>
      <c r="C1033" s="2">
        <v>35</v>
      </c>
      <c r="D1033" s="2">
        <v>12</v>
      </c>
      <c r="E1033" s="3" t="s">
        <v>16</v>
      </c>
    </row>
    <row r="1034" ht="14.25" spans="1:5">
      <c r="A1034" s="2" t="str">
        <f>"2020023513"</f>
        <v>2020023513</v>
      </c>
      <c r="B1034" s="2" t="s">
        <v>524</v>
      </c>
      <c r="C1034" s="2">
        <v>35</v>
      </c>
      <c r="D1034" s="2">
        <v>13</v>
      </c>
      <c r="E1034" s="3" t="s">
        <v>16</v>
      </c>
    </row>
    <row r="1035" ht="14.25" spans="1:5">
      <c r="A1035" s="2" t="str">
        <f>"2020023514"</f>
        <v>2020023514</v>
      </c>
      <c r="B1035" s="2" t="s">
        <v>524</v>
      </c>
      <c r="C1035" s="2">
        <v>35</v>
      </c>
      <c r="D1035" s="2">
        <v>14</v>
      </c>
      <c r="E1035" s="3">
        <v>55</v>
      </c>
    </row>
    <row r="1036" ht="14.25" spans="1:5">
      <c r="A1036" s="2" t="str">
        <f>"2020023515"</f>
        <v>2020023515</v>
      </c>
      <c r="B1036" s="2" t="s">
        <v>524</v>
      </c>
      <c r="C1036" s="2">
        <v>35</v>
      </c>
      <c r="D1036" s="2">
        <v>15</v>
      </c>
      <c r="E1036" s="3">
        <v>68.9</v>
      </c>
    </row>
    <row r="1037" ht="14.25" spans="1:5">
      <c r="A1037" s="2" t="str">
        <f>"2020023516"</f>
        <v>2020023516</v>
      </c>
      <c r="B1037" s="2" t="s">
        <v>524</v>
      </c>
      <c r="C1037" s="2">
        <v>35</v>
      </c>
      <c r="D1037" s="2">
        <v>16</v>
      </c>
      <c r="E1037" s="3">
        <v>62.4</v>
      </c>
    </row>
    <row r="1038" ht="14.25" spans="1:5">
      <c r="A1038" s="2" t="str">
        <f>"2020023517"</f>
        <v>2020023517</v>
      </c>
      <c r="B1038" s="2" t="s">
        <v>524</v>
      </c>
      <c r="C1038" s="2">
        <v>35</v>
      </c>
      <c r="D1038" s="2">
        <v>17</v>
      </c>
      <c r="E1038" s="3" t="s">
        <v>16</v>
      </c>
    </row>
    <row r="1039" ht="14.25" spans="1:5">
      <c r="A1039" s="2" t="str">
        <f>"2020023518"</f>
        <v>2020023518</v>
      </c>
      <c r="B1039" s="2" t="s">
        <v>524</v>
      </c>
      <c r="C1039" s="2">
        <v>35</v>
      </c>
      <c r="D1039" s="2">
        <v>18</v>
      </c>
      <c r="E1039" s="3" t="s">
        <v>16</v>
      </c>
    </row>
    <row r="1040" ht="14.25" spans="1:5">
      <c r="A1040" s="2" t="str">
        <f>"2020023519"</f>
        <v>2020023519</v>
      </c>
      <c r="B1040" s="2" t="s">
        <v>524</v>
      </c>
      <c r="C1040" s="2">
        <v>35</v>
      </c>
      <c r="D1040" s="2">
        <v>19</v>
      </c>
      <c r="E1040" s="3">
        <v>63.7</v>
      </c>
    </row>
    <row r="1041" ht="14.25" spans="1:5">
      <c r="A1041" s="2" t="str">
        <f>"2020023520"</f>
        <v>2020023520</v>
      </c>
      <c r="B1041" s="2" t="s">
        <v>524</v>
      </c>
      <c r="C1041" s="2">
        <v>35</v>
      </c>
      <c r="D1041" s="2">
        <v>20</v>
      </c>
      <c r="E1041" s="3" t="s">
        <v>16</v>
      </c>
    </row>
    <row r="1042" ht="14.25" spans="1:5">
      <c r="A1042" s="2" t="str">
        <f>"2020023521"</f>
        <v>2020023521</v>
      </c>
      <c r="B1042" s="2" t="s">
        <v>524</v>
      </c>
      <c r="C1042" s="2">
        <v>35</v>
      </c>
      <c r="D1042" s="2">
        <v>21</v>
      </c>
      <c r="E1042" s="3">
        <v>71.5</v>
      </c>
    </row>
    <row r="1043" ht="14.25" spans="1:5">
      <c r="A1043" s="2" t="str">
        <f>"2020023522"</f>
        <v>2020023522</v>
      </c>
      <c r="B1043" s="2" t="s">
        <v>524</v>
      </c>
      <c r="C1043" s="2">
        <v>35</v>
      </c>
      <c r="D1043" s="2">
        <v>22</v>
      </c>
      <c r="E1043" s="3">
        <v>57.8</v>
      </c>
    </row>
    <row r="1044" ht="14.25" spans="1:5">
      <c r="A1044" s="2" t="str">
        <f>"2020023523"</f>
        <v>2020023523</v>
      </c>
      <c r="B1044" s="2" t="s">
        <v>524</v>
      </c>
      <c r="C1044" s="2">
        <v>35</v>
      </c>
      <c r="D1044" s="2">
        <v>23</v>
      </c>
      <c r="E1044" s="3">
        <v>61.1</v>
      </c>
    </row>
    <row r="1045" ht="14.25" spans="1:5">
      <c r="A1045" s="2" t="str">
        <f>"2020023524"</f>
        <v>2020023524</v>
      </c>
      <c r="B1045" s="2" t="s">
        <v>524</v>
      </c>
      <c r="C1045" s="2">
        <v>35</v>
      </c>
      <c r="D1045" s="2">
        <v>24</v>
      </c>
      <c r="E1045" s="3" t="s">
        <v>16</v>
      </c>
    </row>
    <row r="1046" ht="14.25" spans="1:5">
      <c r="A1046" s="2" t="str">
        <f>"2020023525"</f>
        <v>2020023525</v>
      </c>
      <c r="B1046" s="2" t="s">
        <v>524</v>
      </c>
      <c r="C1046" s="2">
        <v>35</v>
      </c>
      <c r="D1046" s="2">
        <v>25</v>
      </c>
      <c r="E1046" s="3">
        <v>66.6</v>
      </c>
    </row>
    <row r="1047" ht="14.25" spans="1:5">
      <c r="A1047" s="2" t="str">
        <f>"2020023526"</f>
        <v>2020023526</v>
      </c>
      <c r="B1047" s="2" t="s">
        <v>524</v>
      </c>
      <c r="C1047" s="2">
        <v>35</v>
      </c>
      <c r="D1047" s="2">
        <v>26</v>
      </c>
      <c r="E1047" s="3">
        <v>54.6</v>
      </c>
    </row>
    <row r="1048" ht="14.25" spans="1:5">
      <c r="A1048" s="2" t="str">
        <f>"2020023527"</f>
        <v>2020023527</v>
      </c>
      <c r="B1048" s="2" t="s">
        <v>524</v>
      </c>
      <c r="C1048" s="2">
        <v>35</v>
      </c>
      <c r="D1048" s="2">
        <v>27</v>
      </c>
      <c r="E1048" s="3">
        <v>56.5</v>
      </c>
    </row>
    <row r="1049" ht="14.25" spans="1:5">
      <c r="A1049" s="2" t="str">
        <f>"2020023528"</f>
        <v>2020023528</v>
      </c>
      <c r="B1049" s="2" t="s">
        <v>524</v>
      </c>
      <c r="C1049" s="2">
        <v>35</v>
      </c>
      <c r="D1049" s="2">
        <v>28</v>
      </c>
      <c r="E1049" s="3">
        <v>62.1</v>
      </c>
    </row>
    <row r="1050" ht="14.25" spans="1:5">
      <c r="A1050" s="2" t="str">
        <f>"2020023529"</f>
        <v>2020023529</v>
      </c>
      <c r="B1050" s="2" t="s">
        <v>524</v>
      </c>
      <c r="C1050" s="2">
        <v>35</v>
      </c>
      <c r="D1050" s="2">
        <v>29</v>
      </c>
      <c r="E1050" s="3">
        <v>61.7</v>
      </c>
    </row>
    <row r="1051" ht="14.25" spans="1:5">
      <c r="A1051" s="2" t="str">
        <f>"2020023530"</f>
        <v>2020023530</v>
      </c>
      <c r="B1051" s="2" t="s">
        <v>524</v>
      </c>
      <c r="C1051" s="2">
        <v>35</v>
      </c>
      <c r="D1051" s="2">
        <v>30</v>
      </c>
      <c r="E1051" s="3" t="s">
        <v>16</v>
      </c>
    </row>
    <row r="1052" ht="14.25" spans="1:5">
      <c r="A1052" s="2" t="str">
        <f>"2020023601"</f>
        <v>2020023601</v>
      </c>
      <c r="B1052" s="2" t="s">
        <v>524</v>
      </c>
      <c r="C1052" s="2">
        <v>36</v>
      </c>
      <c r="D1052" s="2">
        <v>1</v>
      </c>
      <c r="E1052" s="3">
        <v>58.4</v>
      </c>
    </row>
    <row r="1053" ht="14.25" spans="1:5">
      <c r="A1053" s="2" t="str">
        <f>"2020023602"</f>
        <v>2020023602</v>
      </c>
      <c r="B1053" s="2" t="s">
        <v>524</v>
      </c>
      <c r="C1053" s="2">
        <v>36</v>
      </c>
      <c r="D1053" s="2">
        <v>2</v>
      </c>
      <c r="E1053" s="3" t="s">
        <v>16</v>
      </c>
    </row>
    <row r="1054" ht="14.25" spans="1:5">
      <c r="A1054" s="2" t="str">
        <f>"2020023603"</f>
        <v>2020023603</v>
      </c>
      <c r="B1054" s="2" t="s">
        <v>524</v>
      </c>
      <c r="C1054" s="2">
        <v>36</v>
      </c>
      <c r="D1054" s="2">
        <v>3</v>
      </c>
      <c r="E1054" s="3">
        <v>66.5</v>
      </c>
    </row>
    <row r="1055" ht="14.25" spans="1:5">
      <c r="A1055" s="2" t="str">
        <f>"2020023604"</f>
        <v>2020023604</v>
      </c>
      <c r="B1055" s="2" t="s">
        <v>524</v>
      </c>
      <c r="C1055" s="2">
        <v>36</v>
      </c>
      <c r="D1055" s="2">
        <v>4</v>
      </c>
      <c r="E1055" s="3" t="s">
        <v>16</v>
      </c>
    </row>
    <row r="1056" ht="14.25" spans="1:5">
      <c r="A1056" s="2" t="str">
        <f>"2020023605"</f>
        <v>2020023605</v>
      </c>
      <c r="B1056" s="2" t="s">
        <v>524</v>
      </c>
      <c r="C1056" s="2">
        <v>36</v>
      </c>
      <c r="D1056" s="2">
        <v>5</v>
      </c>
      <c r="E1056" s="3" t="s">
        <v>16</v>
      </c>
    </row>
    <row r="1057" ht="14.25" spans="1:5">
      <c r="A1057" s="2" t="str">
        <f>"2020023606"</f>
        <v>2020023606</v>
      </c>
      <c r="B1057" s="2" t="s">
        <v>524</v>
      </c>
      <c r="C1057" s="2">
        <v>36</v>
      </c>
      <c r="D1057" s="2">
        <v>6</v>
      </c>
      <c r="E1057" s="3">
        <v>69.5</v>
      </c>
    </row>
    <row r="1058" ht="14.25" spans="1:5">
      <c r="A1058" s="2" t="str">
        <f>"2020023607"</f>
        <v>2020023607</v>
      </c>
      <c r="B1058" s="2" t="s">
        <v>524</v>
      </c>
      <c r="C1058" s="2">
        <v>36</v>
      </c>
      <c r="D1058" s="2">
        <v>7</v>
      </c>
      <c r="E1058" s="3">
        <v>61.5</v>
      </c>
    </row>
    <row r="1059" ht="14.25" spans="1:5">
      <c r="A1059" s="2" t="str">
        <f>"2020023608"</f>
        <v>2020023608</v>
      </c>
      <c r="B1059" s="2" t="s">
        <v>524</v>
      </c>
      <c r="C1059" s="2">
        <v>36</v>
      </c>
      <c r="D1059" s="2">
        <v>8</v>
      </c>
      <c r="E1059" s="3">
        <v>62.3</v>
      </c>
    </row>
    <row r="1060" ht="14.25" spans="1:5">
      <c r="A1060" s="2" t="str">
        <f>"2020023609"</f>
        <v>2020023609</v>
      </c>
      <c r="B1060" s="2" t="s">
        <v>524</v>
      </c>
      <c r="C1060" s="2">
        <v>36</v>
      </c>
      <c r="D1060" s="2">
        <v>9</v>
      </c>
      <c r="E1060" s="3" t="s">
        <v>16</v>
      </c>
    </row>
    <row r="1061" ht="14.25" spans="1:5">
      <c r="A1061" s="2" t="str">
        <f>"2020023610"</f>
        <v>2020023610</v>
      </c>
      <c r="B1061" s="2" t="s">
        <v>524</v>
      </c>
      <c r="C1061" s="2">
        <v>36</v>
      </c>
      <c r="D1061" s="2">
        <v>10</v>
      </c>
      <c r="E1061" s="3">
        <v>75</v>
      </c>
    </row>
    <row r="1062" ht="14.25" spans="1:5">
      <c r="A1062" s="2" t="str">
        <f>"2020023611"</f>
        <v>2020023611</v>
      </c>
      <c r="B1062" s="2" t="s">
        <v>524</v>
      </c>
      <c r="C1062" s="2">
        <v>36</v>
      </c>
      <c r="D1062" s="2">
        <v>11</v>
      </c>
      <c r="E1062" s="3">
        <v>48.5</v>
      </c>
    </row>
    <row r="1063" ht="14.25" spans="1:5">
      <c r="A1063" s="2" t="str">
        <f>"2020023612"</f>
        <v>2020023612</v>
      </c>
      <c r="B1063" s="2" t="s">
        <v>524</v>
      </c>
      <c r="C1063" s="2">
        <v>36</v>
      </c>
      <c r="D1063" s="2">
        <v>12</v>
      </c>
      <c r="E1063" s="3">
        <v>48.9</v>
      </c>
    </row>
    <row r="1064" ht="14.25" spans="1:5">
      <c r="A1064" s="2" t="str">
        <f>"2020023613"</f>
        <v>2020023613</v>
      </c>
      <c r="B1064" s="2" t="s">
        <v>524</v>
      </c>
      <c r="C1064" s="2">
        <v>36</v>
      </c>
      <c r="D1064" s="2">
        <v>13</v>
      </c>
      <c r="E1064" s="3" t="s">
        <v>16</v>
      </c>
    </row>
    <row r="1065" ht="14.25" spans="1:5">
      <c r="A1065" s="2" t="str">
        <f>"2020023614"</f>
        <v>2020023614</v>
      </c>
      <c r="B1065" s="2" t="s">
        <v>524</v>
      </c>
      <c r="C1065" s="2">
        <v>36</v>
      </c>
      <c r="D1065" s="2">
        <v>14</v>
      </c>
      <c r="E1065" s="3" t="s">
        <v>16</v>
      </c>
    </row>
    <row r="1066" ht="14.25" spans="1:5">
      <c r="A1066" s="2" t="str">
        <f>"2020023615"</f>
        <v>2020023615</v>
      </c>
      <c r="B1066" s="2" t="s">
        <v>524</v>
      </c>
      <c r="C1066" s="2">
        <v>36</v>
      </c>
      <c r="D1066" s="2">
        <v>15</v>
      </c>
      <c r="E1066" s="3">
        <v>71.5</v>
      </c>
    </row>
    <row r="1067" ht="14.25" spans="1:5">
      <c r="A1067" s="2" t="str">
        <f>"2020023616"</f>
        <v>2020023616</v>
      </c>
      <c r="B1067" s="2" t="s">
        <v>524</v>
      </c>
      <c r="C1067" s="2">
        <v>36</v>
      </c>
      <c r="D1067" s="2">
        <v>16</v>
      </c>
      <c r="E1067" s="3">
        <v>64.6</v>
      </c>
    </row>
    <row r="1068" ht="14.25" spans="1:5">
      <c r="A1068" s="2" t="str">
        <f>"2020023617"</f>
        <v>2020023617</v>
      </c>
      <c r="B1068" s="2" t="s">
        <v>524</v>
      </c>
      <c r="C1068" s="2">
        <v>36</v>
      </c>
      <c r="D1068" s="2">
        <v>17</v>
      </c>
      <c r="E1068" s="3">
        <v>67.8</v>
      </c>
    </row>
    <row r="1069" ht="14.25" spans="1:5">
      <c r="A1069" s="2" t="str">
        <f>"2020023618"</f>
        <v>2020023618</v>
      </c>
      <c r="B1069" s="2" t="s">
        <v>524</v>
      </c>
      <c r="C1069" s="2">
        <v>36</v>
      </c>
      <c r="D1069" s="2">
        <v>18</v>
      </c>
      <c r="E1069" s="3">
        <v>57.2</v>
      </c>
    </row>
    <row r="1070" ht="14.25" spans="1:5">
      <c r="A1070" s="2" t="str">
        <f>"2020023619"</f>
        <v>2020023619</v>
      </c>
      <c r="B1070" s="2" t="s">
        <v>524</v>
      </c>
      <c r="C1070" s="2">
        <v>36</v>
      </c>
      <c r="D1070" s="2">
        <v>19</v>
      </c>
      <c r="E1070" s="3">
        <v>68.2</v>
      </c>
    </row>
    <row r="1071" ht="14.25" spans="1:5">
      <c r="A1071" s="2" t="str">
        <f>"2020023620"</f>
        <v>2020023620</v>
      </c>
      <c r="B1071" s="2" t="s">
        <v>524</v>
      </c>
      <c r="C1071" s="2">
        <v>36</v>
      </c>
      <c r="D1071" s="2">
        <v>20</v>
      </c>
      <c r="E1071" s="3" t="s">
        <v>16</v>
      </c>
    </row>
    <row r="1072" ht="14.25" spans="1:5">
      <c r="A1072" s="2" t="str">
        <f>"2020023621"</f>
        <v>2020023621</v>
      </c>
      <c r="B1072" s="2" t="s">
        <v>524</v>
      </c>
      <c r="C1072" s="2">
        <v>36</v>
      </c>
      <c r="D1072" s="2">
        <v>21</v>
      </c>
      <c r="E1072" s="3">
        <v>66.2</v>
      </c>
    </row>
    <row r="1073" ht="14.25" spans="1:5">
      <c r="A1073" s="2" t="str">
        <f>"2020023622"</f>
        <v>2020023622</v>
      </c>
      <c r="B1073" s="2" t="s">
        <v>524</v>
      </c>
      <c r="C1073" s="2">
        <v>36</v>
      </c>
      <c r="D1073" s="2">
        <v>22</v>
      </c>
      <c r="E1073" s="3">
        <v>78</v>
      </c>
    </row>
    <row r="1074" ht="14.25" spans="1:5">
      <c r="A1074" s="2" t="str">
        <f>"2020023623"</f>
        <v>2020023623</v>
      </c>
      <c r="B1074" s="2" t="s">
        <v>524</v>
      </c>
      <c r="C1074" s="2">
        <v>36</v>
      </c>
      <c r="D1074" s="2">
        <v>23</v>
      </c>
      <c r="E1074" s="3">
        <v>62.9</v>
      </c>
    </row>
    <row r="1075" ht="14.25" spans="1:5">
      <c r="A1075" s="2" t="str">
        <f>"2020023624"</f>
        <v>2020023624</v>
      </c>
      <c r="B1075" s="2" t="s">
        <v>524</v>
      </c>
      <c r="C1075" s="2">
        <v>36</v>
      </c>
      <c r="D1075" s="2">
        <v>24</v>
      </c>
      <c r="E1075" s="3">
        <v>68.8</v>
      </c>
    </row>
    <row r="1076" ht="14.25" spans="1:5">
      <c r="A1076" s="2" t="str">
        <f>"2020023625"</f>
        <v>2020023625</v>
      </c>
      <c r="B1076" s="2" t="s">
        <v>524</v>
      </c>
      <c r="C1076" s="2">
        <v>36</v>
      </c>
      <c r="D1076" s="2">
        <v>25</v>
      </c>
      <c r="E1076" s="3">
        <v>58.4</v>
      </c>
    </row>
    <row r="1077" ht="14.25" spans="1:5">
      <c r="A1077" s="2" t="str">
        <f>"2020023626"</f>
        <v>2020023626</v>
      </c>
      <c r="B1077" s="2" t="s">
        <v>524</v>
      </c>
      <c r="C1077" s="2">
        <v>36</v>
      </c>
      <c r="D1077" s="2">
        <v>26</v>
      </c>
      <c r="E1077" s="3">
        <v>62.9</v>
      </c>
    </row>
    <row r="1078" ht="14.25" spans="1:5">
      <c r="A1078" s="2" t="str">
        <f>"2020023627"</f>
        <v>2020023627</v>
      </c>
      <c r="B1078" s="2" t="s">
        <v>524</v>
      </c>
      <c r="C1078" s="2">
        <v>36</v>
      </c>
      <c r="D1078" s="2">
        <v>27</v>
      </c>
      <c r="E1078" s="3" t="s">
        <v>16</v>
      </c>
    </row>
    <row r="1079" ht="14.25" spans="1:5">
      <c r="A1079" s="2" t="str">
        <f>"2020023628"</f>
        <v>2020023628</v>
      </c>
      <c r="B1079" s="2" t="s">
        <v>524</v>
      </c>
      <c r="C1079" s="2">
        <v>36</v>
      </c>
      <c r="D1079" s="2">
        <v>28</v>
      </c>
      <c r="E1079" s="3">
        <v>66.6</v>
      </c>
    </row>
    <row r="1080" ht="14.25" spans="1:5">
      <c r="A1080" s="2" t="str">
        <f>"2020023629"</f>
        <v>2020023629</v>
      </c>
      <c r="B1080" s="2" t="s">
        <v>524</v>
      </c>
      <c r="C1080" s="2">
        <v>36</v>
      </c>
      <c r="D1080" s="2">
        <v>29</v>
      </c>
      <c r="E1080" s="3">
        <v>80</v>
      </c>
    </row>
    <row r="1081" ht="14.25" spans="1:5">
      <c r="A1081" s="2" t="str">
        <f>"2020023630"</f>
        <v>2020023630</v>
      </c>
      <c r="B1081" s="2" t="s">
        <v>524</v>
      </c>
      <c r="C1081" s="2">
        <v>36</v>
      </c>
      <c r="D1081" s="2">
        <v>30</v>
      </c>
      <c r="E1081" s="3">
        <v>68.5</v>
      </c>
    </row>
    <row r="1082" ht="14.25" spans="1:5">
      <c r="A1082" s="2" t="str">
        <f>"2020023701"</f>
        <v>2020023701</v>
      </c>
      <c r="B1082" s="2" t="s">
        <v>524</v>
      </c>
      <c r="C1082" s="2">
        <v>37</v>
      </c>
      <c r="D1082" s="2">
        <v>1</v>
      </c>
      <c r="E1082" s="3" t="s">
        <v>16</v>
      </c>
    </row>
    <row r="1083" ht="14.25" spans="1:5">
      <c r="A1083" s="2" t="str">
        <f>"2020023702"</f>
        <v>2020023702</v>
      </c>
      <c r="B1083" s="2" t="s">
        <v>524</v>
      </c>
      <c r="C1083" s="2">
        <v>37</v>
      </c>
      <c r="D1083" s="2">
        <v>2</v>
      </c>
      <c r="E1083" s="3">
        <v>54.8</v>
      </c>
    </row>
    <row r="1084" ht="14.25" spans="1:5">
      <c r="A1084" s="2" t="str">
        <f>"2020023703"</f>
        <v>2020023703</v>
      </c>
      <c r="B1084" s="2" t="s">
        <v>524</v>
      </c>
      <c r="C1084" s="2">
        <v>37</v>
      </c>
      <c r="D1084" s="2">
        <v>3</v>
      </c>
      <c r="E1084" s="3">
        <v>79.1</v>
      </c>
    </row>
    <row r="1085" ht="14.25" spans="1:5">
      <c r="A1085" s="2" t="str">
        <f>"2020023704"</f>
        <v>2020023704</v>
      </c>
      <c r="B1085" s="2" t="s">
        <v>524</v>
      </c>
      <c r="C1085" s="2">
        <v>37</v>
      </c>
      <c r="D1085" s="2">
        <v>4</v>
      </c>
      <c r="E1085" s="3">
        <v>53.6</v>
      </c>
    </row>
    <row r="1086" ht="14.25" spans="1:5">
      <c r="A1086" s="2" t="str">
        <f>"2020023705"</f>
        <v>2020023705</v>
      </c>
      <c r="B1086" s="2" t="s">
        <v>524</v>
      </c>
      <c r="C1086" s="2">
        <v>37</v>
      </c>
      <c r="D1086" s="2">
        <v>5</v>
      </c>
      <c r="E1086" s="3">
        <v>46.5</v>
      </c>
    </row>
    <row r="1087" ht="14.25" spans="1:5">
      <c r="A1087" s="2" t="str">
        <f>"2020023706"</f>
        <v>2020023706</v>
      </c>
      <c r="B1087" s="2" t="s">
        <v>524</v>
      </c>
      <c r="C1087" s="2">
        <v>37</v>
      </c>
      <c r="D1087" s="2">
        <v>6</v>
      </c>
      <c r="E1087" s="3">
        <v>77.7</v>
      </c>
    </row>
    <row r="1088" ht="14.25" spans="1:5">
      <c r="A1088" s="2" t="str">
        <f>"2020023707"</f>
        <v>2020023707</v>
      </c>
      <c r="B1088" s="2" t="s">
        <v>524</v>
      </c>
      <c r="C1088" s="2">
        <v>37</v>
      </c>
      <c r="D1088" s="2">
        <v>7</v>
      </c>
      <c r="E1088" s="3">
        <v>57.7</v>
      </c>
    </row>
    <row r="1089" ht="14.25" spans="1:5">
      <c r="A1089" s="2" t="str">
        <f>"2020023708"</f>
        <v>2020023708</v>
      </c>
      <c r="B1089" s="2" t="s">
        <v>524</v>
      </c>
      <c r="C1089" s="2">
        <v>37</v>
      </c>
      <c r="D1089" s="2">
        <v>8</v>
      </c>
      <c r="E1089" s="3">
        <v>46.5</v>
      </c>
    </row>
    <row r="1090" ht="14.25" spans="1:5">
      <c r="A1090" s="2" t="str">
        <f>"2020023709"</f>
        <v>2020023709</v>
      </c>
      <c r="B1090" s="2" t="s">
        <v>524</v>
      </c>
      <c r="C1090" s="2">
        <v>37</v>
      </c>
      <c r="D1090" s="2">
        <v>9</v>
      </c>
      <c r="E1090" s="3">
        <v>63</v>
      </c>
    </row>
    <row r="1091" ht="14.25" spans="1:5">
      <c r="A1091" s="2" t="str">
        <f>"2020023710"</f>
        <v>2020023710</v>
      </c>
      <c r="B1091" s="2" t="s">
        <v>524</v>
      </c>
      <c r="C1091" s="2">
        <v>37</v>
      </c>
      <c r="D1091" s="2">
        <v>10</v>
      </c>
      <c r="E1091" s="3">
        <v>70.9</v>
      </c>
    </row>
    <row r="1092" ht="14.25" spans="1:5">
      <c r="A1092" s="2" t="str">
        <f>"2020023711"</f>
        <v>2020023711</v>
      </c>
      <c r="B1092" s="2" t="s">
        <v>524</v>
      </c>
      <c r="C1092" s="2">
        <v>37</v>
      </c>
      <c r="D1092" s="2">
        <v>11</v>
      </c>
      <c r="E1092" s="3">
        <v>72.2</v>
      </c>
    </row>
    <row r="1093" ht="14.25" spans="1:5">
      <c r="A1093" s="2" t="str">
        <f>"2020023712"</f>
        <v>2020023712</v>
      </c>
      <c r="B1093" s="2" t="s">
        <v>524</v>
      </c>
      <c r="C1093" s="2">
        <v>37</v>
      </c>
      <c r="D1093" s="2">
        <v>12</v>
      </c>
      <c r="E1093" s="3">
        <v>70.9</v>
      </c>
    </row>
    <row r="1094" ht="14.25" spans="1:5">
      <c r="A1094" s="2" t="str">
        <f>"2020023713"</f>
        <v>2020023713</v>
      </c>
      <c r="B1094" s="2" t="s">
        <v>524</v>
      </c>
      <c r="C1094" s="2">
        <v>37</v>
      </c>
      <c r="D1094" s="2">
        <v>13</v>
      </c>
      <c r="E1094" s="3">
        <v>61.7</v>
      </c>
    </row>
    <row r="1095" ht="14.25" spans="1:5">
      <c r="A1095" s="2" t="str">
        <f>"2020023714"</f>
        <v>2020023714</v>
      </c>
      <c r="B1095" s="2" t="s">
        <v>524</v>
      </c>
      <c r="C1095" s="2">
        <v>37</v>
      </c>
      <c r="D1095" s="2">
        <v>14</v>
      </c>
      <c r="E1095" s="3">
        <v>53.8</v>
      </c>
    </row>
    <row r="1096" ht="14.25" spans="1:5">
      <c r="A1096" s="2" t="str">
        <f>"2020023715"</f>
        <v>2020023715</v>
      </c>
      <c r="B1096" s="2" t="s">
        <v>524</v>
      </c>
      <c r="C1096" s="2">
        <v>37</v>
      </c>
      <c r="D1096" s="2">
        <v>15</v>
      </c>
      <c r="E1096" s="3">
        <v>49.5</v>
      </c>
    </row>
    <row r="1097" ht="14.25" spans="1:5">
      <c r="A1097" s="2" t="str">
        <f>"2020023716"</f>
        <v>2020023716</v>
      </c>
      <c r="B1097" s="2" t="s">
        <v>524</v>
      </c>
      <c r="C1097" s="2">
        <v>37</v>
      </c>
      <c r="D1097" s="2">
        <v>16</v>
      </c>
      <c r="E1097" s="3">
        <v>68</v>
      </c>
    </row>
    <row r="1098" ht="14.25" spans="1:5">
      <c r="A1098" s="2" t="str">
        <f>"2020023717"</f>
        <v>2020023717</v>
      </c>
      <c r="B1098" s="2" t="s">
        <v>524</v>
      </c>
      <c r="C1098" s="2">
        <v>37</v>
      </c>
      <c r="D1098" s="2">
        <v>17</v>
      </c>
      <c r="E1098" s="3">
        <v>64.3</v>
      </c>
    </row>
    <row r="1099" ht="14.25" spans="1:5">
      <c r="A1099" s="2" t="str">
        <f>"2020023718"</f>
        <v>2020023718</v>
      </c>
      <c r="B1099" s="2" t="s">
        <v>524</v>
      </c>
      <c r="C1099" s="2">
        <v>37</v>
      </c>
      <c r="D1099" s="2">
        <v>18</v>
      </c>
      <c r="E1099" s="3">
        <v>67.6</v>
      </c>
    </row>
    <row r="1100" ht="14.25" spans="1:5">
      <c r="A1100" s="2" t="str">
        <f>"2020023719"</f>
        <v>2020023719</v>
      </c>
      <c r="B1100" s="2" t="s">
        <v>524</v>
      </c>
      <c r="C1100" s="2">
        <v>37</v>
      </c>
      <c r="D1100" s="2">
        <v>19</v>
      </c>
      <c r="E1100" s="3">
        <v>59.4</v>
      </c>
    </row>
    <row r="1101" ht="14.25" spans="1:5">
      <c r="A1101" s="2" t="str">
        <f>"2020023720"</f>
        <v>2020023720</v>
      </c>
      <c r="B1101" s="2" t="s">
        <v>524</v>
      </c>
      <c r="C1101" s="2">
        <v>37</v>
      </c>
      <c r="D1101" s="2">
        <v>20</v>
      </c>
      <c r="E1101" s="3">
        <v>67.6</v>
      </c>
    </row>
    <row r="1102" ht="14.25" spans="1:5">
      <c r="A1102" s="2" t="str">
        <f>"2020023721"</f>
        <v>2020023721</v>
      </c>
      <c r="B1102" s="2" t="s">
        <v>524</v>
      </c>
      <c r="C1102" s="2">
        <v>37</v>
      </c>
      <c r="D1102" s="2">
        <v>21</v>
      </c>
      <c r="E1102" s="3">
        <v>48.8</v>
      </c>
    </row>
    <row r="1103" ht="14.25" spans="1:5">
      <c r="A1103" s="2" t="str">
        <f>"2020023722"</f>
        <v>2020023722</v>
      </c>
      <c r="B1103" s="2" t="s">
        <v>524</v>
      </c>
      <c r="C1103" s="2">
        <v>37</v>
      </c>
      <c r="D1103" s="2">
        <v>22</v>
      </c>
      <c r="E1103" s="3">
        <v>59.4</v>
      </c>
    </row>
    <row r="1104" ht="14.25" spans="1:5">
      <c r="A1104" s="2" t="str">
        <f>"2020023723"</f>
        <v>2020023723</v>
      </c>
      <c r="B1104" s="2" t="s">
        <v>524</v>
      </c>
      <c r="C1104" s="2">
        <v>37</v>
      </c>
      <c r="D1104" s="2">
        <v>23</v>
      </c>
      <c r="E1104" s="3" t="s">
        <v>16</v>
      </c>
    </row>
    <row r="1105" ht="14.25" spans="1:5">
      <c r="A1105" s="2" t="str">
        <f>"2020023724"</f>
        <v>2020023724</v>
      </c>
      <c r="B1105" s="2" t="s">
        <v>524</v>
      </c>
      <c r="C1105" s="2">
        <v>37</v>
      </c>
      <c r="D1105" s="2">
        <v>24</v>
      </c>
      <c r="E1105" s="3">
        <v>68.5</v>
      </c>
    </row>
    <row r="1106" ht="14.25" spans="1:5">
      <c r="A1106" s="2" t="str">
        <f>"2020023725"</f>
        <v>2020023725</v>
      </c>
      <c r="B1106" s="2" t="s">
        <v>524</v>
      </c>
      <c r="C1106" s="2">
        <v>37</v>
      </c>
      <c r="D1106" s="2">
        <v>25</v>
      </c>
      <c r="E1106" s="3">
        <v>61.7</v>
      </c>
    </row>
    <row r="1107" ht="14.25" spans="1:5">
      <c r="A1107" s="2" t="str">
        <f>"2020023726"</f>
        <v>2020023726</v>
      </c>
      <c r="B1107" s="2" t="s">
        <v>524</v>
      </c>
      <c r="C1107" s="2">
        <v>37</v>
      </c>
      <c r="D1107" s="2">
        <v>26</v>
      </c>
      <c r="E1107" s="3" t="s">
        <v>16</v>
      </c>
    </row>
    <row r="1108" ht="14.25" spans="1:5">
      <c r="A1108" s="2" t="str">
        <f>"2020023727"</f>
        <v>2020023727</v>
      </c>
      <c r="B1108" s="2" t="s">
        <v>524</v>
      </c>
      <c r="C1108" s="2">
        <v>37</v>
      </c>
      <c r="D1108" s="2">
        <v>27</v>
      </c>
      <c r="E1108" s="3" t="s">
        <v>16</v>
      </c>
    </row>
    <row r="1109" ht="14.25" spans="1:5">
      <c r="A1109" s="2" t="str">
        <f>"2020023728"</f>
        <v>2020023728</v>
      </c>
      <c r="B1109" s="2" t="s">
        <v>524</v>
      </c>
      <c r="C1109" s="2">
        <v>37</v>
      </c>
      <c r="D1109" s="2">
        <v>28</v>
      </c>
      <c r="E1109" s="3">
        <v>61.1</v>
      </c>
    </row>
    <row r="1110" ht="14.25" spans="1:5">
      <c r="A1110" s="2" t="str">
        <f>"2020023729"</f>
        <v>2020023729</v>
      </c>
      <c r="B1110" s="2" t="s">
        <v>524</v>
      </c>
      <c r="C1110" s="2">
        <v>37</v>
      </c>
      <c r="D1110" s="2">
        <v>29</v>
      </c>
      <c r="E1110" s="3">
        <v>71.1</v>
      </c>
    </row>
    <row r="1111" ht="14.25" spans="1:5">
      <c r="A1111" s="2" t="str">
        <f>"2020023730"</f>
        <v>2020023730</v>
      </c>
      <c r="B1111" s="2" t="s">
        <v>524</v>
      </c>
      <c r="C1111" s="2">
        <v>37</v>
      </c>
      <c r="D1111" s="2">
        <v>30</v>
      </c>
      <c r="E1111" s="3">
        <v>68.1</v>
      </c>
    </row>
    <row r="1112" ht="14.25" spans="1:5">
      <c r="A1112" s="2" t="str">
        <f>"2020023801"</f>
        <v>2020023801</v>
      </c>
      <c r="B1112" s="2" t="s">
        <v>524</v>
      </c>
      <c r="C1112" s="2">
        <v>38</v>
      </c>
      <c r="D1112" s="2">
        <v>1</v>
      </c>
      <c r="E1112" s="3" t="s">
        <v>16</v>
      </c>
    </row>
    <row r="1113" ht="14.25" spans="1:5">
      <c r="A1113" s="2" t="str">
        <f>"2020023802"</f>
        <v>2020023802</v>
      </c>
      <c r="B1113" s="2" t="s">
        <v>524</v>
      </c>
      <c r="C1113" s="2">
        <v>38</v>
      </c>
      <c r="D1113" s="2">
        <v>2</v>
      </c>
      <c r="E1113" s="3">
        <v>71.4</v>
      </c>
    </row>
    <row r="1114" ht="14.25" spans="1:5">
      <c r="A1114" s="2" t="str">
        <f>"2020023803"</f>
        <v>2020023803</v>
      </c>
      <c r="B1114" s="2" t="s">
        <v>524</v>
      </c>
      <c r="C1114" s="2">
        <v>38</v>
      </c>
      <c r="D1114" s="2">
        <v>3</v>
      </c>
      <c r="E1114" s="3">
        <v>71.5</v>
      </c>
    </row>
    <row r="1115" ht="14.25" spans="1:5">
      <c r="A1115" s="2" t="str">
        <f>"2020023804"</f>
        <v>2020023804</v>
      </c>
      <c r="B1115" s="2" t="s">
        <v>524</v>
      </c>
      <c r="C1115" s="2">
        <v>38</v>
      </c>
      <c r="D1115" s="2">
        <v>4</v>
      </c>
      <c r="E1115" s="3" t="s">
        <v>16</v>
      </c>
    </row>
    <row r="1116" ht="14.25" spans="1:5">
      <c r="A1116" s="2" t="str">
        <f>"2020023805"</f>
        <v>2020023805</v>
      </c>
      <c r="B1116" s="2" t="s">
        <v>524</v>
      </c>
      <c r="C1116" s="2">
        <v>38</v>
      </c>
      <c r="D1116" s="2">
        <v>5</v>
      </c>
      <c r="E1116" s="3">
        <v>58.4</v>
      </c>
    </row>
    <row r="1117" ht="14.25" spans="1:5">
      <c r="A1117" s="2" t="str">
        <f>"2020023806"</f>
        <v>2020023806</v>
      </c>
      <c r="B1117" s="2" t="s">
        <v>524</v>
      </c>
      <c r="C1117" s="2">
        <v>38</v>
      </c>
      <c r="D1117" s="2">
        <v>6</v>
      </c>
      <c r="E1117" s="3">
        <v>55.8</v>
      </c>
    </row>
    <row r="1118" ht="14.25" spans="1:5">
      <c r="A1118" s="2" t="str">
        <f>"2020023807"</f>
        <v>2020023807</v>
      </c>
      <c r="B1118" s="2" t="s">
        <v>524</v>
      </c>
      <c r="C1118" s="2">
        <v>38</v>
      </c>
      <c r="D1118" s="2">
        <v>7</v>
      </c>
      <c r="E1118" s="3" t="s">
        <v>16</v>
      </c>
    </row>
    <row r="1119" ht="14.25" spans="1:5">
      <c r="A1119" s="2" t="str">
        <f>"2020023808"</f>
        <v>2020023808</v>
      </c>
      <c r="B1119" s="2" t="s">
        <v>524</v>
      </c>
      <c r="C1119" s="2">
        <v>38</v>
      </c>
      <c r="D1119" s="2">
        <v>8</v>
      </c>
      <c r="E1119" s="3" t="s">
        <v>16</v>
      </c>
    </row>
    <row r="1120" ht="14.25" spans="1:5">
      <c r="A1120" s="2" t="str">
        <f>"2020023809"</f>
        <v>2020023809</v>
      </c>
      <c r="B1120" s="2" t="s">
        <v>524</v>
      </c>
      <c r="C1120" s="2">
        <v>38</v>
      </c>
      <c r="D1120" s="2">
        <v>9</v>
      </c>
      <c r="E1120" s="3">
        <v>66.6</v>
      </c>
    </row>
    <row r="1121" ht="14.25" spans="1:5">
      <c r="A1121" s="2" t="str">
        <f>"2020023810"</f>
        <v>2020023810</v>
      </c>
      <c r="B1121" s="2" t="s">
        <v>524</v>
      </c>
      <c r="C1121" s="2">
        <v>38</v>
      </c>
      <c r="D1121" s="2">
        <v>10</v>
      </c>
      <c r="E1121" s="3">
        <v>65.9</v>
      </c>
    </row>
    <row r="1122" ht="14.25" spans="1:5">
      <c r="A1122" s="2" t="str">
        <f>"2020023811"</f>
        <v>2020023811</v>
      </c>
      <c r="B1122" s="2" t="s">
        <v>524</v>
      </c>
      <c r="C1122" s="2">
        <v>38</v>
      </c>
      <c r="D1122" s="2">
        <v>11</v>
      </c>
      <c r="E1122" s="3">
        <v>54.1</v>
      </c>
    </row>
    <row r="1123" ht="14.25" spans="1:5">
      <c r="A1123" s="2" t="str">
        <f>"2020023812"</f>
        <v>2020023812</v>
      </c>
      <c r="B1123" s="2" t="s">
        <v>524</v>
      </c>
      <c r="C1123" s="2">
        <v>38</v>
      </c>
      <c r="D1123" s="2">
        <v>12</v>
      </c>
      <c r="E1123" s="3" t="s">
        <v>16</v>
      </c>
    </row>
    <row r="1124" ht="14.25" spans="1:5">
      <c r="A1124" s="2" t="str">
        <f>"2020023813"</f>
        <v>2020023813</v>
      </c>
      <c r="B1124" s="2" t="s">
        <v>524</v>
      </c>
      <c r="C1124" s="2">
        <v>38</v>
      </c>
      <c r="D1124" s="2">
        <v>13</v>
      </c>
      <c r="E1124" s="3" t="s">
        <v>16</v>
      </c>
    </row>
    <row r="1125" ht="14.25" spans="1:5">
      <c r="A1125" s="2" t="str">
        <f>"2020023814"</f>
        <v>2020023814</v>
      </c>
      <c r="B1125" s="2" t="s">
        <v>524</v>
      </c>
      <c r="C1125" s="2">
        <v>38</v>
      </c>
      <c r="D1125" s="2">
        <v>14</v>
      </c>
      <c r="E1125" s="3">
        <v>70.2</v>
      </c>
    </row>
    <row r="1126" ht="14.25" spans="1:5">
      <c r="A1126" s="2" t="str">
        <f>"2020023815"</f>
        <v>2020023815</v>
      </c>
      <c r="B1126" s="2" t="s">
        <v>524</v>
      </c>
      <c r="C1126" s="2">
        <v>38</v>
      </c>
      <c r="D1126" s="2">
        <v>15</v>
      </c>
      <c r="E1126" s="3">
        <v>75.2</v>
      </c>
    </row>
    <row r="1127" ht="14.25" spans="1:5">
      <c r="A1127" s="2" t="str">
        <f>"2020023816"</f>
        <v>2020023816</v>
      </c>
      <c r="B1127" s="2" t="s">
        <v>524</v>
      </c>
      <c r="C1127" s="2">
        <v>38</v>
      </c>
      <c r="D1127" s="2">
        <v>16</v>
      </c>
      <c r="E1127" s="3">
        <v>64.7</v>
      </c>
    </row>
    <row r="1128" ht="14.25" spans="1:5">
      <c r="A1128" s="2" t="str">
        <f>"2020023817"</f>
        <v>2020023817</v>
      </c>
      <c r="B1128" s="2" t="s">
        <v>524</v>
      </c>
      <c r="C1128" s="2">
        <v>38</v>
      </c>
      <c r="D1128" s="2">
        <v>17</v>
      </c>
      <c r="E1128" s="3">
        <v>59.1</v>
      </c>
    </row>
    <row r="1129" ht="14.25" spans="1:5">
      <c r="A1129" s="2" t="str">
        <f>"2020023818"</f>
        <v>2020023818</v>
      </c>
      <c r="B1129" s="2" t="s">
        <v>524</v>
      </c>
      <c r="C1129" s="2">
        <v>38</v>
      </c>
      <c r="D1129" s="2">
        <v>18</v>
      </c>
      <c r="E1129" s="3">
        <v>76.4</v>
      </c>
    </row>
    <row r="1130" ht="14.25" spans="1:5">
      <c r="A1130" s="2" t="str">
        <f>"2020023819"</f>
        <v>2020023819</v>
      </c>
      <c r="B1130" s="2" t="s">
        <v>524</v>
      </c>
      <c r="C1130" s="2">
        <v>38</v>
      </c>
      <c r="D1130" s="2">
        <v>19</v>
      </c>
      <c r="E1130" s="3" t="s">
        <v>16</v>
      </c>
    </row>
    <row r="1131" ht="14.25" spans="1:5">
      <c r="A1131" s="2" t="str">
        <f>"2020023820"</f>
        <v>2020023820</v>
      </c>
      <c r="B1131" s="2" t="s">
        <v>524</v>
      </c>
      <c r="C1131" s="2">
        <v>38</v>
      </c>
      <c r="D1131" s="2">
        <v>20</v>
      </c>
      <c r="E1131" s="3">
        <v>72.5</v>
      </c>
    </row>
    <row r="1132" ht="14.25" spans="1:5">
      <c r="A1132" s="2" t="str">
        <f>"2020023821"</f>
        <v>2020023821</v>
      </c>
      <c r="B1132" s="2" t="s">
        <v>524</v>
      </c>
      <c r="C1132" s="2">
        <v>38</v>
      </c>
      <c r="D1132" s="2">
        <v>21</v>
      </c>
      <c r="E1132" s="3">
        <v>58.4</v>
      </c>
    </row>
    <row r="1133" ht="14.25" spans="1:5">
      <c r="A1133" s="2" t="str">
        <f>"2020023822"</f>
        <v>2020023822</v>
      </c>
      <c r="B1133" s="2" t="s">
        <v>524</v>
      </c>
      <c r="C1133" s="2">
        <v>38</v>
      </c>
      <c r="D1133" s="2">
        <v>22</v>
      </c>
      <c r="E1133" s="3">
        <v>78.7</v>
      </c>
    </row>
    <row r="1134" ht="14.25" spans="1:5">
      <c r="A1134" s="2" t="str">
        <f>"2020023823"</f>
        <v>2020023823</v>
      </c>
      <c r="B1134" s="2" t="s">
        <v>524</v>
      </c>
      <c r="C1134" s="2">
        <v>38</v>
      </c>
      <c r="D1134" s="2">
        <v>23</v>
      </c>
      <c r="E1134" s="3" t="s">
        <v>16</v>
      </c>
    </row>
    <row r="1135" ht="14.25" spans="1:5">
      <c r="A1135" s="2" t="str">
        <f>"2020023824"</f>
        <v>2020023824</v>
      </c>
      <c r="B1135" s="2" t="s">
        <v>524</v>
      </c>
      <c r="C1135" s="2">
        <v>38</v>
      </c>
      <c r="D1135" s="2">
        <v>24</v>
      </c>
      <c r="E1135" s="3">
        <v>61.4</v>
      </c>
    </row>
    <row r="1136" ht="14.25" spans="1:5">
      <c r="A1136" s="2" t="str">
        <f>"2020023825"</f>
        <v>2020023825</v>
      </c>
      <c r="B1136" s="2" t="s">
        <v>524</v>
      </c>
      <c r="C1136" s="2">
        <v>38</v>
      </c>
      <c r="D1136" s="2">
        <v>25</v>
      </c>
      <c r="E1136" s="3">
        <v>71.2</v>
      </c>
    </row>
    <row r="1137" ht="14.25" spans="1:5">
      <c r="A1137" s="2" t="str">
        <f>"2020023826"</f>
        <v>2020023826</v>
      </c>
      <c r="B1137" s="2" t="s">
        <v>524</v>
      </c>
      <c r="C1137" s="2">
        <v>38</v>
      </c>
      <c r="D1137" s="2">
        <v>26</v>
      </c>
      <c r="E1137" s="3">
        <v>72.5</v>
      </c>
    </row>
    <row r="1138" ht="14.25" spans="1:5">
      <c r="A1138" s="2" t="str">
        <f>"2020023827"</f>
        <v>2020023827</v>
      </c>
      <c r="B1138" s="2" t="s">
        <v>524</v>
      </c>
      <c r="C1138" s="2">
        <v>38</v>
      </c>
      <c r="D1138" s="2">
        <v>27</v>
      </c>
      <c r="E1138" s="3">
        <v>61</v>
      </c>
    </row>
    <row r="1139" ht="14.25" spans="1:5">
      <c r="A1139" s="2" t="str">
        <f>"2020023828"</f>
        <v>2020023828</v>
      </c>
      <c r="B1139" s="2" t="s">
        <v>524</v>
      </c>
      <c r="C1139" s="2">
        <v>38</v>
      </c>
      <c r="D1139" s="2">
        <v>28</v>
      </c>
      <c r="E1139" s="3">
        <v>55.5</v>
      </c>
    </row>
    <row r="1140" ht="14.25" spans="1:5">
      <c r="A1140" s="2" t="str">
        <f>"2020023829"</f>
        <v>2020023829</v>
      </c>
      <c r="B1140" s="2" t="s">
        <v>524</v>
      </c>
      <c r="C1140" s="2">
        <v>38</v>
      </c>
      <c r="D1140" s="2">
        <v>29</v>
      </c>
      <c r="E1140" s="3">
        <v>65.3</v>
      </c>
    </row>
    <row r="1141" ht="14.25" spans="1:5">
      <c r="A1141" s="2" t="str">
        <f>"2020023830"</f>
        <v>2020023830</v>
      </c>
      <c r="B1141" s="2" t="s">
        <v>524</v>
      </c>
      <c r="C1141" s="2">
        <v>38</v>
      </c>
      <c r="D1141" s="2">
        <v>30</v>
      </c>
      <c r="E1141" s="3">
        <v>67.2</v>
      </c>
    </row>
    <row r="1142" ht="14.25" spans="1:5">
      <c r="A1142" s="2" t="str">
        <f>"2020023901"</f>
        <v>2020023901</v>
      </c>
      <c r="B1142" s="2" t="s">
        <v>524</v>
      </c>
      <c r="C1142" s="2">
        <v>39</v>
      </c>
      <c r="D1142" s="2">
        <v>1</v>
      </c>
      <c r="E1142" s="3">
        <v>68</v>
      </c>
    </row>
    <row r="1143" ht="14.25" spans="1:5">
      <c r="A1143" s="2" t="str">
        <f>"2020023902"</f>
        <v>2020023902</v>
      </c>
      <c r="B1143" s="2" t="s">
        <v>524</v>
      </c>
      <c r="C1143" s="2">
        <v>39</v>
      </c>
      <c r="D1143" s="2">
        <v>2</v>
      </c>
      <c r="E1143" s="3">
        <v>64.6</v>
      </c>
    </row>
    <row r="1144" ht="14.25" spans="1:5">
      <c r="A1144" s="2" t="str">
        <f>"2020023903"</f>
        <v>2020023903</v>
      </c>
      <c r="B1144" s="2" t="s">
        <v>524</v>
      </c>
      <c r="C1144" s="2">
        <v>39</v>
      </c>
      <c r="D1144" s="2">
        <v>3</v>
      </c>
      <c r="E1144" s="3">
        <v>67.5</v>
      </c>
    </row>
    <row r="1145" ht="14.25" spans="1:5">
      <c r="A1145" s="2" t="str">
        <f>"2020023904"</f>
        <v>2020023904</v>
      </c>
      <c r="B1145" s="2" t="s">
        <v>524</v>
      </c>
      <c r="C1145" s="2">
        <v>39</v>
      </c>
      <c r="D1145" s="2">
        <v>4</v>
      </c>
      <c r="E1145" s="3">
        <v>68.9</v>
      </c>
    </row>
    <row r="1146" ht="14.25" spans="1:5">
      <c r="A1146" s="2" t="str">
        <f>"2020023905"</f>
        <v>2020023905</v>
      </c>
      <c r="B1146" s="2" t="s">
        <v>524</v>
      </c>
      <c r="C1146" s="2">
        <v>39</v>
      </c>
      <c r="D1146" s="2">
        <v>5</v>
      </c>
      <c r="E1146" s="3">
        <v>70.5</v>
      </c>
    </row>
    <row r="1147" ht="14.25" spans="1:5">
      <c r="A1147" s="2" t="str">
        <f>"2020023906"</f>
        <v>2020023906</v>
      </c>
      <c r="B1147" s="2" t="s">
        <v>524</v>
      </c>
      <c r="C1147" s="2">
        <v>39</v>
      </c>
      <c r="D1147" s="2">
        <v>6</v>
      </c>
      <c r="E1147" s="3" t="s">
        <v>16</v>
      </c>
    </row>
    <row r="1148" ht="14.25" spans="1:5">
      <c r="A1148" s="2" t="str">
        <f>"2020023907"</f>
        <v>2020023907</v>
      </c>
      <c r="B1148" s="2" t="s">
        <v>524</v>
      </c>
      <c r="C1148" s="2">
        <v>39</v>
      </c>
      <c r="D1148" s="2">
        <v>7</v>
      </c>
      <c r="E1148" s="3">
        <v>64.3</v>
      </c>
    </row>
    <row r="1149" ht="14.25" spans="1:5">
      <c r="A1149" s="2" t="str">
        <f>"2020023908"</f>
        <v>2020023908</v>
      </c>
      <c r="B1149" s="2" t="s">
        <v>524</v>
      </c>
      <c r="C1149" s="2">
        <v>39</v>
      </c>
      <c r="D1149" s="2">
        <v>8</v>
      </c>
      <c r="E1149" s="3" t="s">
        <v>16</v>
      </c>
    </row>
    <row r="1150" ht="14.25" spans="1:5">
      <c r="A1150" s="2" t="str">
        <f>"2020023909"</f>
        <v>2020023909</v>
      </c>
      <c r="B1150" s="2" t="s">
        <v>524</v>
      </c>
      <c r="C1150" s="2">
        <v>39</v>
      </c>
      <c r="D1150" s="2">
        <v>9</v>
      </c>
      <c r="E1150" s="3" t="s">
        <v>16</v>
      </c>
    </row>
    <row r="1151" ht="14.25" spans="1:5">
      <c r="A1151" s="2" t="str">
        <f>"2020023910"</f>
        <v>2020023910</v>
      </c>
      <c r="B1151" s="2" t="s">
        <v>524</v>
      </c>
      <c r="C1151" s="2">
        <v>39</v>
      </c>
      <c r="D1151" s="2">
        <v>10</v>
      </c>
      <c r="E1151" s="3">
        <v>73.5</v>
      </c>
    </row>
    <row r="1152" ht="14.25" spans="1:5">
      <c r="A1152" s="2" t="str">
        <f>"2020023911"</f>
        <v>2020023911</v>
      </c>
      <c r="B1152" s="2" t="s">
        <v>524</v>
      </c>
      <c r="C1152" s="2">
        <v>39</v>
      </c>
      <c r="D1152" s="2">
        <v>11</v>
      </c>
      <c r="E1152" s="3" t="s">
        <v>16</v>
      </c>
    </row>
    <row r="1153" ht="14.25" spans="1:5">
      <c r="A1153" s="2" t="str">
        <f>"2020023912"</f>
        <v>2020023912</v>
      </c>
      <c r="B1153" s="2" t="s">
        <v>524</v>
      </c>
      <c r="C1153" s="2">
        <v>39</v>
      </c>
      <c r="D1153" s="2">
        <v>12</v>
      </c>
      <c r="E1153" s="3">
        <v>61.4</v>
      </c>
    </row>
    <row r="1154" ht="14.25" spans="1:5">
      <c r="A1154" s="2" t="str">
        <f>"2020023913"</f>
        <v>2020023913</v>
      </c>
      <c r="B1154" s="2" t="s">
        <v>524</v>
      </c>
      <c r="C1154" s="2">
        <v>39</v>
      </c>
      <c r="D1154" s="2">
        <v>13</v>
      </c>
      <c r="E1154" s="3">
        <v>56.2</v>
      </c>
    </row>
    <row r="1155" ht="14.25" spans="1:5">
      <c r="A1155" s="2" t="str">
        <f>"2020023914"</f>
        <v>2020023914</v>
      </c>
      <c r="B1155" s="2" t="s">
        <v>524</v>
      </c>
      <c r="C1155" s="2">
        <v>39</v>
      </c>
      <c r="D1155" s="2">
        <v>14</v>
      </c>
      <c r="E1155" s="3" t="s">
        <v>16</v>
      </c>
    </row>
    <row r="1156" ht="14.25" spans="1:5">
      <c r="A1156" s="2" t="str">
        <f>"2020023915"</f>
        <v>2020023915</v>
      </c>
      <c r="B1156" s="2" t="s">
        <v>524</v>
      </c>
      <c r="C1156" s="2">
        <v>39</v>
      </c>
      <c r="D1156" s="2">
        <v>15</v>
      </c>
      <c r="E1156" s="3">
        <v>72.8</v>
      </c>
    </row>
    <row r="1157" ht="14.25" spans="1:5">
      <c r="A1157" s="2" t="str">
        <f>"2020023916"</f>
        <v>2020023916</v>
      </c>
      <c r="B1157" s="2" t="s">
        <v>524</v>
      </c>
      <c r="C1157" s="2">
        <v>39</v>
      </c>
      <c r="D1157" s="2">
        <v>16</v>
      </c>
      <c r="E1157" s="3">
        <v>51</v>
      </c>
    </row>
    <row r="1158" ht="14.25" spans="1:5">
      <c r="A1158" s="2" t="str">
        <f>"2020023917"</f>
        <v>2020023917</v>
      </c>
      <c r="B1158" s="2" t="s">
        <v>524</v>
      </c>
      <c r="C1158" s="2">
        <v>39</v>
      </c>
      <c r="D1158" s="2">
        <v>17</v>
      </c>
      <c r="E1158" s="3" t="s">
        <v>16</v>
      </c>
    </row>
    <row r="1159" ht="14.25" spans="1:5">
      <c r="A1159" s="2" t="str">
        <f>"2020023918"</f>
        <v>2020023918</v>
      </c>
      <c r="B1159" s="2" t="s">
        <v>524</v>
      </c>
      <c r="C1159" s="2">
        <v>39</v>
      </c>
      <c r="D1159" s="2">
        <v>18</v>
      </c>
      <c r="E1159" s="3" t="s">
        <v>16</v>
      </c>
    </row>
    <row r="1160" ht="14.25" spans="1:5">
      <c r="A1160" s="2" t="str">
        <f>"2020023919"</f>
        <v>2020023919</v>
      </c>
      <c r="B1160" s="2" t="s">
        <v>524</v>
      </c>
      <c r="C1160" s="2">
        <v>39</v>
      </c>
      <c r="D1160" s="2">
        <v>19</v>
      </c>
      <c r="E1160" s="3">
        <v>57.5</v>
      </c>
    </row>
    <row r="1161" ht="14.25" spans="1:5">
      <c r="A1161" s="2" t="str">
        <f>"2020023920"</f>
        <v>2020023920</v>
      </c>
      <c r="B1161" s="2" t="s">
        <v>524</v>
      </c>
      <c r="C1161" s="2">
        <v>39</v>
      </c>
      <c r="D1161" s="2">
        <v>20</v>
      </c>
      <c r="E1161" s="3" t="s">
        <v>16</v>
      </c>
    </row>
    <row r="1162" ht="14.25" spans="1:5">
      <c r="A1162" s="2" t="str">
        <f>"2020023921"</f>
        <v>2020023921</v>
      </c>
      <c r="B1162" s="2" t="s">
        <v>524</v>
      </c>
      <c r="C1162" s="2">
        <v>39</v>
      </c>
      <c r="D1162" s="2">
        <v>21</v>
      </c>
      <c r="E1162" s="3">
        <v>65.3</v>
      </c>
    </row>
    <row r="1163" ht="14.25" spans="1:5">
      <c r="A1163" s="2" t="str">
        <f>"2020023922"</f>
        <v>2020023922</v>
      </c>
      <c r="B1163" s="2" t="s">
        <v>524</v>
      </c>
      <c r="C1163" s="2">
        <v>39</v>
      </c>
      <c r="D1163" s="2">
        <v>22</v>
      </c>
      <c r="E1163" s="3" t="s">
        <v>16</v>
      </c>
    </row>
    <row r="1164" ht="14.25" spans="1:5">
      <c r="A1164" s="2" t="str">
        <f>"2020023923"</f>
        <v>2020023923</v>
      </c>
      <c r="B1164" s="2" t="s">
        <v>524</v>
      </c>
      <c r="C1164" s="2">
        <v>39</v>
      </c>
      <c r="D1164" s="2">
        <v>23</v>
      </c>
      <c r="E1164" s="3">
        <v>73</v>
      </c>
    </row>
    <row r="1165" ht="14.25" spans="1:5">
      <c r="A1165" s="2" t="str">
        <f>"2020023924"</f>
        <v>2020023924</v>
      </c>
      <c r="B1165" s="2" t="s">
        <v>524</v>
      </c>
      <c r="C1165" s="2">
        <v>39</v>
      </c>
      <c r="D1165" s="2">
        <v>24</v>
      </c>
      <c r="E1165" s="3">
        <v>48.6</v>
      </c>
    </row>
    <row r="1166" ht="14.25" spans="1:5">
      <c r="A1166" s="2" t="str">
        <f>"2020023925"</f>
        <v>2020023925</v>
      </c>
      <c r="B1166" s="2" t="s">
        <v>524</v>
      </c>
      <c r="C1166" s="2">
        <v>39</v>
      </c>
      <c r="D1166" s="2">
        <v>25</v>
      </c>
      <c r="E1166" s="3">
        <v>59.1</v>
      </c>
    </row>
    <row r="1167" ht="14.25" spans="1:5">
      <c r="A1167" s="2" t="str">
        <f>"2020023926"</f>
        <v>2020023926</v>
      </c>
      <c r="B1167" s="2" t="s">
        <v>524</v>
      </c>
      <c r="C1167" s="2">
        <v>39</v>
      </c>
      <c r="D1167" s="2">
        <v>26</v>
      </c>
      <c r="E1167" s="3" t="s">
        <v>16</v>
      </c>
    </row>
    <row r="1168" ht="14.25" spans="1:5">
      <c r="A1168" s="2" t="str">
        <f>"2020023927"</f>
        <v>2020023927</v>
      </c>
      <c r="B1168" s="2" t="s">
        <v>524</v>
      </c>
      <c r="C1168" s="2">
        <v>39</v>
      </c>
      <c r="D1168" s="2">
        <v>27</v>
      </c>
      <c r="E1168" s="3">
        <v>59.2</v>
      </c>
    </row>
    <row r="1169" ht="14.25" spans="1:5">
      <c r="A1169" s="2" t="str">
        <f>"2020023928"</f>
        <v>2020023928</v>
      </c>
      <c r="B1169" s="2" t="s">
        <v>524</v>
      </c>
      <c r="C1169" s="2">
        <v>39</v>
      </c>
      <c r="D1169" s="2">
        <v>28</v>
      </c>
      <c r="E1169" s="3">
        <v>53.2</v>
      </c>
    </row>
    <row r="1170" ht="14.25" spans="1:5">
      <c r="A1170" s="2" t="str">
        <f>"2020023929"</f>
        <v>2020023929</v>
      </c>
      <c r="B1170" s="2" t="s">
        <v>524</v>
      </c>
      <c r="C1170" s="2">
        <v>39</v>
      </c>
      <c r="D1170" s="2">
        <v>29</v>
      </c>
      <c r="E1170" s="3">
        <v>69.2</v>
      </c>
    </row>
    <row r="1171" ht="14.25" spans="1:5">
      <c r="A1171" s="2" t="str">
        <f>"2020023930"</f>
        <v>2020023930</v>
      </c>
      <c r="B1171" s="2" t="s">
        <v>524</v>
      </c>
      <c r="C1171" s="2">
        <v>39</v>
      </c>
      <c r="D1171" s="2">
        <v>30</v>
      </c>
      <c r="E1171" s="3">
        <v>59.8</v>
      </c>
    </row>
    <row r="1172" ht="14.25" spans="1:5">
      <c r="A1172" s="2" t="str">
        <f>"2020024001"</f>
        <v>2020024001</v>
      </c>
      <c r="B1172" s="2" t="s">
        <v>524</v>
      </c>
      <c r="C1172" s="2">
        <v>40</v>
      </c>
      <c r="D1172" s="2">
        <v>1</v>
      </c>
      <c r="E1172" s="3">
        <v>53.8</v>
      </c>
    </row>
    <row r="1173" ht="14.25" spans="1:5">
      <c r="A1173" s="2" t="str">
        <f>"2020024002"</f>
        <v>2020024002</v>
      </c>
      <c r="B1173" s="2" t="s">
        <v>524</v>
      </c>
      <c r="C1173" s="2">
        <v>40</v>
      </c>
      <c r="D1173" s="2">
        <v>2</v>
      </c>
      <c r="E1173" s="3">
        <v>68.9</v>
      </c>
    </row>
    <row r="1174" ht="14.25" spans="1:5">
      <c r="A1174" s="2" t="str">
        <f>"2020024003"</f>
        <v>2020024003</v>
      </c>
      <c r="B1174" s="2" t="s">
        <v>524</v>
      </c>
      <c r="C1174" s="2">
        <v>40</v>
      </c>
      <c r="D1174" s="2">
        <v>3</v>
      </c>
      <c r="E1174" s="3">
        <v>60.6</v>
      </c>
    </row>
    <row r="1175" ht="14.25" spans="1:5">
      <c r="A1175" s="2" t="str">
        <f>"2020024004"</f>
        <v>2020024004</v>
      </c>
      <c r="B1175" s="2" t="s">
        <v>524</v>
      </c>
      <c r="C1175" s="2">
        <v>40</v>
      </c>
      <c r="D1175" s="2">
        <v>4</v>
      </c>
      <c r="E1175" s="3">
        <v>64.2</v>
      </c>
    </row>
    <row r="1176" ht="14.25" spans="1:5">
      <c r="A1176" s="2" t="str">
        <f>"2020024005"</f>
        <v>2020024005</v>
      </c>
      <c r="B1176" s="2" t="s">
        <v>524</v>
      </c>
      <c r="C1176" s="2">
        <v>40</v>
      </c>
      <c r="D1176" s="2">
        <v>5</v>
      </c>
      <c r="E1176" s="3" t="s">
        <v>16</v>
      </c>
    </row>
    <row r="1177" ht="14.25" spans="1:5">
      <c r="A1177" s="2" t="str">
        <f>"2020024006"</f>
        <v>2020024006</v>
      </c>
      <c r="B1177" s="2" t="s">
        <v>524</v>
      </c>
      <c r="C1177" s="2">
        <v>40</v>
      </c>
      <c r="D1177" s="2">
        <v>6</v>
      </c>
      <c r="E1177" s="3">
        <v>71.9</v>
      </c>
    </row>
    <row r="1178" ht="14.25" spans="1:5">
      <c r="A1178" s="2" t="str">
        <f>"2020024007"</f>
        <v>2020024007</v>
      </c>
      <c r="B1178" s="2" t="s">
        <v>524</v>
      </c>
      <c r="C1178" s="2">
        <v>40</v>
      </c>
      <c r="D1178" s="2">
        <v>7</v>
      </c>
      <c r="E1178" s="3">
        <v>59.2</v>
      </c>
    </row>
    <row r="1179" ht="14.25" spans="1:5">
      <c r="A1179" s="2" t="str">
        <f>"2020024008"</f>
        <v>2020024008</v>
      </c>
      <c r="B1179" s="2" t="s">
        <v>524</v>
      </c>
      <c r="C1179" s="2">
        <v>40</v>
      </c>
      <c r="D1179" s="2">
        <v>8</v>
      </c>
      <c r="E1179" s="3">
        <v>66.3</v>
      </c>
    </row>
    <row r="1180" ht="14.25" spans="1:5">
      <c r="A1180" s="2" t="str">
        <f>"2020024009"</f>
        <v>2020024009</v>
      </c>
      <c r="B1180" s="2" t="s">
        <v>524</v>
      </c>
      <c r="C1180" s="2">
        <v>40</v>
      </c>
      <c r="D1180" s="2">
        <v>9</v>
      </c>
      <c r="E1180" s="3">
        <v>67.8</v>
      </c>
    </row>
    <row r="1181" ht="14.25" spans="1:5">
      <c r="A1181" s="2" t="str">
        <f>"2020024010"</f>
        <v>2020024010</v>
      </c>
      <c r="B1181" s="2" t="s">
        <v>524</v>
      </c>
      <c r="C1181" s="2">
        <v>40</v>
      </c>
      <c r="D1181" s="2">
        <v>10</v>
      </c>
      <c r="E1181" s="3" t="s">
        <v>16</v>
      </c>
    </row>
    <row r="1182" ht="14.25" spans="1:5">
      <c r="A1182" s="2" t="str">
        <f>"2020024011"</f>
        <v>2020024011</v>
      </c>
      <c r="B1182" s="2" t="s">
        <v>524</v>
      </c>
      <c r="C1182" s="2">
        <v>40</v>
      </c>
      <c r="D1182" s="2">
        <v>11</v>
      </c>
      <c r="E1182" s="3">
        <v>76.8</v>
      </c>
    </row>
    <row r="1183" ht="14.25" spans="1:5">
      <c r="A1183" s="2" t="str">
        <f>"2020024012"</f>
        <v>2020024012</v>
      </c>
      <c r="B1183" s="2" t="s">
        <v>524</v>
      </c>
      <c r="C1183" s="2">
        <v>40</v>
      </c>
      <c r="D1183" s="2">
        <v>12</v>
      </c>
      <c r="E1183" s="3" t="s">
        <v>16</v>
      </c>
    </row>
    <row r="1184" ht="14.25" spans="1:5">
      <c r="A1184" s="2" t="str">
        <f>"2020024013"</f>
        <v>2020024013</v>
      </c>
      <c r="B1184" s="2" t="s">
        <v>524</v>
      </c>
      <c r="C1184" s="2">
        <v>40</v>
      </c>
      <c r="D1184" s="2">
        <v>13</v>
      </c>
      <c r="E1184" s="3">
        <v>60.7</v>
      </c>
    </row>
    <row r="1185" ht="14.25" spans="1:5">
      <c r="A1185" s="2" t="str">
        <f>"2020024014"</f>
        <v>2020024014</v>
      </c>
      <c r="B1185" s="2" t="s">
        <v>524</v>
      </c>
      <c r="C1185" s="2">
        <v>40</v>
      </c>
      <c r="D1185" s="2">
        <v>14</v>
      </c>
      <c r="E1185" s="3" t="s">
        <v>16</v>
      </c>
    </row>
    <row r="1186" ht="14.25" spans="1:5">
      <c r="A1186" s="2" t="str">
        <f>"2020024015"</f>
        <v>2020024015</v>
      </c>
      <c r="B1186" s="2" t="s">
        <v>524</v>
      </c>
      <c r="C1186" s="2">
        <v>40</v>
      </c>
      <c r="D1186" s="2">
        <v>15</v>
      </c>
      <c r="E1186" s="3">
        <v>61.3</v>
      </c>
    </row>
    <row r="1187" ht="14.25" spans="1:5">
      <c r="A1187" s="2" t="str">
        <f>"2020024016"</f>
        <v>2020024016</v>
      </c>
      <c r="B1187" s="2" t="s">
        <v>524</v>
      </c>
      <c r="C1187" s="2">
        <v>40</v>
      </c>
      <c r="D1187" s="2">
        <v>16</v>
      </c>
      <c r="E1187" s="3">
        <v>65.3</v>
      </c>
    </row>
    <row r="1188" ht="14.25" spans="1:5">
      <c r="A1188" s="2" t="str">
        <f>"2020024017"</f>
        <v>2020024017</v>
      </c>
      <c r="B1188" s="2" t="s">
        <v>524</v>
      </c>
      <c r="C1188" s="2">
        <v>40</v>
      </c>
      <c r="D1188" s="2">
        <v>17</v>
      </c>
      <c r="E1188" s="3" t="s">
        <v>16</v>
      </c>
    </row>
    <row r="1189" ht="14.25" spans="1:5">
      <c r="A1189" s="2" t="str">
        <f>"2020024018"</f>
        <v>2020024018</v>
      </c>
      <c r="B1189" s="2" t="s">
        <v>524</v>
      </c>
      <c r="C1189" s="2">
        <v>40</v>
      </c>
      <c r="D1189" s="2">
        <v>18</v>
      </c>
      <c r="E1189" s="3" t="s">
        <v>16</v>
      </c>
    </row>
    <row r="1190" ht="14.25" spans="1:5">
      <c r="A1190" s="2" t="str">
        <f>"2020024019"</f>
        <v>2020024019</v>
      </c>
      <c r="B1190" s="2" t="s">
        <v>524</v>
      </c>
      <c r="C1190" s="2">
        <v>40</v>
      </c>
      <c r="D1190" s="2">
        <v>19</v>
      </c>
      <c r="E1190" s="3">
        <v>72.2</v>
      </c>
    </row>
    <row r="1191" ht="14.25" spans="1:5">
      <c r="A1191" s="2" t="str">
        <f>"2020024020"</f>
        <v>2020024020</v>
      </c>
      <c r="B1191" s="2" t="s">
        <v>524</v>
      </c>
      <c r="C1191" s="2">
        <v>40</v>
      </c>
      <c r="D1191" s="2">
        <v>20</v>
      </c>
      <c r="E1191" s="3">
        <v>73.4</v>
      </c>
    </row>
    <row r="1192" ht="14.25" spans="1:5">
      <c r="A1192" s="2" t="str">
        <f>"2020024021"</f>
        <v>2020024021</v>
      </c>
      <c r="B1192" s="2" t="s">
        <v>524</v>
      </c>
      <c r="C1192" s="2">
        <v>40</v>
      </c>
      <c r="D1192" s="2">
        <v>21</v>
      </c>
      <c r="E1192" s="3">
        <v>77.7</v>
      </c>
    </row>
    <row r="1193" ht="14.25" spans="1:5">
      <c r="A1193" s="2" t="str">
        <f>"2020024022"</f>
        <v>2020024022</v>
      </c>
      <c r="B1193" s="2" t="s">
        <v>524</v>
      </c>
      <c r="C1193" s="2">
        <v>40</v>
      </c>
      <c r="D1193" s="2">
        <v>22</v>
      </c>
      <c r="E1193" s="3">
        <v>55.1</v>
      </c>
    </row>
    <row r="1194" ht="14.25" spans="1:5">
      <c r="A1194" s="2" t="str">
        <f>"2020024023"</f>
        <v>2020024023</v>
      </c>
      <c r="B1194" s="2" t="s">
        <v>524</v>
      </c>
      <c r="C1194" s="2">
        <v>40</v>
      </c>
      <c r="D1194" s="2">
        <v>23</v>
      </c>
      <c r="E1194" s="3" t="s">
        <v>16</v>
      </c>
    </row>
    <row r="1195" ht="14.25" spans="1:5">
      <c r="A1195" s="2" t="str">
        <f>"2020024024"</f>
        <v>2020024024</v>
      </c>
      <c r="B1195" s="2" t="s">
        <v>524</v>
      </c>
      <c r="C1195" s="2">
        <v>40</v>
      </c>
      <c r="D1195" s="2">
        <v>24</v>
      </c>
      <c r="E1195" s="3">
        <v>60.3</v>
      </c>
    </row>
    <row r="1196" ht="14.25" spans="1:5">
      <c r="A1196" s="2" t="str">
        <f>"2020024025"</f>
        <v>2020024025</v>
      </c>
      <c r="B1196" s="2" t="s">
        <v>524</v>
      </c>
      <c r="C1196" s="2">
        <v>40</v>
      </c>
      <c r="D1196" s="2">
        <v>25</v>
      </c>
      <c r="E1196" s="3" t="s">
        <v>16</v>
      </c>
    </row>
    <row r="1197" ht="14.25" spans="1:5">
      <c r="A1197" s="2" t="str">
        <f>"2020024026"</f>
        <v>2020024026</v>
      </c>
      <c r="B1197" s="2" t="s">
        <v>524</v>
      </c>
      <c r="C1197" s="2">
        <v>40</v>
      </c>
      <c r="D1197" s="2">
        <v>26</v>
      </c>
      <c r="E1197" s="3">
        <v>62.3</v>
      </c>
    </row>
    <row r="1198" ht="14.25" spans="1:5">
      <c r="A1198" s="2" t="str">
        <f>"2020024027"</f>
        <v>2020024027</v>
      </c>
      <c r="B1198" s="2" t="s">
        <v>524</v>
      </c>
      <c r="C1198" s="2">
        <v>40</v>
      </c>
      <c r="D1198" s="2">
        <v>27</v>
      </c>
      <c r="E1198" s="3">
        <v>65.3</v>
      </c>
    </row>
    <row r="1199" ht="14.25" spans="1:5">
      <c r="A1199" s="2" t="str">
        <f>"2020024028"</f>
        <v>2020024028</v>
      </c>
      <c r="B1199" s="2" t="s">
        <v>524</v>
      </c>
      <c r="C1199" s="2">
        <v>40</v>
      </c>
      <c r="D1199" s="2">
        <v>28</v>
      </c>
      <c r="E1199" s="3">
        <v>72.4</v>
      </c>
    </row>
    <row r="1200" ht="14.25" spans="1:5">
      <c r="A1200" s="2" t="str">
        <f>"2020024029"</f>
        <v>2020024029</v>
      </c>
      <c r="B1200" s="2" t="s">
        <v>524</v>
      </c>
      <c r="C1200" s="2">
        <v>40</v>
      </c>
      <c r="D1200" s="2">
        <v>29</v>
      </c>
      <c r="E1200" s="3">
        <v>58.8</v>
      </c>
    </row>
    <row r="1201" ht="14.25" spans="1:5">
      <c r="A1201" s="2" t="str">
        <f>"2020024030"</f>
        <v>2020024030</v>
      </c>
      <c r="B1201" s="2" t="s">
        <v>524</v>
      </c>
      <c r="C1201" s="2">
        <v>40</v>
      </c>
      <c r="D1201" s="2">
        <v>30</v>
      </c>
      <c r="E1201" s="3">
        <v>55.4</v>
      </c>
    </row>
    <row r="1202" ht="14.25" spans="1:5">
      <c r="A1202" s="2" t="str">
        <f>"2020024101"</f>
        <v>2020024101</v>
      </c>
      <c r="B1202" s="2" t="s">
        <v>524</v>
      </c>
      <c r="C1202" s="2">
        <v>41</v>
      </c>
      <c r="D1202" s="2">
        <v>1</v>
      </c>
      <c r="E1202" s="3">
        <v>53.6</v>
      </c>
    </row>
    <row r="1203" ht="14.25" spans="1:5">
      <c r="A1203" s="2" t="str">
        <f>"2020024102"</f>
        <v>2020024102</v>
      </c>
      <c r="B1203" s="2" t="s">
        <v>524</v>
      </c>
      <c r="C1203" s="2">
        <v>41</v>
      </c>
      <c r="D1203" s="2">
        <v>2</v>
      </c>
      <c r="E1203" s="3" t="s">
        <v>16</v>
      </c>
    </row>
    <row r="1204" ht="14.25" spans="1:5">
      <c r="A1204" s="2" t="str">
        <f>"2020024103"</f>
        <v>2020024103</v>
      </c>
      <c r="B1204" s="2" t="s">
        <v>524</v>
      </c>
      <c r="C1204" s="2">
        <v>41</v>
      </c>
      <c r="D1204" s="2">
        <v>3</v>
      </c>
      <c r="E1204" s="3">
        <v>69.5</v>
      </c>
    </row>
    <row r="1205" ht="14.25" spans="1:5">
      <c r="A1205" s="2" t="str">
        <f>"2020024104"</f>
        <v>2020024104</v>
      </c>
      <c r="B1205" s="2" t="s">
        <v>524</v>
      </c>
      <c r="C1205" s="2">
        <v>41</v>
      </c>
      <c r="D1205" s="2">
        <v>4</v>
      </c>
      <c r="E1205" s="3">
        <v>62.4</v>
      </c>
    </row>
    <row r="1206" ht="14.25" spans="1:5">
      <c r="A1206" s="2" t="str">
        <f>"2020024105"</f>
        <v>2020024105</v>
      </c>
      <c r="B1206" s="2" t="s">
        <v>524</v>
      </c>
      <c r="C1206" s="2">
        <v>41</v>
      </c>
      <c r="D1206" s="2">
        <v>5</v>
      </c>
      <c r="E1206" s="3" t="s">
        <v>16</v>
      </c>
    </row>
    <row r="1207" ht="14.25" spans="1:5">
      <c r="A1207" s="2" t="str">
        <f>"2020024106"</f>
        <v>2020024106</v>
      </c>
      <c r="B1207" s="2" t="s">
        <v>524</v>
      </c>
      <c r="C1207" s="2">
        <v>41</v>
      </c>
      <c r="D1207" s="2">
        <v>6</v>
      </c>
      <c r="E1207" s="3" t="s">
        <v>16</v>
      </c>
    </row>
    <row r="1208" ht="14.25" spans="1:5">
      <c r="A1208" s="2" t="str">
        <f>"2020024107"</f>
        <v>2020024107</v>
      </c>
      <c r="B1208" s="2" t="s">
        <v>524</v>
      </c>
      <c r="C1208" s="2">
        <v>41</v>
      </c>
      <c r="D1208" s="2">
        <v>7</v>
      </c>
      <c r="E1208" s="3">
        <v>60.7</v>
      </c>
    </row>
    <row r="1209" ht="14.25" spans="1:5">
      <c r="A1209" s="2" t="str">
        <f>"2020024108"</f>
        <v>2020024108</v>
      </c>
      <c r="B1209" s="2" t="s">
        <v>524</v>
      </c>
      <c r="C1209" s="2">
        <v>41</v>
      </c>
      <c r="D1209" s="2">
        <v>8</v>
      </c>
      <c r="E1209" s="3">
        <v>68.3</v>
      </c>
    </row>
    <row r="1210" ht="14.25" spans="1:5">
      <c r="A1210" s="2" t="str">
        <f>"2020024109"</f>
        <v>2020024109</v>
      </c>
      <c r="B1210" s="2" t="s">
        <v>524</v>
      </c>
      <c r="C1210" s="2">
        <v>41</v>
      </c>
      <c r="D1210" s="2">
        <v>9</v>
      </c>
      <c r="E1210" s="3" t="s">
        <v>16</v>
      </c>
    </row>
    <row r="1211" ht="14.25" spans="1:5">
      <c r="A1211" s="2" t="str">
        <f>"2020024110"</f>
        <v>2020024110</v>
      </c>
      <c r="B1211" s="2" t="s">
        <v>524</v>
      </c>
      <c r="C1211" s="2">
        <v>41</v>
      </c>
      <c r="D1211" s="2">
        <v>10</v>
      </c>
      <c r="E1211" s="3" t="s">
        <v>16</v>
      </c>
    </row>
    <row r="1212" ht="14.25" spans="1:5">
      <c r="A1212" s="2" t="str">
        <f>"2020024111"</f>
        <v>2020024111</v>
      </c>
      <c r="B1212" s="2" t="s">
        <v>524</v>
      </c>
      <c r="C1212" s="2">
        <v>41</v>
      </c>
      <c r="D1212" s="2">
        <v>11</v>
      </c>
      <c r="E1212" s="3" t="s">
        <v>16</v>
      </c>
    </row>
    <row r="1213" ht="14.25" spans="1:5">
      <c r="A1213" s="2" t="str">
        <f>"2020024112"</f>
        <v>2020024112</v>
      </c>
      <c r="B1213" s="2" t="s">
        <v>524</v>
      </c>
      <c r="C1213" s="2">
        <v>41</v>
      </c>
      <c r="D1213" s="2">
        <v>12</v>
      </c>
      <c r="E1213" s="3">
        <v>57.4</v>
      </c>
    </row>
    <row r="1214" ht="14.25" spans="1:5">
      <c r="A1214" s="2" t="str">
        <f>"2020024113"</f>
        <v>2020024113</v>
      </c>
      <c r="B1214" s="2" t="s">
        <v>524</v>
      </c>
      <c r="C1214" s="2">
        <v>41</v>
      </c>
      <c r="D1214" s="2">
        <v>13</v>
      </c>
      <c r="E1214" s="3">
        <v>63</v>
      </c>
    </row>
    <row r="1215" ht="14.25" spans="1:5">
      <c r="A1215" s="2" t="str">
        <f>"2020024114"</f>
        <v>2020024114</v>
      </c>
      <c r="B1215" s="2" t="s">
        <v>524</v>
      </c>
      <c r="C1215" s="2">
        <v>41</v>
      </c>
      <c r="D1215" s="2">
        <v>14</v>
      </c>
      <c r="E1215" s="3">
        <v>48.2</v>
      </c>
    </row>
    <row r="1216" ht="14.25" spans="1:5">
      <c r="A1216" s="2" t="str">
        <f>"2020024115"</f>
        <v>2020024115</v>
      </c>
      <c r="B1216" s="2" t="s">
        <v>524</v>
      </c>
      <c r="C1216" s="2">
        <v>41</v>
      </c>
      <c r="D1216" s="2">
        <v>15</v>
      </c>
      <c r="E1216" s="3" t="s">
        <v>16</v>
      </c>
    </row>
    <row r="1217" ht="14.25" spans="1:5">
      <c r="A1217" s="2" t="str">
        <f>"2020024116"</f>
        <v>2020024116</v>
      </c>
      <c r="B1217" s="2" t="s">
        <v>524</v>
      </c>
      <c r="C1217" s="2">
        <v>41</v>
      </c>
      <c r="D1217" s="2">
        <v>16</v>
      </c>
      <c r="E1217" s="3">
        <v>49.2</v>
      </c>
    </row>
    <row r="1218" ht="14.25" spans="1:5">
      <c r="A1218" s="2" t="str">
        <f>"2020024117"</f>
        <v>2020024117</v>
      </c>
      <c r="B1218" s="2" t="s">
        <v>524</v>
      </c>
      <c r="C1218" s="2">
        <v>41</v>
      </c>
      <c r="D1218" s="2">
        <v>17</v>
      </c>
      <c r="E1218" s="3">
        <v>64</v>
      </c>
    </row>
    <row r="1219" ht="14.25" spans="1:5">
      <c r="A1219" s="2" t="str">
        <f>"2020024118"</f>
        <v>2020024118</v>
      </c>
      <c r="B1219" s="2" t="s">
        <v>524</v>
      </c>
      <c r="C1219" s="2">
        <v>41</v>
      </c>
      <c r="D1219" s="2">
        <v>18</v>
      </c>
      <c r="E1219" s="3">
        <v>60.4</v>
      </c>
    </row>
    <row r="1220" ht="14.25" spans="1:5">
      <c r="A1220" s="2" t="str">
        <f>"2020024119"</f>
        <v>2020024119</v>
      </c>
      <c r="B1220" s="2" t="s">
        <v>524</v>
      </c>
      <c r="C1220" s="2">
        <v>41</v>
      </c>
      <c r="D1220" s="2">
        <v>19</v>
      </c>
      <c r="E1220" s="3">
        <v>56.8</v>
      </c>
    </row>
    <row r="1221" ht="14.25" spans="1:5">
      <c r="A1221" s="2" t="str">
        <f>"2020024120"</f>
        <v>2020024120</v>
      </c>
      <c r="B1221" s="2" t="s">
        <v>524</v>
      </c>
      <c r="C1221" s="2">
        <v>41</v>
      </c>
      <c r="D1221" s="2">
        <v>20</v>
      </c>
      <c r="E1221" s="3">
        <v>51.6</v>
      </c>
    </row>
    <row r="1222" ht="14.25" spans="1:5">
      <c r="A1222" s="2" t="str">
        <f>"2020024121"</f>
        <v>2020024121</v>
      </c>
      <c r="B1222" s="2" t="s">
        <v>524</v>
      </c>
      <c r="C1222" s="2">
        <v>41</v>
      </c>
      <c r="D1222" s="2">
        <v>21</v>
      </c>
      <c r="E1222" s="3">
        <v>50.9</v>
      </c>
    </row>
    <row r="1223" ht="14.25" spans="1:5">
      <c r="A1223" s="2" t="str">
        <f>"2020024122"</f>
        <v>2020024122</v>
      </c>
      <c r="B1223" s="2" t="s">
        <v>524</v>
      </c>
      <c r="C1223" s="2">
        <v>41</v>
      </c>
      <c r="D1223" s="2">
        <v>22</v>
      </c>
      <c r="E1223" s="3">
        <v>68.9</v>
      </c>
    </row>
    <row r="1224" ht="14.25" spans="1:5">
      <c r="A1224" s="2" t="str">
        <f>"2020024123"</f>
        <v>2020024123</v>
      </c>
      <c r="B1224" s="2" t="s">
        <v>524</v>
      </c>
      <c r="C1224" s="2">
        <v>41</v>
      </c>
      <c r="D1224" s="2">
        <v>23</v>
      </c>
      <c r="E1224" s="3">
        <v>65</v>
      </c>
    </row>
    <row r="1225" ht="14.25" spans="1:5">
      <c r="A1225" s="2" t="str">
        <f>"2020024124"</f>
        <v>2020024124</v>
      </c>
      <c r="B1225" s="2" t="s">
        <v>524</v>
      </c>
      <c r="C1225" s="2">
        <v>41</v>
      </c>
      <c r="D1225" s="2">
        <v>24</v>
      </c>
      <c r="E1225" s="3" t="s">
        <v>16</v>
      </c>
    </row>
    <row r="1226" ht="14.25" spans="1:5">
      <c r="A1226" s="2" t="str">
        <f>"2020024125"</f>
        <v>2020024125</v>
      </c>
      <c r="B1226" s="2" t="s">
        <v>524</v>
      </c>
      <c r="C1226" s="2">
        <v>41</v>
      </c>
      <c r="D1226" s="2">
        <v>25</v>
      </c>
      <c r="E1226" s="3">
        <v>68.9</v>
      </c>
    </row>
    <row r="1227" ht="14.25" spans="1:5">
      <c r="A1227" s="2" t="str">
        <f>"2020024126"</f>
        <v>2020024126</v>
      </c>
      <c r="B1227" s="2" t="s">
        <v>524</v>
      </c>
      <c r="C1227" s="2">
        <v>41</v>
      </c>
      <c r="D1227" s="2">
        <v>26</v>
      </c>
      <c r="E1227" s="3">
        <v>55.8</v>
      </c>
    </row>
    <row r="1228" ht="14.25" spans="1:5">
      <c r="A1228" s="2" t="str">
        <f>"2020024127"</f>
        <v>2020024127</v>
      </c>
      <c r="B1228" s="2" t="s">
        <v>524</v>
      </c>
      <c r="C1228" s="2">
        <v>41</v>
      </c>
      <c r="D1228" s="2">
        <v>27</v>
      </c>
      <c r="E1228" s="3" t="s">
        <v>16</v>
      </c>
    </row>
    <row r="1229" ht="14.25" spans="1:5">
      <c r="A1229" s="2" t="str">
        <f>"2020024128"</f>
        <v>2020024128</v>
      </c>
      <c r="B1229" s="2" t="s">
        <v>524</v>
      </c>
      <c r="C1229" s="2">
        <v>41</v>
      </c>
      <c r="D1229" s="2">
        <v>28</v>
      </c>
      <c r="E1229" s="3" t="s">
        <v>16</v>
      </c>
    </row>
    <row r="1230" ht="14.25" spans="1:5">
      <c r="A1230" s="2" t="str">
        <f>"2020024129"</f>
        <v>2020024129</v>
      </c>
      <c r="B1230" s="2" t="s">
        <v>524</v>
      </c>
      <c r="C1230" s="2">
        <v>41</v>
      </c>
      <c r="D1230" s="2">
        <v>29</v>
      </c>
      <c r="E1230" s="3" t="s">
        <v>16</v>
      </c>
    </row>
    <row r="1231" ht="14.25" spans="1:5">
      <c r="A1231" s="2" t="str">
        <f>"2020024130"</f>
        <v>2020024130</v>
      </c>
      <c r="B1231" s="2" t="s">
        <v>524</v>
      </c>
      <c r="C1231" s="2">
        <v>41</v>
      </c>
      <c r="D1231" s="2">
        <v>30</v>
      </c>
      <c r="E1231" s="3">
        <v>64.1</v>
      </c>
    </row>
    <row r="1232" ht="14.25" spans="1:5">
      <c r="A1232" s="2" t="str">
        <f>"2020024201"</f>
        <v>2020024201</v>
      </c>
      <c r="B1232" s="2" t="s">
        <v>524</v>
      </c>
      <c r="C1232" s="2">
        <v>42</v>
      </c>
      <c r="D1232" s="2">
        <v>1</v>
      </c>
      <c r="E1232" s="3" t="s">
        <v>16</v>
      </c>
    </row>
    <row r="1233" ht="14.25" spans="1:5">
      <c r="A1233" s="2" t="str">
        <f>"2020024202"</f>
        <v>2020024202</v>
      </c>
      <c r="B1233" s="2" t="s">
        <v>524</v>
      </c>
      <c r="C1233" s="2">
        <v>42</v>
      </c>
      <c r="D1233" s="2">
        <v>2</v>
      </c>
      <c r="E1233" s="3">
        <v>61.6</v>
      </c>
    </row>
    <row r="1234" ht="14.25" spans="1:5">
      <c r="A1234" s="2" t="str">
        <f>"2020024203"</f>
        <v>2020024203</v>
      </c>
      <c r="B1234" s="2" t="s">
        <v>524</v>
      </c>
      <c r="C1234" s="2">
        <v>42</v>
      </c>
      <c r="D1234" s="2">
        <v>3</v>
      </c>
      <c r="E1234" s="3" t="s">
        <v>16</v>
      </c>
    </row>
    <row r="1235" ht="14.25" spans="1:5">
      <c r="A1235" s="2" t="str">
        <f>"2020024204"</f>
        <v>2020024204</v>
      </c>
      <c r="B1235" s="2" t="s">
        <v>524</v>
      </c>
      <c r="C1235" s="2">
        <v>42</v>
      </c>
      <c r="D1235" s="2">
        <v>4</v>
      </c>
      <c r="E1235" s="3">
        <v>68.2</v>
      </c>
    </row>
    <row r="1236" ht="14.25" spans="1:5">
      <c r="A1236" s="2" t="str">
        <f>"2020024205"</f>
        <v>2020024205</v>
      </c>
      <c r="B1236" s="2" t="s">
        <v>524</v>
      </c>
      <c r="C1236" s="2">
        <v>42</v>
      </c>
      <c r="D1236" s="2">
        <v>5</v>
      </c>
      <c r="E1236" s="3" t="s">
        <v>16</v>
      </c>
    </row>
    <row r="1237" ht="14.25" spans="1:5">
      <c r="A1237" s="2" t="str">
        <f>"2020024206"</f>
        <v>2020024206</v>
      </c>
      <c r="B1237" s="2" t="s">
        <v>524</v>
      </c>
      <c r="C1237" s="2">
        <v>42</v>
      </c>
      <c r="D1237" s="2">
        <v>6</v>
      </c>
      <c r="E1237" s="3">
        <v>54.1</v>
      </c>
    </row>
    <row r="1238" ht="14.25" spans="1:5">
      <c r="A1238" s="2" t="str">
        <f>"2020024207"</f>
        <v>2020024207</v>
      </c>
      <c r="B1238" s="2" t="s">
        <v>524</v>
      </c>
      <c r="C1238" s="2">
        <v>42</v>
      </c>
      <c r="D1238" s="2">
        <v>7</v>
      </c>
      <c r="E1238" s="3">
        <v>64.7</v>
      </c>
    </row>
    <row r="1239" ht="14.25" spans="1:5">
      <c r="A1239" s="2" t="str">
        <f>"2020024208"</f>
        <v>2020024208</v>
      </c>
      <c r="B1239" s="2" t="s">
        <v>524</v>
      </c>
      <c r="C1239" s="2">
        <v>42</v>
      </c>
      <c r="D1239" s="2">
        <v>8</v>
      </c>
      <c r="E1239" s="3">
        <v>72.4</v>
      </c>
    </row>
    <row r="1240" ht="14.25" spans="1:5">
      <c r="A1240" s="2" t="str">
        <f>"2020024209"</f>
        <v>2020024209</v>
      </c>
      <c r="B1240" s="2" t="s">
        <v>524</v>
      </c>
      <c r="C1240" s="2">
        <v>42</v>
      </c>
      <c r="D1240" s="2">
        <v>9</v>
      </c>
      <c r="E1240" s="3" t="s">
        <v>16</v>
      </c>
    </row>
    <row r="1241" ht="14.25" spans="1:5">
      <c r="A1241" s="2" t="str">
        <f>"2020024210"</f>
        <v>2020024210</v>
      </c>
      <c r="B1241" s="2" t="s">
        <v>524</v>
      </c>
      <c r="C1241" s="2">
        <v>42</v>
      </c>
      <c r="D1241" s="2">
        <v>10</v>
      </c>
      <c r="E1241" s="3" t="s">
        <v>16</v>
      </c>
    </row>
    <row r="1242" ht="14.25" spans="1:5">
      <c r="A1242" s="2" t="str">
        <f>"2020024211"</f>
        <v>2020024211</v>
      </c>
      <c r="B1242" s="2" t="s">
        <v>524</v>
      </c>
      <c r="C1242" s="2">
        <v>42</v>
      </c>
      <c r="D1242" s="2">
        <v>11</v>
      </c>
      <c r="E1242" s="3" t="s">
        <v>16</v>
      </c>
    </row>
    <row r="1243" ht="14.25" spans="1:5">
      <c r="A1243" s="2" t="str">
        <f>"2020024212"</f>
        <v>2020024212</v>
      </c>
      <c r="B1243" s="2" t="s">
        <v>524</v>
      </c>
      <c r="C1243" s="2">
        <v>42</v>
      </c>
      <c r="D1243" s="2">
        <v>12</v>
      </c>
      <c r="E1243" s="3" t="s">
        <v>16</v>
      </c>
    </row>
    <row r="1244" ht="14.25" spans="1:5">
      <c r="A1244" s="2" t="str">
        <f>"2020024213"</f>
        <v>2020024213</v>
      </c>
      <c r="B1244" s="2" t="s">
        <v>524</v>
      </c>
      <c r="C1244" s="2">
        <v>42</v>
      </c>
      <c r="D1244" s="2">
        <v>13</v>
      </c>
      <c r="E1244" s="3" t="s">
        <v>16</v>
      </c>
    </row>
    <row r="1245" ht="14.25" spans="1:5">
      <c r="A1245" s="2" t="str">
        <f>"2020024214"</f>
        <v>2020024214</v>
      </c>
      <c r="B1245" s="2" t="s">
        <v>524</v>
      </c>
      <c r="C1245" s="2">
        <v>42</v>
      </c>
      <c r="D1245" s="2">
        <v>14</v>
      </c>
      <c r="E1245" s="3" t="s">
        <v>16</v>
      </c>
    </row>
    <row r="1246" ht="14.25" spans="1:5">
      <c r="A1246" s="2" t="str">
        <f>"2020024215"</f>
        <v>2020024215</v>
      </c>
      <c r="B1246" s="2" t="s">
        <v>524</v>
      </c>
      <c r="C1246" s="2">
        <v>42</v>
      </c>
      <c r="D1246" s="2">
        <v>15</v>
      </c>
      <c r="E1246" s="3">
        <v>53.8</v>
      </c>
    </row>
    <row r="1247" ht="14.25" spans="1:5">
      <c r="A1247" s="2" t="str">
        <f>"2020024216"</f>
        <v>2020024216</v>
      </c>
      <c r="B1247" s="2" t="s">
        <v>524</v>
      </c>
      <c r="C1247" s="2">
        <v>42</v>
      </c>
      <c r="D1247" s="2">
        <v>16</v>
      </c>
      <c r="E1247" s="3">
        <v>49.8</v>
      </c>
    </row>
    <row r="1248" ht="14.25" spans="1:5">
      <c r="A1248" s="2" t="str">
        <f>"2020024217"</f>
        <v>2020024217</v>
      </c>
      <c r="B1248" s="2" t="s">
        <v>524</v>
      </c>
      <c r="C1248" s="2">
        <v>42</v>
      </c>
      <c r="D1248" s="2">
        <v>17</v>
      </c>
      <c r="E1248" s="3">
        <v>57.3</v>
      </c>
    </row>
    <row r="1249" ht="14.25" spans="1:5">
      <c r="A1249" s="2" t="str">
        <f>"2020024218"</f>
        <v>2020024218</v>
      </c>
      <c r="B1249" s="2" t="s">
        <v>524</v>
      </c>
      <c r="C1249" s="2">
        <v>42</v>
      </c>
      <c r="D1249" s="2">
        <v>18</v>
      </c>
      <c r="E1249" s="3" t="s">
        <v>16</v>
      </c>
    </row>
    <row r="1250" ht="14.25" spans="1:5">
      <c r="A1250" s="2" t="str">
        <f>"2020024219"</f>
        <v>2020024219</v>
      </c>
      <c r="B1250" s="2" t="s">
        <v>524</v>
      </c>
      <c r="C1250" s="2">
        <v>42</v>
      </c>
      <c r="D1250" s="2">
        <v>19</v>
      </c>
      <c r="E1250" s="3">
        <v>65.3</v>
      </c>
    </row>
    <row r="1251" ht="14.25" spans="1:5">
      <c r="A1251" s="2" t="str">
        <f>"2020024220"</f>
        <v>2020024220</v>
      </c>
      <c r="B1251" s="2" t="s">
        <v>524</v>
      </c>
      <c r="C1251" s="2">
        <v>42</v>
      </c>
      <c r="D1251" s="2">
        <v>20</v>
      </c>
      <c r="E1251" s="3">
        <v>75.5</v>
      </c>
    </row>
    <row r="1252" ht="14.25" spans="1:5">
      <c r="A1252" s="2" t="str">
        <f>"2020024221"</f>
        <v>2020024221</v>
      </c>
      <c r="B1252" s="2" t="s">
        <v>524</v>
      </c>
      <c r="C1252" s="2">
        <v>42</v>
      </c>
      <c r="D1252" s="2">
        <v>21</v>
      </c>
      <c r="E1252" s="3" t="s">
        <v>16</v>
      </c>
    </row>
    <row r="1253" ht="14.25" spans="1:5">
      <c r="A1253" s="2" t="str">
        <f>"2020024222"</f>
        <v>2020024222</v>
      </c>
      <c r="B1253" s="2" t="s">
        <v>524</v>
      </c>
      <c r="C1253" s="2">
        <v>42</v>
      </c>
      <c r="D1253" s="2">
        <v>22</v>
      </c>
      <c r="E1253" s="3" t="s">
        <v>16</v>
      </c>
    </row>
    <row r="1254" ht="14.25" spans="1:5">
      <c r="A1254" s="2" t="str">
        <f>"2020024223"</f>
        <v>2020024223</v>
      </c>
      <c r="B1254" s="2" t="s">
        <v>524</v>
      </c>
      <c r="C1254" s="2">
        <v>42</v>
      </c>
      <c r="D1254" s="2">
        <v>23</v>
      </c>
      <c r="E1254" s="3">
        <v>49</v>
      </c>
    </row>
    <row r="1255" ht="14.25" spans="1:5">
      <c r="A1255" s="2" t="str">
        <f>"2020024224"</f>
        <v>2020024224</v>
      </c>
      <c r="B1255" s="2" t="s">
        <v>524</v>
      </c>
      <c r="C1255" s="2">
        <v>42</v>
      </c>
      <c r="D1255" s="2">
        <v>24</v>
      </c>
      <c r="E1255" s="3">
        <v>59.7</v>
      </c>
    </row>
    <row r="1256" ht="14.25" spans="1:5">
      <c r="A1256" s="2" t="str">
        <f>"2020024225"</f>
        <v>2020024225</v>
      </c>
      <c r="B1256" s="2" t="s">
        <v>524</v>
      </c>
      <c r="C1256" s="2">
        <v>42</v>
      </c>
      <c r="D1256" s="2">
        <v>25</v>
      </c>
      <c r="E1256" s="3" t="s">
        <v>16</v>
      </c>
    </row>
    <row r="1257" ht="14.25" spans="1:5">
      <c r="A1257" s="2" t="str">
        <f>"2020024226"</f>
        <v>2020024226</v>
      </c>
      <c r="B1257" s="2" t="s">
        <v>524</v>
      </c>
      <c r="C1257" s="2">
        <v>42</v>
      </c>
      <c r="D1257" s="2">
        <v>26</v>
      </c>
      <c r="E1257" s="3">
        <v>74.4</v>
      </c>
    </row>
    <row r="1258" ht="14.25" spans="1:5">
      <c r="A1258" s="2" t="str">
        <f>"2020024227"</f>
        <v>2020024227</v>
      </c>
      <c r="B1258" s="2" t="s">
        <v>524</v>
      </c>
      <c r="C1258" s="2">
        <v>42</v>
      </c>
      <c r="D1258" s="2">
        <v>27</v>
      </c>
      <c r="E1258" s="3" t="s">
        <v>16</v>
      </c>
    </row>
    <row r="1259" ht="14.25" spans="1:5">
      <c r="A1259" s="2" t="str">
        <f>"2020024228"</f>
        <v>2020024228</v>
      </c>
      <c r="B1259" s="2" t="s">
        <v>524</v>
      </c>
      <c r="C1259" s="2">
        <v>42</v>
      </c>
      <c r="D1259" s="2">
        <v>28</v>
      </c>
      <c r="E1259" s="3">
        <v>47</v>
      </c>
    </row>
    <row r="1260" ht="14.25" spans="1:5">
      <c r="A1260" s="2" t="str">
        <f>"2020024229"</f>
        <v>2020024229</v>
      </c>
      <c r="B1260" s="2" t="s">
        <v>524</v>
      </c>
      <c r="C1260" s="2">
        <v>42</v>
      </c>
      <c r="D1260" s="2">
        <v>29</v>
      </c>
      <c r="E1260" s="3">
        <v>55</v>
      </c>
    </row>
    <row r="1261" ht="14.25" spans="1:5">
      <c r="A1261" s="2" t="str">
        <f>"2020024230"</f>
        <v>2020024230</v>
      </c>
      <c r="B1261" s="2" t="s">
        <v>524</v>
      </c>
      <c r="C1261" s="2">
        <v>42</v>
      </c>
      <c r="D1261" s="2">
        <v>30</v>
      </c>
      <c r="E1261" s="3" t="s">
        <v>16</v>
      </c>
    </row>
    <row r="1262" ht="14.25" spans="1:5">
      <c r="A1262" s="2" t="str">
        <f>"2020024301"</f>
        <v>2020024301</v>
      </c>
      <c r="B1262" s="2" t="s">
        <v>524</v>
      </c>
      <c r="C1262" s="2">
        <v>43</v>
      </c>
      <c r="D1262" s="2">
        <v>1</v>
      </c>
      <c r="E1262" s="3" t="s">
        <v>16</v>
      </c>
    </row>
    <row r="1263" ht="14.25" spans="1:5">
      <c r="A1263" s="2" t="str">
        <f>"2020024302"</f>
        <v>2020024302</v>
      </c>
      <c r="B1263" s="2" t="s">
        <v>524</v>
      </c>
      <c r="C1263" s="2">
        <v>43</v>
      </c>
      <c r="D1263" s="2">
        <v>2</v>
      </c>
      <c r="E1263" s="3" t="s">
        <v>16</v>
      </c>
    </row>
    <row r="1264" ht="14.25" spans="1:5">
      <c r="A1264" s="2" t="str">
        <f>"2020024303"</f>
        <v>2020024303</v>
      </c>
      <c r="B1264" s="2" t="s">
        <v>524</v>
      </c>
      <c r="C1264" s="2">
        <v>43</v>
      </c>
      <c r="D1264" s="2">
        <v>3</v>
      </c>
      <c r="E1264" s="3" t="s">
        <v>16</v>
      </c>
    </row>
    <row r="1265" ht="14.25" spans="1:5">
      <c r="A1265" s="2" t="str">
        <f>"2020024304"</f>
        <v>2020024304</v>
      </c>
      <c r="B1265" s="2" t="s">
        <v>524</v>
      </c>
      <c r="C1265" s="2">
        <v>43</v>
      </c>
      <c r="D1265" s="2">
        <v>4</v>
      </c>
      <c r="E1265" s="3">
        <v>51.8</v>
      </c>
    </row>
    <row r="1266" ht="14.25" spans="1:5">
      <c r="A1266" s="2" t="str">
        <f>"2020024305"</f>
        <v>2020024305</v>
      </c>
      <c r="B1266" s="2" t="s">
        <v>524</v>
      </c>
      <c r="C1266" s="2">
        <v>43</v>
      </c>
      <c r="D1266" s="2">
        <v>5</v>
      </c>
      <c r="E1266" s="3" t="s">
        <v>16</v>
      </c>
    </row>
    <row r="1267" ht="14.25" spans="1:5">
      <c r="A1267" s="2" t="str">
        <f>"2020024306"</f>
        <v>2020024306</v>
      </c>
      <c r="B1267" s="2" t="s">
        <v>524</v>
      </c>
      <c r="C1267" s="2">
        <v>43</v>
      </c>
      <c r="D1267" s="2">
        <v>6</v>
      </c>
      <c r="E1267" s="3" t="s">
        <v>16</v>
      </c>
    </row>
    <row r="1268" ht="14.25" spans="1:5">
      <c r="A1268" s="2" t="str">
        <f>"2020024307"</f>
        <v>2020024307</v>
      </c>
      <c r="B1268" s="2" t="s">
        <v>524</v>
      </c>
      <c r="C1268" s="2">
        <v>43</v>
      </c>
      <c r="D1268" s="2">
        <v>7</v>
      </c>
      <c r="E1268" s="3">
        <v>65.3</v>
      </c>
    </row>
    <row r="1269" ht="14.25" spans="1:5">
      <c r="A1269" s="2" t="str">
        <f>"2020024308"</f>
        <v>2020024308</v>
      </c>
      <c r="B1269" s="2" t="s">
        <v>524</v>
      </c>
      <c r="C1269" s="2">
        <v>43</v>
      </c>
      <c r="D1269" s="2">
        <v>8</v>
      </c>
      <c r="E1269" s="3">
        <v>66.5</v>
      </c>
    </row>
    <row r="1270" ht="14.25" spans="1:5">
      <c r="A1270" s="2" t="str">
        <f>"2020024309"</f>
        <v>2020024309</v>
      </c>
      <c r="B1270" s="2" t="s">
        <v>524</v>
      </c>
      <c r="C1270" s="2">
        <v>43</v>
      </c>
      <c r="D1270" s="2">
        <v>9</v>
      </c>
      <c r="E1270" s="3">
        <v>77.1</v>
      </c>
    </row>
    <row r="1271" ht="14.25" spans="1:5">
      <c r="A1271" s="2" t="str">
        <f>"2020024310"</f>
        <v>2020024310</v>
      </c>
      <c r="B1271" s="2" t="s">
        <v>524</v>
      </c>
      <c r="C1271" s="2">
        <v>43</v>
      </c>
      <c r="D1271" s="2">
        <v>10</v>
      </c>
      <c r="E1271" s="3" t="s">
        <v>16</v>
      </c>
    </row>
    <row r="1272" ht="14.25" spans="1:5">
      <c r="A1272" s="2" t="str">
        <f>"2020024311"</f>
        <v>2020024311</v>
      </c>
      <c r="B1272" s="2" t="s">
        <v>524</v>
      </c>
      <c r="C1272" s="2">
        <v>43</v>
      </c>
      <c r="D1272" s="2">
        <v>11</v>
      </c>
      <c r="E1272" s="3" t="s">
        <v>16</v>
      </c>
    </row>
    <row r="1273" ht="14.25" spans="1:5">
      <c r="A1273" s="2" t="str">
        <f>"2020024312"</f>
        <v>2020024312</v>
      </c>
      <c r="B1273" s="2" t="s">
        <v>524</v>
      </c>
      <c r="C1273" s="2">
        <v>43</v>
      </c>
      <c r="D1273" s="2">
        <v>12</v>
      </c>
      <c r="E1273" s="3">
        <v>66.6</v>
      </c>
    </row>
    <row r="1274" ht="14.25" spans="1:5">
      <c r="A1274" s="2" t="str">
        <f>"2020024313"</f>
        <v>2020024313</v>
      </c>
      <c r="B1274" s="2" t="s">
        <v>524</v>
      </c>
      <c r="C1274" s="2">
        <v>43</v>
      </c>
      <c r="D1274" s="2">
        <v>13</v>
      </c>
      <c r="E1274" s="3" t="s">
        <v>16</v>
      </c>
    </row>
    <row r="1275" ht="14.25" spans="1:5">
      <c r="A1275" s="2" t="str">
        <f>"2020024314"</f>
        <v>2020024314</v>
      </c>
      <c r="B1275" s="2" t="s">
        <v>524</v>
      </c>
      <c r="C1275" s="2">
        <v>43</v>
      </c>
      <c r="D1275" s="2">
        <v>14</v>
      </c>
      <c r="E1275" s="3" t="s">
        <v>16</v>
      </c>
    </row>
    <row r="1276" ht="14.25" spans="1:5">
      <c r="A1276" s="2" t="str">
        <f>"2020024315"</f>
        <v>2020024315</v>
      </c>
      <c r="B1276" s="2" t="s">
        <v>524</v>
      </c>
      <c r="C1276" s="2">
        <v>43</v>
      </c>
      <c r="D1276" s="2">
        <v>15</v>
      </c>
      <c r="E1276" s="3">
        <v>65.8</v>
      </c>
    </row>
    <row r="1277" ht="14.25" spans="1:5">
      <c r="A1277" s="2" t="str">
        <f>"2020024316"</f>
        <v>2020024316</v>
      </c>
      <c r="B1277" s="2" t="s">
        <v>524</v>
      </c>
      <c r="C1277" s="2">
        <v>43</v>
      </c>
      <c r="D1277" s="2">
        <v>16</v>
      </c>
      <c r="E1277" s="3" t="s">
        <v>16</v>
      </c>
    </row>
    <row r="1278" ht="14.25" spans="1:5">
      <c r="A1278" s="2" t="str">
        <f>"2020024317"</f>
        <v>2020024317</v>
      </c>
      <c r="B1278" s="2" t="s">
        <v>524</v>
      </c>
      <c r="C1278" s="2">
        <v>43</v>
      </c>
      <c r="D1278" s="2">
        <v>17</v>
      </c>
      <c r="E1278" s="3" t="s">
        <v>16</v>
      </c>
    </row>
    <row r="1279" ht="14.25" spans="1:5">
      <c r="A1279" s="2" t="str">
        <f>"2020024318"</f>
        <v>2020024318</v>
      </c>
      <c r="B1279" s="2" t="s">
        <v>524</v>
      </c>
      <c r="C1279" s="2">
        <v>43</v>
      </c>
      <c r="D1279" s="2">
        <v>18</v>
      </c>
      <c r="E1279" s="3" t="s">
        <v>16</v>
      </c>
    </row>
    <row r="1280" ht="14.25" spans="1:5">
      <c r="A1280" s="2" t="str">
        <f>"2020024319"</f>
        <v>2020024319</v>
      </c>
      <c r="B1280" s="2" t="s">
        <v>524</v>
      </c>
      <c r="C1280" s="2">
        <v>43</v>
      </c>
      <c r="D1280" s="2">
        <v>19</v>
      </c>
      <c r="E1280" s="3" t="s">
        <v>16</v>
      </c>
    </row>
    <row r="1281" ht="14.25" spans="1:5">
      <c r="A1281" s="2" t="str">
        <f>"2020024320"</f>
        <v>2020024320</v>
      </c>
      <c r="B1281" s="2" t="s">
        <v>524</v>
      </c>
      <c r="C1281" s="2">
        <v>43</v>
      </c>
      <c r="D1281" s="2">
        <v>20</v>
      </c>
      <c r="E1281" s="3" t="s">
        <v>16</v>
      </c>
    </row>
    <row r="1282" ht="14.25" spans="1:5">
      <c r="A1282" s="2" t="str">
        <f>"2020024321"</f>
        <v>2020024321</v>
      </c>
      <c r="B1282" s="2" t="s">
        <v>524</v>
      </c>
      <c r="C1282" s="2">
        <v>43</v>
      </c>
      <c r="D1282" s="2">
        <v>21</v>
      </c>
      <c r="E1282" s="3">
        <v>69.9</v>
      </c>
    </row>
    <row r="1283" ht="14.25" spans="1:5">
      <c r="A1283" s="2" t="str">
        <f>"2020024322"</f>
        <v>2020024322</v>
      </c>
      <c r="B1283" s="2" t="s">
        <v>524</v>
      </c>
      <c r="C1283" s="2">
        <v>43</v>
      </c>
      <c r="D1283" s="2">
        <v>22</v>
      </c>
      <c r="E1283" s="3" t="s">
        <v>16</v>
      </c>
    </row>
    <row r="1284" ht="14.25" spans="1:5">
      <c r="A1284" s="2" t="str">
        <f>"2020024323"</f>
        <v>2020024323</v>
      </c>
      <c r="B1284" s="2" t="s">
        <v>524</v>
      </c>
      <c r="C1284" s="2">
        <v>43</v>
      </c>
      <c r="D1284" s="2">
        <v>23</v>
      </c>
      <c r="E1284" s="3">
        <v>50.1</v>
      </c>
    </row>
    <row r="1285" ht="14.25" spans="1:5">
      <c r="A1285" s="2" t="str">
        <f>"2020024324"</f>
        <v>2020024324</v>
      </c>
      <c r="B1285" s="2" t="s">
        <v>524</v>
      </c>
      <c r="C1285" s="2">
        <v>43</v>
      </c>
      <c r="D1285" s="2">
        <v>24</v>
      </c>
      <c r="E1285" s="3">
        <v>64.4</v>
      </c>
    </row>
    <row r="1286" ht="14.25" spans="1:5">
      <c r="A1286" s="2" t="str">
        <f>"2020024325"</f>
        <v>2020024325</v>
      </c>
      <c r="B1286" s="2" t="s">
        <v>524</v>
      </c>
      <c r="C1286" s="2">
        <v>43</v>
      </c>
      <c r="D1286" s="2">
        <v>25</v>
      </c>
      <c r="E1286" s="3">
        <v>65.1</v>
      </c>
    </row>
    <row r="1287" ht="14.25" spans="1:5">
      <c r="A1287" s="2" t="str">
        <f>"2020024326"</f>
        <v>2020024326</v>
      </c>
      <c r="B1287" s="2" t="s">
        <v>524</v>
      </c>
      <c r="C1287" s="2">
        <v>43</v>
      </c>
      <c r="D1287" s="2">
        <v>26</v>
      </c>
      <c r="E1287" s="3">
        <v>62</v>
      </c>
    </row>
    <row r="1288" ht="14.25" spans="1:5">
      <c r="A1288" s="2" t="str">
        <f>"2020024327"</f>
        <v>2020024327</v>
      </c>
      <c r="B1288" s="2" t="s">
        <v>524</v>
      </c>
      <c r="C1288" s="2">
        <v>43</v>
      </c>
      <c r="D1288" s="2">
        <v>27</v>
      </c>
      <c r="E1288" s="3">
        <v>62.6</v>
      </c>
    </row>
    <row r="1289" ht="14.25" spans="1:5">
      <c r="A1289" s="2" t="str">
        <f>"2020024328"</f>
        <v>2020024328</v>
      </c>
      <c r="B1289" s="2" t="s">
        <v>524</v>
      </c>
      <c r="C1289" s="2">
        <v>43</v>
      </c>
      <c r="D1289" s="2">
        <v>28</v>
      </c>
      <c r="E1289" s="3" t="s">
        <v>16</v>
      </c>
    </row>
    <row r="1290" ht="14.25" spans="1:5">
      <c r="A1290" s="2" t="str">
        <f>"2020024329"</f>
        <v>2020024329</v>
      </c>
      <c r="B1290" s="2" t="s">
        <v>524</v>
      </c>
      <c r="C1290" s="2">
        <v>43</v>
      </c>
      <c r="D1290" s="2">
        <v>29</v>
      </c>
      <c r="E1290" s="3">
        <v>53.1</v>
      </c>
    </row>
    <row r="1291" ht="14.25" spans="1:5">
      <c r="A1291" s="2" t="str">
        <f>"2020024330"</f>
        <v>2020024330</v>
      </c>
      <c r="B1291" s="2" t="s">
        <v>524</v>
      </c>
      <c r="C1291" s="2">
        <v>43</v>
      </c>
      <c r="D1291" s="2">
        <v>30</v>
      </c>
      <c r="E1291" s="3" t="s">
        <v>16</v>
      </c>
    </row>
    <row r="1292" ht="14.25" spans="1:5">
      <c r="A1292" s="2" t="str">
        <f>"2020024401"</f>
        <v>2020024401</v>
      </c>
      <c r="B1292" s="2" t="s">
        <v>524</v>
      </c>
      <c r="C1292" s="2">
        <v>44</v>
      </c>
      <c r="D1292" s="2">
        <v>1</v>
      </c>
      <c r="E1292" s="3">
        <v>66.9</v>
      </c>
    </row>
    <row r="1293" ht="14.25" spans="1:5">
      <c r="A1293" s="2" t="str">
        <f>"2020024402"</f>
        <v>2020024402</v>
      </c>
      <c r="B1293" s="2" t="s">
        <v>524</v>
      </c>
      <c r="C1293" s="2">
        <v>44</v>
      </c>
      <c r="D1293" s="2">
        <v>2</v>
      </c>
      <c r="E1293" s="3">
        <v>57.4</v>
      </c>
    </row>
    <row r="1294" ht="14.25" spans="1:5">
      <c r="A1294" s="2" t="str">
        <f>"2020024403"</f>
        <v>2020024403</v>
      </c>
      <c r="B1294" s="2" t="s">
        <v>524</v>
      </c>
      <c r="C1294" s="2">
        <v>44</v>
      </c>
      <c r="D1294" s="2">
        <v>3</v>
      </c>
      <c r="E1294" s="3" t="s">
        <v>16</v>
      </c>
    </row>
    <row r="1295" ht="14.25" spans="1:5">
      <c r="A1295" s="2" t="str">
        <f>"2020024404"</f>
        <v>2020024404</v>
      </c>
      <c r="B1295" s="2" t="s">
        <v>524</v>
      </c>
      <c r="C1295" s="2">
        <v>44</v>
      </c>
      <c r="D1295" s="2">
        <v>4</v>
      </c>
      <c r="E1295" s="3" t="s">
        <v>16</v>
      </c>
    </row>
    <row r="1296" ht="14.25" spans="1:5">
      <c r="A1296" s="2" t="str">
        <f>"2020024405"</f>
        <v>2020024405</v>
      </c>
      <c r="B1296" s="2" t="s">
        <v>524</v>
      </c>
      <c r="C1296" s="2">
        <v>44</v>
      </c>
      <c r="D1296" s="2">
        <v>5</v>
      </c>
      <c r="E1296" s="3" t="s">
        <v>16</v>
      </c>
    </row>
    <row r="1297" ht="14.25" spans="1:5">
      <c r="A1297" s="2" t="str">
        <f>"2020024406"</f>
        <v>2020024406</v>
      </c>
      <c r="B1297" s="2" t="s">
        <v>524</v>
      </c>
      <c r="C1297" s="2">
        <v>44</v>
      </c>
      <c r="D1297" s="2">
        <v>6</v>
      </c>
      <c r="E1297" s="3">
        <v>49.8</v>
      </c>
    </row>
    <row r="1298" ht="14.25" spans="1:5">
      <c r="A1298" s="2" t="str">
        <f>"2020024407"</f>
        <v>2020024407</v>
      </c>
      <c r="B1298" s="2" t="s">
        <v>524</v>
      </c>
      <c r="C1298" s="2">
        <v>44</v>
      </c>
      <c r="D1298" s="2">
        <v>7</v>
      </c>
      <c r="E1298" s="3">
        <v>65.9</v>
      </c>
    </row>
    <row r="1299" ht="14.25" spans="1:5">
      <c r="A1299" s="2" t="str">
        <f>"2020024408"</f>
        <v>2020024408</v>
      </c>
      <c r="B1299" s="2" t="s">
        <v>524</v>
      </c>
      <c r="C1299" s="2">
        <v>44</v>
      </c>
      <c r="D1299" s="2">
        <v>8</v>
      </c>
      <c r="E1299" s="3">
        <v>59.9</v>
      </c>
    </row>
    <row r="1300" ht="14.25" spans="1:5">
      <c r="A1300" s="2" t="str">
        <f>"2020024409"</f>
        <v>2020024409</v>
      </c>
      <c r="B1300" s="2" t="s">
        <v>524</v>
      </c>
      <c r="C1300" s="2">
        <v>44</v>
      </c>
      <c r="D1300" s="2">
        <v>9</v>
      </c>
      <c r="E1300" s="3" t="s">
        <v>16</v>
      </c>
    </row>
    <row r="1301" ht="14.25" spans="1:5">
      <c r="A1301" s="2" t="str">
        <f>"2020024410"</f>
        <v>2020024410</v>
      </c>
      <c r="B1301" s="2" t="s">
        <v>524</v>
      </c>
      <c r="C1301" s="2">
        <v>44</v>
      </c>
      <c r="D1301" s="2">
        <v>10</v>
      </c>
      <c r="E1301" s="3">
        <v>74.5</v>
      </c>
    </row>
    <row r="1302" ht="14.25" spans="1:5">
      <c r="A1302" s="2" t="str">
        <f>"2020024411"</f>
        <v>2020024411</v>
      </c>
      <c r="B1302" s="2" t="s">
        <v>524</v>
      </c>
      <c r="C1302" s="2">
        <v>44</v>
      </c>
      <c r="D1302" s="2">
        <v>11</v>
      </c>
      <c r="E1302" s="3">
        <v>72.5</v>
      </c>
    </row>
    <row r="1303" ht="14.25" spans="1:5">
      <c r="A1303" s="2" t="str">
        <f>"2020024412"</f>
        <v>2020024412</v>
      </c>
      <c r="B1303" s="2" t="s">
        <v>524</v>
      </c>
      <c r="C1303" s="2">
        <v>44</v>
      </c>
      <c r="D1303" s="2">
        <v>12</v>
      </c>
      <c r="E1303" s="3" t="s">
        <v>16</v>
      </c>
    </row>
    <row r="1304" ht="14.25" spans="1:5">
      <c r="A1304" s="2" t="str">
        <f>"2020024413"</f>
        <v>2020024413</v>
      </c>
      <c r="B1304" s="2" t="s">
        <v>524</v>
      </c>
      <c r="C1304" s="2">
        <v>44</v>
      </c>
      <c r="D1304" s="2">
        <v>13</v>
      </c>
      <c r="E1304" s="3">
        <v>62</v>
      </c>
    </row>
    <row r="1305" ht="14.25" spans="1:5">
      <c r="A1305" s="2" t="str">
        <f>"2020024414"</f>
        <v>2020024414</v>
      </c>
      <c r="B1305" s="2" t="s">
        <v>524</v>
      </c>
      <c r="C1305" s="2">
        <v>44</v>
      </c>
      <c r="D1305" s="2">
        <v>14</v>
      </c>
      <c r="E1305" s="3" t="s">
        <v>16</v>
      </c>
    </row>
    <row r="1306" ht="14.25" spans="1:5">
      <c r="A1306" s="2" t="str">
        <f>"2020024415"</f>
        <v>2020024415</v>
      </c>
      <c r="B1306" s="2" t="s">
        <v>524</v>
      </c>
      <c r="C1306" s="2">
        <v>44</v>
      </c>
      <c r="D1306" s="2">
        <v>15</v>
      </c>
      <c r="E1306" s="3" t="s">
        <v>16</v>
      </c>
    </row>
    <row r="1307" ht="14.25" spans="1:5">
      <c r="A1307" s="2" t="str">
        <f>"2020024416"</f>
        <v>2020024416</v>
      </c>
      <c r="B1307" s="2" t="s">
        <v>524</v>
      </c>
      <c r="C1307" s="2">
        <v>44</v>
      </c>
      <c r="D1307" s="2">
        <v>16</v>
      </c>
      <c r="E1307" s="3" t="s">
        <v>16</v>
      </c>
    </row>
    <row r="1308" ht="14.25" spans="1:5">
      <c r="A1308" s="2" t="str">
        <f>"2020024417"</f>
        <v>2020024417</v>
      </c>
      <c r="B1308" s="2" t="s">
        <v>524</v>
      </c>
      <c r="C1308" s="2">
        <v>44</v>
      </c>
      <c r="D1308" s="2">
        <v>17</v>
      </c>
      <c r="E1308" s="3" t="s">
        <v>16</v>
      </c>
    </row>
    <row r="1309" ht="14.25" spans="1:5">
      <c r="A1309" s="2" t="str">
        <f>"2020024418"</f>
        <v>2020024418</v>
      </c>
      <c r="B1309" s="2" t="s">
        <v>524</v>
      </c>
      <c r="C1309" s="2">
        <v>44</v>
      </c>
      <c r="D1309" s="2">
        <v>18</v>
      </c>
      <c r="E1309" s="3" t="s">
        <v>16</v>
      </c>
    </row>
    <row r="1310" ht="14.25" spans="1:5">
      <c r="A1310" s="2" t="str">
        <f>"2020024419"</f>
        <v>2020024419</v>
      </c>
      <c r="B1310" s="2" t="s">
        <v>524</v>
      </c>
      <c r="C1310" s="2">
        <v>44</v>
      </c>
      <c r="D1310" s="2">
        <v>19</v>
      </c>
      <c r="E1310" s="3">
        <v>56.2</v>
      </c>
    </row>
    <row r="1311" ht="14.25" spans="1:5">
      <c r="A1311" s="2" t="str">
        <f>"2020024420"</f>
        <v>2020024420</v>
      </c>
      <c r="B1311" s="2" t="s">
        <v>524</v>
      </c>
      <c r="C1311" s="2">
        <v>44</v>
      </c>
      <c r="D1311" s="2">
        <v>20</v>
      </c>
      <c r="E1311" s="3" t="s">
        <v>16</v>
      </c>
    </row>
    <row r="1312" ht="14.25" spans="1:5">
      <c r="A1312" s="2" t="str">
        <f>"2020024421"</f>
        <v>2020024421</v>
      </c>
      <c r="B1312" s="2" t="s">
        <v>524</v>
      </c>
      <c r="C1312" s="2">
        <v>44</v>
      </c>
      <c r="D1312" s="2">
        <v>21</v>
      </c>
      <c r="E1312" s="3" t="s">
        <v>16</v>
      </c>
    </row>
    <row r="1313" ht="14.25" spans="1:5">
      <c r="A1313" s="2" t="str">
        <f>"2020024422"</f>
        <v>2020024422</v>
      </c>
      <c r="B1313" s="2" t="s">
        <v>524</v>
      </c>
      <c r="C1313" s="2">
        <v>44</v>
      </c>
      <c r="D1313" s="2">
        <v>22</v>
      </c>
      <c r="E1313" s="3">
        <v>67.4</v>
      </c>
    </row>
    <row r="1314" ht="14.25" spans="1:5">
      <c r="A1314" s="2" t="str">
        <f>"2020024423"</f>
        <v>2020024423</v>
      </c>
      <c r="B1314" s="2" t="s">
        <v>524</v>
      </c>
      <c r="C1314" s="2">
        <v>44</v>
      </c>
      <c r="D1314" s="2">
        <v>23</v>
      </c>
      <c r="E1314" s="3" t="s">
        <v>16</v>
      </c>
    </row>
    <row r="1315" ht="14.25" spans="1:5">
      <c r="A1315" s="2" t="str">
        <f>"2020024424"</f>
        <v>2020024424</v>
      </c>
      <c r="B1315" s="2" t="s">
        <v>524</v>
      </c>
      <c r="C1315" s="2">
        <v>44</v>
      </c>
      <c r="D1315" s="2">
        <v>24</v>
      </c>
      <c r="E1315" s="3" t="s">
        <v>16</v>
      </c>
    </row>
    <row r="1316" ht="14.25" spans="1:5">
      <c r="A1316" s="2" t="str">
        <f>"2020024425"</f>
        <v>2020024425</v>
      </c>
      <c r="B1316" s="2" t="s">
        <v>524</v>
      </c>
      <c r="C1316" s="2">
        <v>44</v>
      </c>
      <c r="D1316" s="2">
        <v>25</v>
      </c>
      <c r="E1316" s="3">
        <v>58.5</v>
      </c>
    </row>
    <row r="1317" ht="14.25" spans="1:5">
      <c r="A1317" s="2" t="str">
        <f>"2020024426"</f>
        <v>2020024426</v>
      </c>
      <c r="B1317" s="2" t="s">
        <v>524</v>
      </c>
      <c r="C1317" s="2">
        <v>44</v>
      </c>
      <c r="D1317" s="2">
        <v>26</v>
      </c>
      <c r="E1317" s="3">
        <v>69.3</v>
      </c>
    </row>
    <row r="1318" ht="14.25" spans="1:5">
      <c r="A1318" s="2" t="str">
        <f>"2020024427"</f>
        <v>2020024427</v>
      </c>
      <c r="B1318" s="2" t="s">
        <v>524</v>
      </c>
      <c r="C1318" s="2">
        <v>44</v>
      </c>
      <c r="D1318" s="2">
        <v>27</v>
      </c>
      <c r="E1318" s="3" t="s">
        <v>16</v>
      </c>
    </row>
    <row r="1319" ht="14.25" spans="1:5">
      <c r="A1319" s="2" t="str">
        <f>"2020024428"</f>
        <v>2020024428</v>
      </c>
      <c r="B1319" s="2" t="s">
        <v>524</v>
      </c>
      <c r="C1319" s="2">
        <v>44</v>
      </c>
      <c r="D1319" s="2">
        <v>28</v>
      </c>
      <c r="E1319" s="3">
        <v>60.4</v>
      </c>
    </row>
    <row r="1320" ht="14.25" spans="1:5">
      <c r="A1320" s="2" t="str">
        <f>"2020024429"</f>
        <v>2020024429</v>
      </c>
      <c r="B1320" s="2" t="s">
        <v>524</v>
      </c>
      <c r="C1320" s="2">
        <v>44</v>
      </c>
      <c r="D1320" s="2">
        <v>29</v>
      </c>
      <c r="E1320" s="3" t="s">
        <v>16</v>
      </c>
    </row>
    <row r="1321" ht="14.25" spans="1:5">
      <c r="A1321" s="2" t="str">
        <f>"2020024430"</f>
        <v>2020024430</v>
      </c>
      <c r="B1321" s="2" t="s">
        <v>524</v>
      </c>
      <c r="C1321" s="2">
        <v>44</v>
      </c>
      <c r="D1321" s="2">
        <v>30</v>
      </c>
      <c r="E1321" s="3">
        <v>56.5</v>
      </c>
    </row>
    <row r="1322" ht="14.25" spans="1:5">
      <c r="A1322" s="2" t="str">
        <f>"2020024501"</f>
        <v>2020024501</v>
      </c>
      <c r="B1322" s="2" t="s">
        <v>524</v>
      </c>
      <c r="C1322" s="2">
        <v>45</v>
      </c>
      <c r="D1322" s="2">
        <v>1</v>
      </c>
      <c r="E1322" s="3">
        <v>59.8</v>
      </c>
    </row>
    <row r="1323" ht="14.25" spans="1:5">
      <c r="A1323" s="2" t="str">
        <f>"2020024502"</f>
        <v>2020024502</v>
      </c>
      <c r="B1323" s="2" t="s">
        <v>524</v>
      </c>
      <c r="C1323" s="2">
        <v>45</v>
      </c>
      <c r="D1323" s="2">
        <v>2</v>
      </c>
      <c r="E1323" s="3">
        <v>69.2</v>
      </c>
    </row>
    <row r="1324" ht="14.25" spans="1:5">
      <c r="A1324" s="2" t="str">
        <f>"2020024503"</f>
        <v>2020024503</v>
      </c>
      <c r="B1324" s="2" t="s">
        <v>524</v>
      </c>
      <c r="C1324" s="2">
        <v>45</v>
      </c>
      <c r="D1324" s="2">
        <v>3</v>
      </c>
      <c r="E1324" s="3">
        <v>54.1</v>
      </c>
    </row>
    <row r="1325" ht="14.25" spans="1:5">
      <c r="A1325" s="2" t="str">
        <f>"2020024504"</f>
        <v>2020024504</v>
      </c>
      <c r="B1325" s="2" t="s">
        <v>524</v>
      </c>
      <c r="C1325" s="2">
        <v>45</v>
      </c>
      <c r="D1325" s="2">
        <v>4</v>
      </c>
      <c r="E1325" s="3" t="s">
        <v>16</v>
      </c>
    </row>
    <row r="1326" ht="14.25" spans="1:5">
      <c r="A1326" s="2" t="str">
        <f>"2020024505"</f>
        <v>2020024505</v>
      </c>
      <c r="B1326" s="2" t="s">
        <v>524</v>
      </c>
      <c r="C1326" s="2">
        <v>45</v>
      </c>
      <c r="D1326" s="2">
        <v>5</v>
      </c>
      <c r="E1326" s="3">
        <v>63.7</v>
      </c>
    </row>
    <row r="1327" ht="14.25" spans="1:5">
      <c r="A1327" s="2" t="str">
        <f>"2020024506"</f>
        <v>2020024506</v>
      </c>
      <c r="B1327" s="2" t="s">
        <v>524</v>
      </c>
      <c r="C1327" s="2">
        <v>45</v>
      </c>
      <c r="D1327" s="2">
        <v>6</v>
      </c>
      <c r="E1327" s="3" t="s">
        <v>16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8月8日（其他岗位）</vt:lpstr>
      <vt:lpstr>8月9日（05-08岗位）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崔爱民</dc:creator>
  <cp:lastModifiedBy>虚世浮华</cp:lastModifiedBy>
  <dcterms:created xsi:type="dcterms:W3CDTF">2020-08-16T11:11:00Z</dcterms:created>
  <dcterms:modified xsi:type="dcterms:W3CDTF">2020-08-16T12:21:13Z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