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<sst xmlns="http://schemas.openxmlformats.org/spreadsheetml/2006/main" count="341" uniqueCount="111">
  <si>
    <t>2022年如东县教育体育系统公开招聘教师拟聘用人员名单（一）</t>
  </si>
  <si>
    <t>序号</t>
  </si>
  <si>
    <r>
      <rPr>
        <sz val="10"/>
        <color indexed="8"/>
        <rFont val="宋体"/>
        <family val="0"/>
      </rPr>
      <t>准考证号</t>
    </r>
  </si>
  <si>
    <r>
      <rPr>
        <sz val="10"/>
        <color indexed="8"/>
        <rFont val="宋体"/>
        <family val="0"/>
      </rPr>
      <t>岗位代码</t>
    </r>
  </si>
  <si>
    <t>学段学科</t>
  </si>
  <si>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</si>
  <si>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</si>
  <si>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</si>
  <si>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毕业院校</t>
    </r>
  </si>
  <si>
    <r>
      <rPr>
        <sz val="10"/>
        <color indexed="8"/>
        <rFont val="宋体"/>
        <family val="0"/>
      </rPr>
      <t>现工作单位</t>
    </r>
  </si>
  <si>
    <t>笔试成绩</t>
  </si>
  <si>
    <t>技能成绩</t>
  </si>
  <si>
    <t>面试成绩</t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</si>
  <si>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</si>
  <si>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岗位排名</t>
    </r>
  </si>
  <si>
    <t>备注</t>
  </si>
  <si>
    <t>选岗单位</t>
  </si>
  <si>
    <r>
      <rPr>
        <sz val="10"/>
        <color indexed="8"/>
        <rFont val="等线"/>
        <family val="0"/>
      </rPr>
      <t>高中语文</t>
    </r>
  </si>
  <si>
    <r>
      <rPr>
        <sz val="10"/>
        <color indexed="8"/>
        <rFont val="宋体"/>
        <family val="0"/>
      </rPr>
      <t>如东第一高中、栟茶高中、掘港高中、如东中专各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</si>
  <si>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初中语文</t>
    </r>
  </si>
  <si>
    <r>
      <rPr>
        <sz val="10"/>
        <color indexed="8"/>
        <rFont val="宋体"/>
        <family val="0"/>
      </rPr>
      <t>双甸中学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人，洋口港实验初中、景安初中各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</si>
  <si>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小学语文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</si>
  <si>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</si>
  <si>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解放路小学、浒澪小学各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人，洋口港实验小学、褔亮小学、丰利小学、洋口小学、栟茶小学、靖海小学各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</si>
  <si>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 xml:space="preserve"> 6</t>
    </r>
    <r>
      <rPr>
        <sz val="10"/>
        <color indexed="8"/>
        <rFont val="宋体"/>
        <family val="0"/>
      </rPr>
      <t>名怀孕待检、第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</si>
  <si>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友谊路小学、洋口小学、浒澪小学、靖海小学、河口小学、景安小学、先民小学、双甸小学、利群小学各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</si>
  <si>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高中数学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</si>
  <si>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 xml:space="preserve"> 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</si>
  <si>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如东第一高中、掘港高中、如东中专各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</si>
  <si>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初中数学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</si>
  <si>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</si>
  <si>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茗海中学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人，岔河中学、童店初中、直夫初中、袁庄初中各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</si>
  <si>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小学数学</t>
    </r>
  </si>
  <si>
    <r>
      <rPr>
        <sz val="10"/>
        <color indexed="8"/>
        <rFont val="宋体"/>
        <family val="0"/>
      </rPr>
      <t>先民小学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人，开发区实小、掘港小学、古坝小学、利群小学、汤园小学、于港小学各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</si>
  <si>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栟茶小学、靖海小学各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人，友谊路小学、解放路小学、宾山小学、景安小学、袁庄小学各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</si>
  <si>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高中英语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</si>
  <si>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名怀孕待检</t>
    </r>
  </si>
  <si>
    <r>
      <rPr>
        <sz val="10"/>
        <color indexed="8"/>
        <rFont val="宋体"/>
        <family val="0"/>
      </rPr>
      <t>如东第一高中、栟茶高中、掘港高中各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</si>
  <si>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初中英语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</si>
  <si>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</si>
  <si>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双甸中学、马塘初中、兵房初中、新光初中、洋口港实验初中、古坳初中、于港初中、直夫初中、景安初中各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</si>
  <si>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小学英语</t>
    </r>
  </si>
  <si>
    <r>
      <rPr>
        <sz val="10"/>
        <color indexed="8"/>
        <rFont val="宋体"/>
        <family val="0"/>
      </rPr>
      <t>凌河小学、先民小学、石甸小学、潮桥小学各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</si>
  <si>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初中物理</t>
    </r>
  </si>
  <si>
    <r>
      <rPr>
        <sz val="10"/>
        <color indexed="8"/>
        <rFont val="宋体"/>
        <family val="0"/>
      </rPr>
      <t>宾山初中、新区初中、新店初中各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</si>
  <si>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高中化学</t>
    </r>
  </si>
  <si>
    <t>马塘中学</t>
  </si>
  <si>
    <r>
      <rPr>
        <sz val="10"/>
        <color indexed="8"/>
        <rFont val="等线"/>
        <family val="0"/>
      </rPr>
      <t>初中化学</t>
    </r>
  </si>
  <si>
    <r>
      <rPr>
        <sz val="10"/>
        <color indexed="8"/>
        <rFont val="宋体"/>
        <family val="0"/>
      </rPr>
      <t>实验中学、双甸中学各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</si>
  <si>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高中生物</t>
    </r>
  </si>
  <si>
    <r>
      <rPr>
        <sz val="10"/>
        <color indexed="8"/>
        <rFont val="宋体"/>
        <family val="0"/>
      </rPr>
      <t>栟茶高中、马塘中学、掘港高中各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</si>
  <si>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初中生物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</si>
  <si>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</si>
  <si>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宾山初中、岔河中学、马塘初中、古坳初中、新店镇初中各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</si>
  <si>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高中政治</t>
    </r>
  </si>
  <si>
    <t>如东中专</t>
  </si>
  <si>
    <r>
      <rPr>
        <sz val="10"/>
        <color indexed="8"/>
        <rFont val="等线"/>
        <family val="0"/>
      </rPr>
      <t>初中政治</t>
    </r>
  </si>
  <si>
    <r>
      <rPr>
        <sz val="10"/>
        <color indexed="8"/>
        <rFont val="宋体"/>
        <family val="0"/>
      </rPr>
      <t>实验中学、丰利中学、袁庄初中、曹埠初中各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</si>
  <si>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高中历史</t>
    </r>
  </si>
  <si>
    <t>掘港高中</t>
  </si>
  <si>
    <r>
      <rPr>
        <sz val="10"/>
        <color indexed="8"/>
        <rFont val="等线"/>
        <family val="0"/>
      </rPr>
      <t>高中地理</t>
    </r>
  </si>
  <si>
    <r>
      <rPr>
        <sz val="10"/>
        <color indexed="8"/>
        <rFont val="宋体"/>
        <family val="0"/>
      </rPr>
      <t>如东第一高中、掘港高中各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</si>
  <si>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初中地理</t>
    </r>
  </si>
  <si>
    <r>
      <rPr>
        <sz val="10"/>
        <color indexed="8"/>
        <rFont val="宋体"/>
        <family val="0"/>
      </rPr>
      <t>宾山初中、新区初中、双甸中学、童店初中、洋口初中各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</si>
  <si>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高中心理健康</t>
    </r>
  </si>
  <si>
    <t>如东第一高中</t>
  </si>
  <si>
    <r>
      <rPr>
        <sz val="10"/>
        <color indexed="8"/>
        <rFont val="等线"/>
        <family val="0"/>
      </rPr>
      <t>初中心理健康</t>
    </r>
  </si>
  <si>
    <r>
      <rPr>
        <sz val="10"/>
        <color indexed="8"/>
        <rFont val="宋体"/>
        <family val="0"/>
      </rPr>
      <t>宾山初中、童店初中、洋口港实验初中、先民初中各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</si>
  <si>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小学心理健康</t>
    </r>
  </si>
  <si>
    <r>
      <rPr>
        <sz val="10"/>
        <color indexed="8"/>
        <rFont val="宋体"/>
        <family val="0"/>
      </rPr>
      <t>实验小学、掘港小学、解放路小学、洋口小学、栟茶小学、袁庄小学、双甸小学、岔河小学、古坝小学、利群小学、曹埠小学各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</si>
  <si>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小学科学</t>
    </r>
  </si>
  <si>
    <r>
      <rPr>
        <sz val="10"/>
        <color indexed="8"/>
        <rFont val="宋体"/>
        <family val="0"/>
      </rPr>
      <t>洋口港实验小学、景安小学各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</si>
  <si>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特教康复训练</t>
    </r>
  </si>
  <si>
    <t>逸夫特校</t>
  </si>
  <si>
    <r>
      <rPr>
        <sz val="10"/>
        <color indexed="8"/>
        <rFont val="等线"/>
        <family val="0"/>
      </rPr>
      <t>高中音乐</t>
    </r>
  </si>
  <si>
    <r>
      <rPr>
        <sz val="10"/>
        <color indexed="8"/>
        <rFont val="等线"/>
        <family val="0"/>
      </rPr>
      <t>初中音乐</t>
    </r>
  </si>
  <si>
    <r>
      <rPr>
        <sz val="10"/>
        <color indexed="8"/>
        <rFont val="宋体"/>
        <family val="0"/>
      </rPr>
      <t>马塘初中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人，宾山初中、邱陞中学各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</si>
  <si>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小学音乐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</si>
  <si>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</si>
  <si>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洋口港实验小学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人，友谊路小学、环镇小学、兵房小学、丁店小学、石屏小学、光荣小学、新林小学、栟茶小学、岔南小学、少体校各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</si>
  <si>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高中体育</t>
    </r>
  </si>
  <si>
    <r>
      <rPr>
        <sz val="10"/>
        <color indexed="8"/>
        <rFont val="宋体"/>
        <family val="0"/>
      </rPr>
      <t>掘港高中、如东中专各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人，栟茶高中、如东第一高中各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</si>
  <si>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初中体育</t>
    </r>
  </si>
  <si>
    <r>
      <rPr>
        <sz val="10"/>
        <color indexed="8"/>
        <rFont val="宋体"/>
        <family val="0"/>
      </rPr>
      <t>实验中学、宾山初中、双甸中学、丰利中学、茗海中学、马塘初中、兵房初中、洋口初中各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</si>
  <si>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小学体育</t>
    </r>
  </si>
  <si>
    <r>
      <rPr>
        <sz val="10"/>
        <color indexed="8"/>
        <rFont val="宋体"/>
        <family val="0"/>
      </rPr>
      <t>开发区实小、掘港小学、宾山小学、马塘小学、兵房小学、洋口港实验小学、德耀小学、景安小学、双甸小学各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</si>
  <si>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石屏小学、洋口小学、浒澪小学各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人，友谊路小学、丰利小学、栟茶小学、河口小学各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</si>
  <si>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先民小学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人，解放路小学、袁庄小学、古坝小学、利群小学、潮桥小学、王元小学、曹埠小学、饮泉小学各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</si>
  <si>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小学美术</t>
    </r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</si>
  <si>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 xml:space="preserve"> 1</t>
    </r>
    <r>
      <rPr>
        <sz val="10"/>
        <color indexed="8"/>
        <rFont val="宋体"/>
        <family val="0"/>
      </rPr>
      <t>名放弃</t>
    </r>
  </si>
  <si>
    <r>
      <rPr>
        <sz val="10"/>
        <color indexed="8"/>
        <rFont val="宋体"/>
        <family val="0"/>
      </rPr>
      <t>河口小学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人，兵房小学、丰利小学、洋口小学、光荣小学各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</si>
  <si>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小学信息技术</t>
    </r>
  </si>
  <si>
    <r>
      <rPr>
        <sz val="10"/>
        <color indexed="8"/>
        <rFont val="宋体"/>
        <family val="0"/>
      </rPr>
      <t>古坝小学、双南小学各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</si>
  <si>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等线"/>
        <family val="0"/>
      </rPr>
      <t>职教计算机</t>
    </r>
  </si>
  <si>
    <r>
      <rPr>
        <sz val="10"/>
        <color indexed="8"/>
        <rFont val="等线"/>
        <family val="0"/>
      </rPr>
      <t>职教会计</t>
    </r>
  </si>
  <si>
    <r>
      <rPr>
        <sz val="10"/>
        <color indexed="8"/>
        <rFont val="等线"/>
        <family val="0"/>
      </rPr>
      <t>职教电子商务</t>
    </r>
  </si>
  <si>
    <r>
      <rPr>
        <sz val="10"/>
        <color indexed="8"/>
        <rFont val="等线"/>
        <family val="0"/>
      </rPr>
      <t>职教商务英语</t>
    </r>
  </si>
  <si>
    <r>
      <rPr>
        <sz val="10"/>
        <color indexed="8"/>
        <rFont val="等线"/>
        <family val="0"/>
      </rPr>
      <t>职教计算机应用（后端）</t>
    </r>
  </si>
  <si>
    <r>
      <rPr>
        <sz val="10"/>
        <color indexed="8"/>
        <rFont val="等线"/>
        <family val="0"/>
      </rPr>
      <t>职教电气自动化</t>
    </r>
  </si>
  <si>
    <r>
      <rPr>
        <sz val="10"/>
        <color indexed="8"/>
        <rFont val="等线"/>
        <family val="0"/>
      </rPr>
      <t>职教建筑学</t>
    </r>
  </si>
  <si>
    <r>
      <rPr>
        <sz val="10"/>
        <color indexed="8"/>
        <rFont val="等线"/>
        <family val="0"/>
      </rPr>
      <t>职教工程造价</t>
    </r>
  </si>
  <si>
    <r>
      <rPr>
        <sz val="10"/>
        <color indexed="8"/>
        <rFont val="等线"/>
        <family val="0"/>
      </rPr>
      <t>职教石油化工</t>
    </r>
  </si>
  <si>
    <r>
      <rPr>
        <sz val="10"/>
        <color indexed="8"/>
        <rFont val="等线"/>
        <family val="0"/>
      </rPr>
      <t>学前教育</t>
    </r>
  </si>
  <si>
    <r>
      <rPr>
        <sz val="10"/>
        <color indexed="8"/>
        <rFont val="宋体"/>
        <family val="0"/>
      </rPr>
      <t>马塘幼儿园、古坝幼儿园各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人，海韵幼儿园、掘港幼儿园、新店镇幼儿园、凌民幼儿园各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</si>
  <si>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童店幼儿园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人，海滨幼儿园、港城幼儿园各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人，环镇幼儿园、惕安幼儿园各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</si>
  <si>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丰利镇中心园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人，凌河幼儿园、石屏幼儿园各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人，开发区中心园、苴镇中心园各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</si>
  <si>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景安幼儿园、沿南幼儿园各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人，浒澪幼儿园、河口镇中心园各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</si>
  <si>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春蕾幼儿园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人，景安幼儿园、袁庄幼儿园各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</si>
  <si>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双南幼儿园、岔河幼儿园、春蕾幼儿园各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人，鹤井幼儿园、岔北幼儿园、岔东幼儿园、岔南幼儿园各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</si>
  <si>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童店幼儿园、春蕾幼儿园各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人，沿南幼儿园、洋口幼儿园各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</si>
  <si>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春蕾幼儿园、袁庄幼儿园各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人，童店幼儿园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</si>
</sst>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0"/>
      <color indexed="8"/>
      <name val="Times New Roman"/>
      <family val="1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0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wrapText="1"/>
    </xf>
    <xf numFmtId="176" fontId="48" fillId="0" borderId="16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Border="1" applyAlignment="1">
      <alignment horizontal="center" vertical="center" shrinkToFit="1"/>
    </xf>
    <xf numFmtId="176" fontId="47" fillId="0" borderId="16" xfId="0" applyNumberFormat="1" applyFont="1" applyBorder="1" applyAlignment="1">
      <alignment horizontal="center" vertical="center" shrinkToFit="1"/>
    </xf>
    <xf numFmtId="177" fontId="47" fillId="0" borderId="9" xfId="0" applyNumberFormat="1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left" vertical="center" wrapText="1" shrinkToFit="1"/>
    </xf>
    <xf numFmtId="176" fontId="47" fillId="0" borderId="9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7" xfId="0" applyFont="1" applyBorder="1" applyAlignment="1">
      <alignment horizontal="left" vertical="center" wrapText="1" shrinkToFit="1"/>
    </xf>
    <xf numFmtId="176" fontId="47" fillId="0" borderId="11" xfId="0" applyNumberFormat="1" applyFont="1" applyBorder="1" applyAlignment="1">
      <alignment horizontal="center" vertical="center" shrinkToFit="1"/>
    </xf>
    <xf numFmtId="177" fontId="47" fillId="0" borderId="11" xfId="0" applyNumberFormat="1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left" vertical="center" wrapText="1" shrinkToFit="1"/>
    </xf>
    <xf numFmtId="176" fontId="47" fillId="0" borderId="10" xfId="0" applyNumberFormat="1" applyFont="1" applyBorder="1" applyAlignment="1">
      <alignment horizontal="center" vertical="center" shrinkToFit="1"/>
    </xf>
    <xf numFmtId="177" fontId="47" fillId="0" borderId="10" xfId="0" applyNumberFormat="1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left" vertical="center" wrapText="1" shrinkToFi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 shrinkToFit="1"/>
    </xf>
    <xf numFmtId="176" fontId="47" fillId="0" borderId="13" xfId="0" applyNumberFormat="1" applyFont="1" applyBorder="1" applyAlignment="1">
      <alignment horizontal="center" vertical="center" shrinkToFit="1"/>
    </xf>
    <xf numFmtId="177" fontId="47" fillId="0" borderId="13" xfId="0" applyNumberFormat="1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176" fontId="47" fillId="0" borderId="19" xfId="0" applyNumberFormat="1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176" fontId="47" fillId="0" borderId="14" xfId="0" applyNumberFormat="1" applyFont="1" applyBorder="1" applyAlignment="1">
      <alignment horizontal="center" vertical="center" shrinkToFit="1"/>
    </xf>
    <xf numFmtId="177" fontId="47" fillId="0" borderId="14" xfId="0" applyNumberFormat="1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176" fontId="47" fillId="0" borderId="20" xfId="0" applyNumberFormat="1" applyFont="1" applyBorder="1" applyAlignment="1">
      <alignment horizontal="center" vertical="center" shrinkToFit="1"/>
    </xf>
    <xf numFmtId="176" fontId="47" fillId="0" borderId="14" xfId="0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left"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9" fillId="0" borderId="18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left" vertical="center" wrapText="1" shrinkToFit="1"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left" vertical="center" wrapText="1" shrinkToFit="1"/>
    </xf>
    <xf numFmtId="0" fontId="47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SheetLayoutView="100" workbookViewId="0" topLeftCell="A35">
      <selection activeCell="S54" sqref="S5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4.421875" style="0" customWidth="1"/>
    <col min="4" max="4" width="12.140625" style="0" customWidth="1"/>
    <col min="5" max="5" width="8.00390625" style="0" customWidth="1"/>
    <col min="7" max="7" width="13.421875" style="0" customWidth="1"/>
    <col min="8" max="8" width="21.140625" style="0" customWidth="1"/>
    <col min="9" max="9" width="21.28125" style="0" customWidth="1"/>
    <col min="10" max="10" width="5.00390625" style="1" customWidth="1"/>
    <col min="11" max="11" width="4.57421875" style="1" customWidth="1"/>
    <col min="12" max="12" width="5.140625" style="1" customWidth="1"/>
    <col min="13" max="13" width="6.140625" style="0" customWidth="1"/>
    <col min="14" max="14" width="4.7109375" style="0" customWidth="1"/>
    <col min="15" max="15" width="5.421875" style="2" customWidth="1"/>
    <col min="16" max="16" width="17.421875" style="3" customWidth="1"/>
  </cols>
  <sheetData>
    <row r="1" spans="1:16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 t="s">
        <v>9</v>
      </c>
      <c r="J2" s="19" t="s">
        <v>10</v>
      </c>
      <c r="K2" s="19" t="s">
        <v>11</v>
      </c>
      <c r="L2" s="19" t="s">
        <v>12</v>
      </c>
      <c r="M2" s="20" t="s">
        <v>13</v>
      </c>
      <c r="N2" s="21" t="s">
        <v>14</v>
      </c>
      <c r="O2" s="22" t="s">
        <v>15</v>
      </c>
      <c r="P2" s="22" t="s">
        <v>16</v>
      </c>
    </row>
    <row r="3" spans="1:16" ht="15" customHeight="1">
      <c r="A3" s="5">
        <v>1</v>
      </c>
      <c r="B3" s="7" t="str">
        <f>"220110104"</f>
        <v>220110104</v>
      </c>
      <c r="C3" s="7" t="str">
        <f aca="true" t="shared" si="0" ref="C3:C6">"01"</f>
        <v>01</v>
      </c>
      <c r="D3" s="7" t="s">
        <v>17</v>
      </c>
      <c r="E3" s="7" t="str">
        <f>"李可申"</f>
        <v>李可申</v>
      </c>
      <c r="F3" s="7" t="str">
        <f>"硕士研究生"</f>
        <v>硕士研究生</v>
      </c>
      <c r="G3" s="7" t="str">
        <f>"汉语言文字学"</f>
        <v>汉语言文字学</v>
      </c>
      <c r="H3" s="7" t="str">
        <f>"新疆师范大学"</f>
        <v>新疆师范大学</v>
      </c>
      <c r="I3" s="23" t="str">
        <f>"栟茶高级中学（编外）"</f>
        <v>栟茶高级中学（编外）</v>
      </c>
      <c r="J3" s="24">
        <v>77</v>
      </c>
      <c r="K3" s="24"/>
      <c r="L3" s="24">
        <v>77.4</v>
      </c>
      <c r="M3" s="25">
        <v>77.2</v>
      </c>
      <c r="N3" s="7">
        <v>1</v>
      </c>
      <c r="O3" s="26"/>
      <c r="P3" s="27" t="s">
        <v>18</v>
      </c>
    </row>
    <row r="4" spans="1:16" ht="15" customHeight="1">
      <c r="A4" s="5">
        <v>2</v>
      </c>
      <c r="B4" s="7" t="str">
        <f>"220110108"</f>
        <v>220110108</v>
      </c>
      <c r="C4" s="8" t="str">
        <f t="shared" si="0"/>
        <v>01</v>
      </c>
      <c r="D4" s="8" t="s">
        <v>17</v>
      </c>
      <c r="E4" s="8" t="str">
        <f>"管季露"</f>
        <v>管季露</v>
      </c>
      <c r="F4" s="7" t="str">
        <f aca="true" t="shared" si="1" ref="F4:F51">"本科"</f>
        <v>本科</v>
      </c>
      <c r="G4" s="7" t="str">
        <f>"汉语言文学"</f>
        <v>汉语言文学</v>
      </c>
      <c r="H4" s="7" t="str">
        <f>"南京师范大学"</f>
        <v>南京师范大学</v>
      </c>
      <c r="I4" s="7" t="str">
        <f>"苏州枫华学校"</f>
        <v>苏州枫华学校</v>
      </c>
      <c r="J4" s="28">
        <v>74</v>
      </c>
      <c r="K4" s="28"/>
      <c r="L4" s="28">
        <v>77.4</v>
      </c>
      <c r="M4" s="25">
        <v>75.7</v>
      </c>
      <c r="N4" s="7">
        <v>2</v>
      </c>
      <c r="O4" s="29"/>
      <c r="P4" s="30"/>
    </row>
    <row r="5" spans="1:16" ht="15" customHeight="1">
      <c r="A5" s="5">
        <v>3</v>
      </c>
      <c r="B5" s="7" t="str">
        <f>"220110109"</f>
        <v>220110109</v>
      </c>
      <c r="C5" s="7" t="str">
        <f t="shared" si="0"/>
        <v>01</v>
      </c>
      <c r="D5" s="7" t="s">
        <v>17</v>
      </c>
      <c r="E5" s="7" t="str">
        <f>"任晨锦"</f>
        <v>任晨锦</v>
      </c>
      <c r="F5" s="7" t="str">
        <f t="shared" si="1"/>
        <v>本科</v>
      </c>
      <c r="G5" s="7" t="str">
        <f>"汉语言文学"</f>
        <v>汉语言文学</v>
      </c>
      <c r="H5" s="7" t="str">
        <f>"南通大学"</f>
        <v>南通大学</v>
      </c>
      <c r="I5" s="7"/>
      <c r="J5" s="28">
        <v>77</v>
      </c>
      <c r="K5" s="28"/>
      <c r="L5" s="28">
        <v>74</v>
      </c>
      <c r="M5" s="25">
        <v>75.5</v>
      </c>
      <c r="N5" s="7">
        <v>3</v>
      </c>
      <c r="O5" s="29"/>
      <c r="P5" s="30"/>
    </row>
    <row r="6" spans="1:16" ht="15" customHeight="1">
      <c r="A6" s="9">
        <v>4</v>
      </c>
      <c r="B6" s="10" t="str">
        <f>"220110129"</f>
        <v>220110129</v>
      </c>
      <c r="C6" s="10" t="str">
        <f t="shared" si="0"/>
        <v>01</v>
      </c>
      <c r="D6" s="10" t="s">
        <v>17</v>
      </c>
      <c r="E6" s="10" t="str">
        <f>"马昕"</f>
        <v>马昕</v>
      </c>
      <c r="F6" s="10" t="str">
        <f t="shared" si="1"/>
        <v>本科</v>
      </c>
      <c r="G6" s="10" t="str">
        <f>"汉语言文学"</f>
        <v>汉语言文学</v>
      </c>
      <c r="H6" s="10" t="str">
        <f>"南京审计大学"</f>
        <v>南京审计大学</v>
      </c>
      <c r="I6" s="10"/>
      <c r="J6" s="31">
        <v>67</v>
      </c>
      <c r="K6" s="31"/>
      <c r="L6" s="31">
        <v>82.2</v>
      </c>
      <c r="M6" s="32">
        <v>74.6</v>
      </c>
      <c r="N6" s="10">
        <v>4</v>
      </c>
      <c r="O6" s="33"/>
      <c r="P6" s="34"/>
    </row>
    <row r="7" spans="1:16" ht="15" customHeight="1">
      <c r="A7" s="11">
        <v>5</v>
      </c>
      <c r="B7" s="8" t="str">
        <f>"220208706"</f>
        <v>220208706</v>
      </c>
      <c r="C7" s="8" t="str">
        <f aca="true" t="shared" si="2" ref="C7:C10">"02"</f>
        <v>02</v>
      </c>
      <c r="D7" s="8" t="s">
        <v>19</v>
      </c>
      <c r="E7" s="8" t="str">
        <f>"倪嘉嵘"</f>
        <v>倪嘉嵘</v>
      </c>
      <c r="F7" s="8" t="str">
        <f t="shared" si="1"/>
        <v>本科</v>
      </c>
      <c r="G7" s="8" t="str">
        <f>"汉语言文学"</f>
        <v>汉语言文学</v>
      </c>
      <c r="H7" s="8" t="str">
        <f>"江苏理工学院"</f>
        <v>江苏理工学院</v>
      </c>
      <c r="I7" s="8"/>
      <c r="J7" s="35">
        <v>79</v>
      </c>
      <c r="K7" s="35"/>
      <c r="L7" s="35">
        <v>80.2</v>
      </c>
      <c r="M7" s="36">
        <v>79.6</v>
      </c>
      <c r="N7" s="8">
        <v>1</v>
      </c>
      <c r="O7" s="37"/>
      <c r="P7" s="38" t="s">
        <v>20</v>
      </c>
    </row>
    <row r="8" spans="1:16" ht="15" customHeight="1">
      <c r="A8" s="5">
        <v>6</v>
      </c>
      <c r="B8" s="7" t="str">
        <f>"220208604"</f>
        <v>220208604</v>
      </c>
      <c r="C8" s="7" t="str">
        <f t="shared" si="2"/>
        <v>02</v>
      </c>
      <c r="D8" s="7" t="s">
        <v>19</v>
      </c>
      <c r="E8" s="7" t="str">
        <f>"张玉"</f>
        <v>张玉</v>
      </c>
      <c r="F8" s="7" t="str">
        <f t="shared" si="1"/>
        <v>本科</v>
      </c>
      <c r="G8" s="7" t="str">
        <f>"汉语言文学"</f>
        <v>汉语言文学</v>
      </c>
      <c r="H8" s="7" t="str">
        <f>"盐城工学院"</f>
        <v>盐城工学院</v>
      </c>
      <c r="I8" s="7"/>
      <c r="J8" s="28">
        <v>71</v>
      </c>
      <c r="K8" s="28"/>
      <c r="L8" s="28">
        <v>80.2</v>
      </c>
      <c r="M8" s="25">
        <v>75.6</v>
      </c>
      <c r="N8" s="7">
        <v>2</v>
      </c>
      <c r="O8" s="29"/>
      <c r="P8" s="30"/>
    </row>
    <row r="9" spans="1:16" ht="15" customHeight="1">
      <c r="A9" s="5">
        <v>7</v>
      </c>
      <c r="B9" s="7" t="str">
        <f>"220208708"</f>
        <v>220208708</v>
      </c>
      <c r="C9" s="7" t="str">
        <f t="shared" si="2"/>
        <v>02</v>
      </c>
      <c r="D9" s="7" t="s">
        <v>19</v>
      </c>
      <c r="E9" s="7" t="str">
        <f>"贲刘鑫"</f>
        <v>贲刘鑫</v>
      </c>
      <c r="F9" s="7" t="str">
        <f t="shared" si="1"/>
        <v>本科</v>
      </c>
      <c r="G9" s="7" t="str">
        <f>"汉语国际教育"</f>
        <v>汉语国际教育</v>
      </c>
      <c r="H9" s="7" t="str">
        <f>"南通大学"</f>
        <v>南通大学</v>
      </c>
      <c r="I9" s="7"/>
      <c r="J9" s="28">
        <v>73</v>
      </c>
      <c r="K9" s="28"/>
      <c r="L9" s="28">
        <v>77.6</v>
      </c>
      <c r="M9" s="25">
        <v>75.3</v>
      </c>
      <c r="N9" s="7">
        <v>3</v>
      </c>
      <c r="O9" s="29"/>
      <c r="P9" s="30"/>
    </row>
    <row r="10" spans="1:16" ht="15" customHeight="1">
      <c r="A10" s="9">
        <v>8</v>
      </c>
      <c r="B10" s="10" t="str">
        <f>"220208614"</f>
        <v>220208614</v>
      </c>
      <c r="C10" s="10" t="str">
        <f t="shared" si="2"/>
        <v>02</v>
      </c>
      <c r="D10" s="10" t="s">
        <v>19</v>
      </c>
      <c r="E10" s="10" t="str">
        <f>"李玫艳"</f>
        <v>李玫艳</v>
      </c>
      <c r="F10" s="10" t="str">
        <f t="shared" si="1"/>
        <v>本科</v>
      </c>
      <c r="G10" s="10" t="str">
        <f>"汉语言文学（师范）"</f>
        <v>汉语言文学（师范）</v>
      </c>
      <c r="H10" s="10" t="str">
        <f>"泰州学院"</f>
        <v>泰州学院</v>
      </c>
      <c r="I10" s="10"/>
      <c r="J10" s="31">
        <v>71</v>
      </c>
      <c r="K10" s="31"/>
      <c r="L10" s="31">
        <v>79</v>
      </c>
      <c r="M10" s="32">
        <v>75</v>
      </c>
      <c r="N10" s="10">
        <v>4</v>
      </c>
      <c r="O10" s="33"/>
      <c r="P10" s="34"/>
    </row>
    <row r="11" spans="1:16" ht="15" customHeight="1">
      <c r="A11" s="11">
        <v>9</v>
      </c>
      <c r="B11" s="8" t="str">
        <f>"220304911"</f>
        <v>220304911</v>
      </c>
      <c r="C11" s="8" t="str">
        <f aca="true" t="shared" si="3" ref="C11:C19">"03"</f>
        <v>03</v>
      </c>
      <c r="D11" s="8" t="s">
        <v>21</v>
      </c>
      <c r="E11" s="8" t="str">
        <f>"缪亚平"</f>
        <v>缪亚平</v>
      </c>
      <c r="F11" s="8" t="str">
        <f t="shared" si="1"/>
        <v>本科</v>
      </c>
      <c r="G11" s="8" t="str">
        <f>"小学教育（师范）"</f>
        <v>小学教育（师范）</v>
      </c>
      <c r="H11" s="8" t="str">
        <f>"南通大学"</f>
        <v>南通大学</v>
      </c>
      <c r="I11" s="8"/>
      <c r="J11" s="35">
        <v>80.5</v>
      </c>
      <c r="K11" s="35"/>
      <c r="L11" s="35">
        <v>84.2</v>
      </c>
      <c r="M11" s="36">
        <v>82.35</v>
      </c>
      <c r="N11" s="8">
        <v>2</v>
      </c>
      <c r="O11" s="37" t="s">
        <v>22</v>
      </c>
      <c r="P11" s="38" t="s">
        <v>23</v>
      </c>
    </row>
    <row r="12" spans="1:16" ht="15" customHeight="1">
      <c r="A12" s="5">
        <v>10</v>
      </c>
      <c r="B12" s="7" t="str">
        <f>"220304719"</f>
        <v>220304719</v>
      </c>
      <c r="C12" s="7" t="str">
        <f t="shared" si="3"/>
        <v>03</v>
      </c>
      <c r="D12" s="7" t="s">
        <v>21</v>
      </c>
      <c r="E12" s="7" t="str">
        <f>"王洋"</f>
        <v>王洋</v>
      </c>
      <c r="F12" s="7" t="str">
        <f t="shared" si="1"/>
        <v>本科</v>
      </c>
      <c r="G12" s="7" t="str">
        <f>"汉语言文学"</f>
        <v>汉语言文学</v>
      </c>
      <c r="H12" s="7" t="str">
        <f>"江苏第二师范学院"</f>
        <v>江苏第二师范学院</v>
      </c>
      <c r="I12" s="7"/>
      <c r="J12" s="28">
        <v>78</v>
      </c>
      <c r="K12" s="28"/>
      <c r="L12" s="28">
        <v>83.5</v>
      </c>
      <c r="M12" s="25">
        <v>80.75</v>
      </c>
      <c r="N12" s="7">
        <v>3</v>
      </c>
      <c r="O12" s="29"/>
      <c r="P12" s="30"/>
    </row>
    <row r="13" spans="1:16" ht="15" customHeight="1">
      <c r="A13" s="5">
        <v>11</v>
      </c>
      <c r="B13" s="7" t="str">
        <f>"220305325"</f>
        <v>220305325</v>
      </c>
      <c r="C13" s="7" t="str">
        <f t="shared" si="3"/>
        <v>03</v>
      </c>
      <c r="D13" s="7" t="s">
        <v>21</v>
      </c>
      <c r="E13" s="7" t="str">
        <f>"龚慧强"</f>
        <v>龚慧强</v>
      </c>
      <c r="F13" s="7" t="str">
        <f t="shared" si="1"/>
        <v>本科</v>
      </c>
      <c r="G13" s="7" t="str">
        <f>"汉语言文学（现代文秘）"</f>
        <v>汉语言文学（现代文秘）</v>
      </c>
      <c r="H13" s="7" t="str">
        <f>"重庆文理学院"</f>
        <v>重庆文理学院</v>
      </c>
      <c r="I13" s="7" t="str">
        <f>"活力课堂教育"</f>
        <v>活力课堂教育</v>
      </c>
      <c r="J13" s="28">
        <v>77.5</v>
      </c>
      <c r="K13" s="28"/>
      <c r="L13" s="28">
        <v>83.8</v>
      </c>
      <c r="M13" s="25">
        <v>80.65</v>
      </c>
      <c r="N13" s="7">
        <v>4</v>
      </c>
      <c r="O13" s="29"/>
      <c r="P13" s="30"/>
    </row>
    <row r="14" spans="1:16" ht="15" customHeight="1">
      <c r="A14" s="5">
        <v>12</v>
      </c>
      <c r="B14" s="7" t="str">
        <f>"220304903"</f>
        <v>220304903</v>
      </c>
      <c r="C14" s="7" t="str">
        <f t="shared" si="3"/>
        <v>03</v>
      </c>
      <c r="D14" s="7" t="s">
        <v>21</v>
      </c>
      <c r="E14" s="7" t="str">
        <f>"蒋月萍"</f>
        <v>蒋月萍</v>
      </c>
      <c r="F14" s="7" t="str">
        <f t="shared" si="1"/>
        <v>本科</v>
      </c>
      <c r="G14" s="7" t="str">
        <f>"汉语言文学"</f>
        <v>汉语言文学</v>
      </c>
      <c r="H14" s="7" t="str">
        <f>"南京师范大学"</f>
        <v>南京师范大学</v>
      </c>
      <c r="I14" s="7"/>
      <c r="J14" s="28">
        <v>78.5</v>
      </c>
      <c r="K14" s="28"/>
      <c r="L14" s="28">
        <v>82.6</v>
      </c>
      <c r="M14" s="25">
        <v>80.55</v>
      </c>
      <c r="N14" s="7">
        <v>5</v>
      </c>
      <c r="O14" s="29"/>
      <c r="P14" s="30"/>
    </row>
    <row r="15" spans="1:16" ht="15" customHeight="1">
      <c r="A15" s="5">
        <v>13</v>
      </c>
      <c r="B15" s="7" t="str">
        <f>"220305401"</f>
        <v>220305401</v>
      </c>
      <c r="C15" s="7" t="str">
        <f t="shared" si="3"/>
        <v>03</v>
      </c>
      <c r="D15" s="7" t="s">
        <v>21</v>
      </c>
      <c r="E15" s="7" t="str">
        <f>"缪璇"</f>
        <v>缪璇</v>
      </c>
      <c r="F15" s="7" t="str">
        <f t="shared" si="1"/>
        <v>本科</v>
      </c>
      <c r="G15" s="7" t="str">
        <f>"汉语言文学（师范）"</f>
        <v>汉语言文学（师范）</v>
      </c>
      <c r="H15" s="7" t="str">
        <f>"江苏师范大学"</f>
        <v>江苏师范大学</v>
      </c>
      <c r="I15" s="7"/>
      <c r="J15" s="28">
        <v>79</v>
      </c>
      <c r="K15" s="28"/>
      <c r="L15" s="28">
        <v>81</v>
      </c>
      <c r="M15" s="25">
        <v>80</v>
      </c>
      <c r="N15" s="7">
        <v>6</v>
      </c>
      <c r="O15" s="29"/>
      <c r="P15" s="30"/>
    </row>
    <row r="16" spans="1:16" ht="15" customHeight="1">
      <c r="A16" s="5">
        <v>14</v>
      </c>
      <c r="B16" s="7" t="str">
        <f>"220305112"</f>
        <v>220305112</v>
      </c>
      <c r="C16" s="7" t="str">
        <f t="shared" si="3"/>
        <v>03</v>
      </c>
      <c r="D16" s="7" t="s">
        <v>21</v>
      </c>
      <c r="E16" s="7" t="str">
        <f>"严佳怡"</f>
        <v>严佳怡</v>
      </c>
      <c r="F16" s="7" t="str">
        <f t="shared" si="1"/>
        <v>本科</v>
      </c>
      <c r="G16" s="7" t="str">
        <f>"汉语言文学（师范）"</f>
        <v>汉语言文学（师范）</v>
      </c>
      <c r="H16" s="7" t="str">
        <f>"扬州大学文学院"</f>
        <v>扬州大学文学院</v>
      </c>
      <c r="I16" s="7"/>
      <c r="J16" s="28">
        <v>80</v>
      </c>
      <c r="K16" s="28"/>
      <c r="L16" s="28">
        <v>78.4</v>
      </c>
      <c r="M16" s="25">
        <v>79.2</v>
      </c>
      <c r="N16" s="7">
        <v>7</v>
      </c>
      <c r="O16" s="29"/>
      <c r="P16" s="30"/>
    </row>
    <row r="17" spans="1:16" ht="15" customHeight="1">
      <c r="A17" s="5">
        <v>15</v>
      </c>
      <c r="B17" s="7" t="str">
        <f>"220304608"</f>
        <v>220304608</v>
      </c>
      <c r="C17" s="12" t="str">
        <f t="shared" si="3"/>
        <v>03</v>
      </c>
      <c r="D17" s="12" t="s">
        <v>21</v>
      </c>
      <c r="E17" s="12" t="str">
        <f>"孙雨婕"</f>
        <v>孙雨婕</v>
      </c>
      <c r="F17" s="7" t="str">
        <f t="shared" si="1"/>
        <v>本科</v>
      </c>
      <c r="G17" s="7" t="str">
        <f>"汉语言文学"</f>
        <v>汉语言文学</v>
      </c>
      <c r="H17" s="7" t="str">
        <f>"江苏第二师范学院"</f>
        <v>江苏第二师范学院</v>
      </c>
      <c r="I17" s="7"/>
      <c r="J17" s="28">
        <v>75.5</v>
      </c>
      <c r="K17" s="28"/>
      <c r="L17" s="28">
        <v>82.8</v>
      </c>
      <c r="M17" s="25">
        <v>79.15</v>
      </c>
      <c r="N17" s="7">
        <v>8</v>
      </c>
      <c r="O17" s="29"/>
      <c r="P17" s="30"/>
    </row>
    <row r="18" spans="1:16" ht="15" customHeight="1">
      <c r="A18" s="5">
        <v>16</v>
      </c>
      <c r="B18" s="7" t="str">
        <f>"220304829"</f>
        <v>220304829</v>
      </c>
      <c r="C18" s="7" t="str">
        <f t="shared" si="3"/>
        <v>03</v>
      </c>
      <c r="D18" s="7" t="s">
        <v>21</v>
      </c>
      <c r="E18" s="7" t="str">
        <f>"黄寅初"</f>
        <v>黄寅初</v>
      </c>
      <c r="F18" s="7" t="str">
        <f t="shared" si="1"/>
        <v>本科</v>
      </c>
      <c r="G18" s="7" t="str">
        <f>"小学教育（师范）"</f>
        <v>小学教育（师范）</v>
      </c>
      <c r="H18" s="7" t="str">
        <f>"南京晓庄学院"</f>
        <v>南京晓庄学院</v>
      </c>
      <c r="I18" s="23"/>
      <c r="J18" s="24">
        <v>77</v>
      </c>
      <c r="K18" s="24"/>
      <c r="L18" s="24">
        <v>80.2</v>
      </c>
      <c r="M18" s="25">
        <v>78.6</v>
      </c>
      <c r="N18" s="7">
        <v>9</v>
      </c>
      <c r="O18" s="29"/>
      <c r="P18" s="30"/>
    </row>
    <row r="19" spans="1:16" ht="15" customHeight="1">
      <c r="A19" s="9">
        <v>17</v>
      </c>
      <c r="B19" s="10" t="str">
        <f>"220305203"</f>
        <v>220305203</v>
      </c>
      <c r="C19" s="10" t="str">
        <f t="shared" si="3"/>
        <v>03</v>
      </c>
      <c r="D19" s="13" t="s">
        <v>21</v>
      </c>
      <c r="E19" s="13" t="str">
        <f>"何秀梅"</f>
        <v>何秀梅</v>
      </c>
      <c r="F19" s="10" t="str">
        <f t="shared" si="1"/>
        <v>本科</v>
      </c>
      <c r="G19" s="10" t="str">
        <f>"小学教育"</f>
        <v>小学教育</v>
      </c>
      <c r="H19" s="10" t="str">
        <f>"江苏师范大学"</f>
        <v>江苏师范大学</v>
      </c>
      <c r="I19" s="10" t="str">
        <f>"如皋市九华镇九华幼儿园"</f>
        <v>如皋市九华镇九华幼儿园</v>
      </c>
      <c r="J19" s="31">
        <v>82</v>
      </c>
      <c r="K19" s="31"/>
      <c r="L19" s="31">
        <v>74</v>
      </c>
      <c r="M19" s="32">
        <v>78</v>
      </c>
      <c r="N19" s="10">
        <v>10</v>
      </c>
      <c r="O19" s="33"/>
      <c r="P19" s="34"/>
    </row>
    <row r="20" spans="1:16" ht="15" customHeight="1">
      <c r="A20" s="11">
        <v>18</v>
      </c>
      <c r="B20" s="8" t="str">
        <f>"220404926"</f>
        <v>220404926</v>
      </c>
      <c r="C20" s="8" t="str">
        <f aca="true" t="shared" si="4" ref="C20:C26">"04"</f>
        <v>04</v>
      </c>
      <c r="D20" s="8" t="s">
        <v>21</v>
      </c>
      <c r="E20" s="8" t="str">
        <f>"缪邱陈"</f>
        <v>缪邱陈</v>
      </c>
      <c r="F20" s="8" t="str">
        <f t="shared" si="1"/>
        <v>本科</v>
      </c>
      <c r="G20" s="8" t="str">
        <f>"汉语言文学"</f>
        <v>汉语言文学</v>
      </c>
      <c r="H20" s="8" t="str">
        <f>"南京师范大学中北学院"</f>
        <v>南京师范大学中北学院</v>
      </c>
      <c r="I20" s="8"/>
      <c r="J20" s="35">
        <v>86</v>
      </c>
      <c r="K20" s="35"/>
      <c r="L20" s="35">
        <v>75.2</v>
      </c>
      <c r="M20" s="36">
        <v>80.6</v>
      </c>
      <c r="N20" s="8">
        <v>1</v>
      </c>
      <c r="O20" s="39" t="s">
        <v>24</v>
      </c>
      <c r="P20" s="38" t="s">
        <v>25</v>
      </c>
    </row>
    <row r="21" spans="1:16" ht="15" customHeight="1">
      <c r="A21" s="5">
        <v>19</v>
      </c>
      <c r="B21" s="7" t="str">
        <f>"220405206"</f>
        <v>220405206</v>
      </c>
      <c r="C21" s="7" t="str">
        <f t="shared" si="4"/>
        <v>04</v>
      </c>
      <c r="D21" s="7" t="s">
        <v>21</v>
      </c>
      <c r="E21" s="7" t="str">
        <f>"陈子娴"</f>
        <v>陈子娴</v>
      </c>
      <c r="F21" s="7" t="str">
        <f t="shared" si="1"/>
        <v>本科</v>
      </c>
      <c r="G21" s="7" t="str">
        <f>"小学教育（师范）"</f>
        <v>小学教育（师范）</v>
      </c>
      <c r="H21" s="7" t="str">
        <f>"南通大学"</f>
        <v>南通大学</v>
      </c>
      <c r="I21" s="7"/>
      <c r="J21" s="28">
        <v>76</v>
      </c>
      <c r="K21" s="28"/>
      <c r="L21" s="28">
        <v>83</v>
      </c>
      <c r="M21" s="25">
        <v>79.5</v>
      </c>
      <c r="N21" s="7">
        <v>2</v>
      </c>
      <c r="O21" s="40"/>
      <c r="P21" s="38"/>
    </row>
    <row r="22" spans="1:16" ht="15" customHeight="1">
      <c r="A22" s="5">
        <v>20</v>
      </c>
      <c r="B22" s="7" t="str">
        <f>"220405218"</f>
        <v>220405218</v>
      </c>
      <c r="C22" s="7" t="str">
        <f t="shared" si="4"/>
        <v>04</v>
      </c>
      <c r="D22" s="7" t="s">
        <v>21</v>
      </c>
      <c r="E22" s="7" t="str">
        <f>"周春蓉"</f>
        <v>周春蓉</v>
      </c>
      <c r="F22" s="7" t="str">
        <f t="shared" si="1"/>
        <v>本科</v>
      </c>
      <c r="G22" s="7" t="str">
        <f>"汉语言文学"</f>
        <v>汉语言文学</v>
      </c>
      <c r="H22" s="7" t="str">
        <f>"苏州大学文正学院"</f>
        <v>苏州大学文正学院</v>
      </c>
      <c r="I22" s="7"/>
      <c r="J22" s="28">
        <v>77.5</v>
      </c>
      <c r="K22" s="28"/>
      <c r="L22" s="28">
        <v>80.4</v>
      </c>
      <c r="M22" s="25">
        <v>78.95</v>
      </c>
      <c r="N22" s="7">
        <v>3</v>
      </c>
      <c r="O22" s="40"/>
      <c r="P22" s="38"/>
    </row>
    <row r="23" spans="1:16" ht="15" customHeight="1">
      <c r="A23" s="5">
        <v>21</v>
      </c>
      <c r="B23" s="7" t="str">
        <f>"220404601"</f>
        <v>220404601</v>
      </c>
      <c r="C23" s="7" t="str">
        <f t="shared" si="4"/>
        <v>04</v>
      </c>
      <c r="D23" s="7" t="s">
        <v>21</v>
      </c>
      <c r="E23" s="7" t="str">
        <f>"宗娟"</f>
        <v>宗娟</v>
      </c>
      <c r="F23" s="7" t="str">
        <f t="shared" si="1"/>
        <v>本科</v>
      </c>
      <c r="G23" s="7" t="str">
        <f>"汉语言文学"</f>
        <v>汉语言文学</v>
      </c>
      <c r="H23" s="7" t="str">
        <f>"南京师范大学"</f>
        <v>南京师范大学</v>
      </c>
      <c r="I23" s="7"/>
      <c r="J23" s="28">
        <v>76</v>
      </c>
      <c r="K23" s="28"/>
      <c r="L23" s="28">
        <v>81.8</v>
      </c>
      <c r="M23" s="25">
        <v>78.9</v>
      </c>
      <c r="N23" s="7">
        <v>4</v>
      </c>
      <c r="O23" s="40"/>
      <c r="P23" s="38"/>
    </row>
    <row r="24" spans="1:16" ht="15" customHeight="1">
      <c r="A24" s="5">
        <v>22</v>
      </c>
      <c r="B24" s="7" t="str">
        <f>"220404716"</f>
        <v>220404716</v>
      </c>
      <c r="C24" s="7" t="str">
        <f t="shared" si="4"/>
        <v>04</v>
      </c>
      <c r="D24" s="7" t="s">
        <v>21</v>
      </c>
      <c r="E24" s="7" t="str">
        <f>"魏巧园"</f>
        <v>魏巧园</v>
      </c>
      <c r="F24" s="7" t="str">
        <f t="shared" si="1"/>
        <v>本科</v>
      </c>
      <c r="G24" s="7" t="str">
        <f>"汉语言文学（涉外高级文秘）"</f>
        <v>汉语言文学（涉外高级文秘）</v>
      </c>
      <c r="H24" s="7" t="str">
        <f>"江苏大学"</f>
        <v>江苏大学</v>
      </c>
      <c r="I24" s="7"/>
      <c r="J24" s="28">
        <v>80</v>
      </c>
      <c r="K24" s="28"/>
      <c r="L24" s="28">
        <v>77.4</v>
      </c>
      <c r="M24" s="25">
        <v>78.7</v>
      </c>
      <c r="N24" s="7">
        <v>5</v>
      </c>
      <c r="O24" s="40"/>
      <c r="P24" s="38"/>
    </row>
    <row r="25" spans="1:16" ht="15" customHeight="1">
      <c r="A25" s="5">
        <v>23</v>
      </c>
      <c r="B25" s="7" t="str">
        <f>"220404706"</f>
        <v>220404706</v>
      </c>
      <c r="C25" s="7" t="str">
        <f t="shared" si="4"/>
        <v>04</v>
      </c>
      <c r="D25" s="7" t="s">
        <v>21</v>
      </c>
      <c r="E25" s="7" t="str">
        <f>"骆瑶"</f>
        <v>骆瑶</v>
      </c>
      <c r="F25" s="7" t="str">
        <f t="shared" si="1"/>
        <v>本科</v>
      </c>
      <c r="G25" s="7" t="str">
        <f>"汉语言文学"</f>
        <v>汉语言文学</v>
      </c>
      <c r="H25" s="7" t="str">
        <f>"湖南师范大学树达学院"</f>
        <v>湖南师范大学树达学院</v>
      </c>
      <c r="I25" s="7"/>
      <c r="J25" s="28">
        <v>77.5</v>
      </c>
      <c r="K25" s="28"/>
      <c r="L25" s="28">
        <v>78.8</v>
      </c>
      <c r="M25" s="25">
        <v>78.15</v>
      </c>
      <c r="N25" s="7">
        <v>7</v>
      </c>
      <c r="O25" s="40"/>
      <c r="P25" s="38"/>
    </row>
    <row r="26" spans="1:16" ht="15" customHeight="1">
      <c r="A26" s="9">
        <v>24</v>
      </c>
      <c r="B26" s="10" t="str">
        <f>"220404806"</f>
        <v>220404806</v>
      </c>
      <c r="C26" s="10" t="str">
        <f t="shared" si="4"/>
        <v>04</v>
      </c>
      <c r="D26" s="10" t="s">
        <v>21</v>
      </c>
      <c r="E26" s="10" t="str">
        <f>"钱金晶"</f>
        <v>钱金晶</v>
      </c>
      <c r="F26" s="10" t="str">
        <f t="shared" si="1"/>
        <v>本科</v>
      </c>
      <c r="G26" s="10" t="str">
        <f>"汉语言文学"</f>
        <v>汉语言文学</v>
      </c>
      <c r="H26" s="10" t="str">
        <f>"南通大学杏林学院"</f>
        <v>南通大学杏林学院</v>
      </c>
      <c r="I26" s="10" t="str">
        <f>"格雷特有限公司"</f>
        <v>格雷特有限公司</v>
      </c>
      <c r="J26" s="31">
        <v>76</v>
      </c>
      <c r="K26" s="31"/>
      <c r="L26" s="31">
        <v>79.6</v>
      </c>
      <c r="M26" s="32">
        <v>77.8</v>
      </c>
      <c r="N26" s="10">
        <v>9</v>
      </c>
      <c r="O26" s="41"/>
      <c r="P26" s="42"/>
    </row>
    <row r="27" spans="1:16" ht="39.75" customHeight="1">
      <c r="A27" s="14">
        <v>25</v>
      </c>
      <c r="B27" s="15" t="str">
        <f>"220510425"</f>
        <v>220510425</v>
      </c>
      <c r="C27" s="13" t="str">
        <f aca="true" t="shared" si="5" ref="C27">"05"</f>
        <v>05</v>
      </c>
      <c r="D27" s="15" t="s">
        <v>26</v>
      </c>
      <c r="E27" s="15" t="str">
        <f>"丁卉"</f>
        <v>丁卉</v>
      </c>
      <c r="F27" s="15" t="str">
        <f t="shared" si="1"/>
        <v>本科</v>
      </c>
      <c r="G27" s="15" t="str">
        <f>"数学与应用数学（师范）"</f>
        <v>数学与应用数学（师范）</v>
      </c>
      <c r="H27" s="15" t="str">
        <f>"南阳师范学院"</f>
        <v>南阳师范学院</v>
      </c>
      <c r="I27" s="15" t="str">
        <f>"创新高级中学"</f>
        <v>创新高级中学</v>
      </c>
      <c r="J27" s="43">
        <v>66</v>
      </c>
      <c r="K27" s="43"/>
      <c r="L27" s="43">
        <v>83.7</v>
      </c>
      <c r="M27" s="44">
        <v>74.85</v>
      </c>
      <c r="N27" s="13">
        <v>3</v>
      </c>
      <c r="O27" s="33" t="s">
        <v>27</v>
      </c>
      <c r="P27" s="42" t="s">
        <v>28</v>
      </c>
    </row>
    <row r="28" spans="1:16" ht="15" customHeight="1">
      <c r="A28" s="11">
        <v>26</v>
      </c>
      <c r="B28" s="8" t="str">
        <f>"220609902"</f>
        <v>220609902</v>
      </c>
      <c r="C28" s="8" t="str">
        <f aca="true" t="shared" si="6" ref="C28:C32">"06"</f>
        <v>06</v>
      </c>
      <c r="D28" s="8" t="s">
        <v>29</v>
      </c>
      <c r="E28" s="8" t="str">
        <f>"张雯洁"</f>
        <v>张雯洁</v>
      </c>
      <c r="F28" s="8" t="str">
        <f t="shared" si="1"/>
        <v>本科</v>
      </c>
      <c r="G28" s="8" t="str">
        <f>"数学与应用数学（师范）"</f>
        <v>数学与应用数学（师范）</v>
      </c>
      <c r="H28" s="8" t="str">
        <f>"江苏大学"</f>
        <v>江苏大学</v>
      </c>
      <c r="I28" s="45"/>
      <c r="J28" s="46">
        <v>86</v>
      </c>
      <c r="K28" s="46"/>
      <c r="L28" s="46">
        <v>79</v>
      </c>
      <c r="M28" s="36">
        <v>82.5</v>
      </c>
      <c r="N28" s="8">
        <v>1</v>
      </c>
      <c r="O28" s="37" t="s">
        <v>30</v>
      </c>
      <c r="P28" s="38" t="s">
        <v>31</v>
      </c>
    </row>
    <row r="29" spans="1:16" ht="15" customHeight="1">
      <c r="A29" s="5">
        <v>27</v>
      </c>
      <c r="B29" s="7" t="str">
        <f>"220609819"</f>
        <v>220609819</v>
      </c>
      <c r="C29" s="8" t="str">
        <f t="shared" si="6"/>
        <v>06</v>
      </c>
      <c r="D29" s="8" t="s">
        <v>29</v>
      </c>
      <c r="E29" s="8" t="str">
        <f>"魏婧"</f>
        <v>魏婧</v>
      </c>
      <c r="F29" s="7" t="str">
        <f t="shared" si="1"/>
        <v>本科</v>
      </c>
      <c r="G29" s="7" t="str">
        <f>"数学与应用数学（师范）"</f>
        <v>数学与应用数学（师范）</v>
      </c>
      <c r="H29" s="7" t="str">
        <f>"江苏第二师范学院"</f>
        <v>江苏第二师范学院</v>
      </c>
      <c r="I29" s="7" t="str">
        <f>"南京师范大学盐城实验学校"</f>
        <v>南京师范大学盐城实验学校</v>
      </c>
      <c r="J29" s="28">
        <v>79</v>
      </c>
      <c r="K29" s="28"/>
      <c r="L29" s="28">
        <v>84</v>
      </c>
      <c r="M29" s="25">
        <v>81.5</v>
      </c>
      <c r="N29" s="7">
        <v>2</v>
      </c>
      <c r="O29" s="29"/>
      <c r="P29" s="38"/>
    </row>
    <row r="30" spans="1:16" ht="15" customHeight="1">
      <c r="A30" s="5">
        <v>28</v>
      </c>
      <c r="B30" s="7" t="str">
        <f>"220609802"</f>
        <v>220609802</v>
      </c>
      <c r="C30" s="7" t="str">
        <f t="shared" si="6"/>
        <v>06</v>
      </c>
      <c r="D30" s="7" t="s">
        <v>29</v>
      </c>
      <c r="E30" s="7" t="str">
        <f>"崔智秋"</f>
        <v>崔智秋</v>
      </c>
      <c r="F30" s="7" t="str">
        <f t="shared" si="1"/>
        <v>本科</v>
      </c>
      <c r="G30" s="7" t="str">
        <f>"数学与应用数学"</f>
        <v>数学与应用数学</v>
      </c>
      <c r="H30" s="7" t="str">
        <f>"江苏理工学院"</f>
        <v>江苏理工学院</v>
      </c>
      <c r="I30" s="7"/>
      <c r="J30" s="28">
        <v>84</v>
      </c>
      <c r="K30" s="28"/>
      <c r="L30" s="28">
        <v>77.8</v>
      </c>
      <c r="M30" s="25">
        <v>80.9</v>
      </c>
      <c r="N30" s="7">
        <v>3</v>
      </c>
      <c r="O30" s="29"/>
      <c r="P30" s="38"/>
    </row>
    <row r="31" spans="1:16" ht="15" customHeight="1">
      <c r="A31" s="5">
        <v>29</v>
      </c>
      <c r="B31" s="7" t="str">
        <f>"220609811"</f>
        <v>220609811</v>
      </c>
      <c r="C31" s="7" t="str">
        <f t="shared" si="6"/>
        <v>06</v>
      </c>
      <c r="D31" s="7" t="s">
        <v>29</v>
      </c>
      <c r="E31" s="7" t="str">
        <f>"狄奕秋"</f>
        <v>狄奕秋</v>
      </c>
      <c r="F31" s="7" t="str">
        <f t="shared" si="1"/>
        <v>本科</v>
      </c>
      <c r="G31" s="7" t="str">
        <f>"数学与应用数学（师范）"</f>
        <v>数学与应用数学（师范）</v>
      </c>
      <c r="H31" s="7" t="str">
        <f>"南通大学"</f>
        <v>南通大学</v>
      </c>
      <c r="I31" s="7"/>
      <c r="J31" s="28">
        <v>77</v>
      </c>
      <c r="K31" s="28"/>
      <c r="L31" s="28">
        <v>79.4</v>
      </c>
      <c r="M31" s="25">
        <v>78.2</v>
      </c>
      <c r="N31" s="7">
        <v>4</v>
      </c>
      <c r="O31" s="29"/>
      <c r="P31" s="38"/>
    </row>
    <row r="32" spans="1:16" ht="15" customHeight="1">
      <c r="A32" s="9">
        <v>30</v>
      </c>
      <c r="B32" s="10" t="str">
        <f>"220609915"</f>
        <v>220609915</v>
      </c>
      <c r="C32" s="10" t="str">
        <f t="shared" si="6"/>
        <v>06</v>
      </c>
      <c r="D32" s="10" t="s">
        <v>29</v>
      </c>
      <c r="E32" s="10" t="str">
        <f>"施天慧"</f>
        <v>施天慧</v>
      </c>
      <c r="F32" s="10" t="str">
        <f t="shared" si="1"/>
        <v>本科</v>
      </c>
      <c r="G32" s="10" t="str">
        <f>"信息与计算科学"</f>
        <v>信息与计算科学</v>
      </c>
      <c r="H32" s="10" t="str">
        <f>"苏州科技大学"</f>
        <v>苏州科技大学</v>
      </c>
      <c r="I32" s="10" t="str">
        <f>"南通蓝领技工学校"</f>
        <v>南通蓝领技工学校</v>
      </c>
      <c r="J32" s="31">
        <v>80</v>
      </c>
      <c r="K32" s="31"/>
      <c r="L32" s="31">
        <v>74.4</v>
      </c>
      <c r="M32" s="32">
        <v>77.2</v>
      </c>
      <c r="N32" s="10">
        <v>5</v>
      </c>
      <c r="O32" s="33"/>
      <c r="P32" s="42"/>
    </row>
    <row r="33" spans="1:16" ht="15" customHeight="1">
      <c r="A33" s="11">
        <v>31</v>
      </c>
      <c r="B33" s="8" t="str">
        <f>"220706801"</f>
        <v>220706801</v>
      </c>
      <c r="C33" s="8" t="str">
        <f aca="true" t="shared" si="7" ref="C33:C40">"07"</f>
        <v>07</v>
      </c>
      <c r="D33" s="8" t="s">
        <v>32</v>
      </c>
      <c r="E33" s="8" t="str">
        <f>"花萍萍"</f>
        <v>花萍萍</v>
      </c>
      <c r="F33" s="8" t="str">
        <f t="shared" si="1"/>
        <v>本科</v>
      </c>
      <c r="G33" s="8" t="str">
        <f>"小学教育"</f>
        <v>小学教育</v>
      </c>
      <c r="H33" s="8" t="str">
        <f>"盐城师范学院"</f>
        <v>盐城师范学院</v>
      </c>
      <c r="I33" s="8"/>
      <c r="J33" s="35">
        <v>87</v>
      </c>
      <c r="K33" s="35"/>
      <c r="L33" s="35">
        <v>80.8</v>
      </c>
      <c r="M33" s="36">
        <v>83.9</v>
      </c>
      <c r="N33" s="8">
        <v>1</v>
      </c>
      <c r="O33" s="37"/>
      <c r="P33" s="38" t="s">
        <v>33</v>
      </c>
    </row>
    <row r="34" spans="1:16" ht="15" customHeight="1">
      <c r="A34" s="5">
        <v>32</v>
      </c>
      <c r="B34" s="7" t="str">
        <f>"220706424"</f>
        <v>220706424</v>
      </c>
      <c r="C34" s="7" t="str">
        <f t="shared" si="7"/>
        <v>07</v>
      </c>
      <c r="D34" s="7" t="s">
        <v>32</v>
      </c>
      <c r="E34" s="7" t="str">
        <f>"王志锋"</f>
        <v>王志锋</v>
      </c>
      <c r="F34" s="7" t="str">
        <f t="shared" si="1"/>
        <v>本科</v>
      </c>
      <c r="G34" s="7" t="str">
        <f>"数学与应用数学（师范）"</f>
        <v>数学与应用数学（师范）</v>
      </c>
      <c r="H34" s="7" t="str">
        <f>"泰州学院"</f>
        <v>泰州学院</v>
      </c>
      <c r="I34" s="7"/>
      <c r="J34" s="28">
        <v>90</v>
      </c>
      <c r="K34" s="28"/>
      <c r="L34" s="28">
        <v>77.8</v>
      </c>
      <c r="M34" s="25">
        <v>83.9</v>
      </c>
      <c r="N34" s="7">
        <v>2</v>
      </c>
      <c r="O34" s="29"/>
      <c r="P34" s="30"/>
    </row>
    <row r="35" spans="1:16" ht="15" customHeight="1">
      <c r="A35" s="5">
        <v>33</v>
      </c>
      <c r="B35" s="7" t="str">
        <f>"220706415"</f>
        <v>220706415</v>
      </c>
      <c r="C35" s="7" t="str">
        <f t="shared" si="7"/>
        <v>07</v>
      </c>
      <c r="D35" s="7" t="s">
        <v>32</v>
      </c>
      <c r="E35" s="7" t="str">
        <f>"朱玉瑶"</f>
        <v>朱玉瑶</v>
      </c>
      <c r="F35" s="7" t="str">
        <f t="shared" si="1"/>
        <v>本科</v>
      </c>
      <c r="G35" s="7" t="str">
        <f>"信息与计算科学"</f>
        <v>信息与计算科学</v>
      </c>
      <c r="H35" s="7" t="str">
        <f>"嘉兴学院"</f>
        <v>嘉兴学院</v>
      </c>
      <c r="I35" s="7" t="str">
        <f>"上海赫程国际旅游有限公司南通分公司"</f>
        <v>上海赫程国际旅游有限公司南通分公司</v>
      </c>
      <c r="J35" s="28">
        <v>83</v>
      </c>
      <c r="K35" s="28"/>
      <c r="L35" s="28">
        <v>84.6</v>
      </c>
      <c r="M35" s="25">
        <v>83.8</v>
      </c>
      <c r="N35" s="7">
        <v>3</v>
      </c>
      <c r="O35" s="29"/>
      <c r="P35" s="30"/>
    </row>
    <row r="36" spans="1:16" ht="15" customHeight="1">
      <c r="A36" s="5">
        <v>34</v>
      </c>
      <c r="B36" s="7" t="str">
        <f>"220706712"</f>
        <v>220706712</v>
      </c>
      <c r="C36" s="7" t="str">
        <f t="shared" si="7"/>
        <v>07</v>
      </c>
      <c r="D36" s="7" t="s">
        <v>32</v>
      </c>
      <c r="E36" s="7" t="str">
        <f>"丁薇"</f>
        <v>丁薇</v>
      </c>
      <c r="F36" s="7" t="str">
        <f t="shared" si="1"/>
        <v>本科</v>
      </c>
      <c r="G36" s="7" t="str">
        <f>"小学教育"</f>
        <v>小学教育</v>
      </c>
      <c r="H36" s="7" t="str">
        <f>"徐州工程学院"</f>
        <v>徐州工程学院</v>
      </c>
      <c r="I36" s="7"/>
      <c r="J36" s="28">
        <v>84</v>
      </c>
      <c r="K36" s="28"/>
      <c r="L36" s="28">
        <v>83.6</v>
      </c>
      <c r="M36" s="25">
        <v>83.8</v>
      </c>
      <c r="N36" s="7">
        <v>4</v>
      </c>
      <c r="O36" s="29"/>
      <c r="P36" s="30"/>
    </row>
    <row r="37" spans="1:16" ht="15" customHeight="1">
      <c r="A37" s="5">
        <v>35</v>
      </c>
      <c r="B37" s="7" t="str">
        <f>"220706620"</f>
        <v>220706620</v>
      </c>
      <c r="C37" s="7" t="str">
        <f t="shared" si="7"/>
        <v>07</v>
      </c>
      <c r="D37" s="7" t="s">
        <v>32</v>
      </c>
      <c r="E37" s="7" t="str">
        <f>"李笑寒"</f>
        <v>李笑寒</v>
      </c>
      <c r="F37" s="7" t="str">
        <f t="shared" si="1"/>
        <v>本科</v>
      </c>
      <c r="G37" s="7" t="str">
        <f>"小学教育（师范）"</f>
        <v>小学教育（师范）</v>
      </c>
      <c r="H37" s="7" t="str">
        <f>"盐城师范学院"</f>
        <v>盐城师范学院</v>
      </c>
      <c r="I37" s="7"/>
      <c r="J37" s="28">
        <v>82</v>
      </c>
      <c r="K37" s="28"/>
      <c r="L37" s="28">
        <v>85.2</v>
      </c>
      <c r="M37" s="25">
        <v>83.6</v>
      </c>
      <c r="N37" s="7">
        <v>5</v>
      </c>
      <c r="O37" s="29"/>
      <c r="P37" s="30"/>
    </row>
    <row r="38" spans="1:16" ht="15" customHeight="1">
      <c r="A38" s="5">
        <v>36</v>
      </c>
      <c r="B38" s="7" t="str">
        <f>"220706525"</f>
        <v>220706525</v>
      </c>
      <c r="C38" s="12" t="str">
        <f t="shared" si="7"/>
        <v>07</v>
      </c>
      <c r="D38" s="12" t="s">
        <v>32</v>
      </c>
      <c r="E38" s="12" t="str">
        <f>"陆冬雪"</f>
        <v>陆冬雪</v>
      </c>
      <c r="F38" s="7" t="str">
        <f t="shared" si="1"/>
        <v>本科</v>
      </c>
      <c r="G38" s="7" t="str">
        <f>"信息与计算科学（嵌入式培养）"</f>
        <v>信息与计算科学（嵌入式培养）</v>
      </c>
      <c r="H38" s="7" t="str">
        <f>"淮阴师范学院"</f>
        <v>淮阴师范学院</v>
      </c>
      <c r="I38" s="7"/>
      <c r="J38" s="28">
        <v>81</v>
      </c>
      <c r="K38" s="28"/>
      <c r="L38" s="28">
        <v>85.8</v>
      </c>
      <c r="M38" s="25">
        <v>83.4</v>
      </c>
      <c r="N38" s="7">
        <v>6</v>
      </c>
      <c r="O38" s="29"/>
      <c r="P38" s="30"/>
    </row>
    <row r="39" spans="1:16" ht="15" customHeight="1">
      <c r="A39" s="5">
        <v>37</v>
      </c>
      <c r="B39" s="7" t="str">
        <f>"220706717"</f>
        <v>220706717</v>
      </c>
      <c r="C39" s="7" t="str">
        <f t="shared" si="7"/>
        <v>07</v>
      </c>
      <c r="D39" s="7" t="s">
        <v>32</v>
      </c>
      <c r="E39" s="7" t="str">
        <f>"谢智清"</f>
        <v>谢智清</v>
      </c>
      <c r="F39" s="7" t="str">
        <f t="shared" si="1"/>
        <v>本科</v>
      </c>
      <c r="G39" s="7" t="str">
        <f>"数学与应用数学"</f>
        <v>数学与应用数学</v>
      </c>
      <c r="H39" s="7" t="str">
        <f>"福建师范大学"</f>
        <v>福建师范大学</v>
      </c>
      <c r="I39" s="23" t="str">
        <f>"东台创新学校"</f>
        <v>东台创新学校</v>
      </c>
      <c r="J39" s="24">
        <v>83</v>
      </c>
      <c r="K39" s="24"/>
      <c r="L39" s="24">
        <v>83.8</v>
      </c>
      <c r="M39" s="25">
        <v>83.4</v>
      </c>
      <c r="N39" s="7">
        <v>7</v>
      </c>
      <c r="O39" s="29"/>
      <c r="P39" s="30"/>
    </row>
    <row r="40" spans="1:16" ht="15" customHeight="1">
      <c r="A40" s="9">
        <v>38</v>
      </c>
      <c r="B40" s="10" t="str">
        <f>"220706428"</f>
        <v>220706428</v>
      </c>
      <c r="C40" s="10" t="str">
        <f t="shared" si="7"/>
        <v>07</v>
      </c>
      <c r="D40" s="13" t="s">
        <v>32</v>
      </c>
      <c r="E40" s="13" t="str">
        <f>"曹萍"</f>
        <v>曹萍</v>
      </c>
      <c r="F40" s="10" t="str">
        <f t="shared" si="1"/>
        <v>本科</v>
      </c>
      <c r="G40" s="10" t="str">
        <f>"数学与应用数学"</f>
        <v>数学与应用数学</v>
      </c>
      <c r="H40" s="10" t="str">
        <f>"福建师范大学"</f>
        <v>福建师范大学</v>
      </c>
      <c r="I40" s="10" t="str">
        <f>"东台创新学校"</f>
        <v>东台创新学校</v>
      </c>
      <c r="J40" s="31">
        <v>84</v>
      </c>
      <c r="K40" s="31"/>
      <c r="L40" s="31">
        <v>80.8</v>
      </c>
      <c r="M40" s="32">
        <v>82.4</v>
      </c>
      <c r="N40" s="10">
        <v>8</v>
      </c>
      <c r="O40" s="33"/>
      <c r="P40" s="34"/>
    </row>
    <row r="41" spans="1:16" ht="15" customHeight="1">
      <c r="A41" s="11">
        <v>39</v>
      </c>
      <c r="B41" s="8" t="str">
        <f>"220806607"</f>
        <v>220806607</v>
      </c>
      <c r="C41" s="8" t="str">
        <f aca="true" t="shared" si="8" ref="C41:C49">"08"</f>
        <v>08</v>
      </c>
      <c r="D41" s="8" t="s">
        <v>32</v>
      </c>
      <c r="E41" s="8" t="str">
        <f>"吴晓晓"</f>
        <v>吴晓晓</v>
      </c>
      <c r="F41" s="8" t="str">
        <f t="shared" si="1"/>
        <v>本科</v>
      </c>
      <c r="G41" s="8" t="str">
        <f>"数学与应用数学"</f>
        <v>数学与应用数学</v>
      </c>
      <c r="H41" s="8" t="str">
        <f>"淮阴师范学院"</f>
        <v>淮阴师范学院</v>
      </c>
      <c r="I41" s="8" t="str">
        <f>"盱眙县实验初级中学附属小学"</f>
        <v>盱眙县实验初级中学附属小学</v>
      </c>
      <c r="J41" s="35">
        <v>86</v>
      </c>
      <c r="K41" s="35"/>
      <c r="L41" s="35">
        <v>86.8</v>
      </c>
      <c r="M41" s="36">
        <v>86.4</v>
      </c>
      <c r="N41" s="8">
        <v>1</v>
      </c>
      <c r="O41" s="37"/>
      <c r="P41" s="38" t="s">
        <v>34</v>
      </c>
    </row>
    <row r="42" spans="1:16" ht="15" customHeight="1">
      <c r="A42" s="5">
        <v>40</v>
      </c>
      <c r="B42" s="7" t="str">
        <f>"220806725"</f>
        <v>220806725</v>
      </c>
      <c r="C42" s="7" t="str">
        <f t="shared" si="8"/>
        <v>08</v>
      </c>
      <c r="D42" s="7" t="s">
        <v>32</v>
      </c>
      <c r="E42" s="7" t="str">
        <f>"缪志娟"</f>
        <v>缪志娟</v>
      </c>
      <c r="F42" s="7" t="str">
        <f t="shared" si="1"/>
        <v>本科</v>
      </c>
      <c r="G42" s="7" t="str">
        <f>"小学教育（师范类）"</f>
        <v>小学教育（师范类）</v>
      </c>
      <c r="H42" s="7" t="str">
        <f>"盐城师范学院"</f>
        <v>盐城师范学院</v>
      </c>
      <c r="I42" s="7"/>
      <c r="J42" s="28">
        <v>85</v>
      </c>
      <c r="K42" s="28"/>
      <c r="L42" s="28">
        <v>83</v>
      </c>
      <c r="M42" s="25">
        <v>84</v>
      </c>
      <c r="N42" s="7">
        <v>2</v>
      </c>
      <c r="O42" s="29"/>
      <c r="P42" s="30"/>
    </row>
    <row r="43" spans="1:16" ht="15" customHeight="1">
      <c r="A43" s="5">
        <v>41</v>
      </c>
      <c r="B43" s="7" t="str">
        <f>"220806606"</f>
        <v>220806606</v>
      </c>
      <c r="C43" s="7" t="str">
        <f t="shared" si="8"/>
        <v>08</v>
      </c>
      <c r="D43" s="7" t="s">
        <v>32</v>
      </c>
      <c r="E43" s="7" t="str">
        <f>"沈艳秋"</f>
        <v>沈艳秋</v>
      </c>
      <c r="F43" s="7" t="str">
        <f t="shared" si="1"/>
        <v>本科</v>
      </c>
      <c r="G43" s="7" t="str">
        <f>"小学教育（师范）"</f>
        <v>小学教育（师范）</v>
      </c>
      <c r="H43" s="7" t="str">
        <f>"南京特殊教育师范学院"</f>
        <v>南京特殊教育师范学院</v>
      </c>
      <c r="I43" s="7"/>
      <c r="J43" s="28">
        <v>90</v>
      </c>
      <c r="K43" s="28"/>
      <c r="L43" s="28">
        <v>75.8</v>
      </c>
      <c r="M43" s="25">
        <v>82.9</v>
      </c>
      <c r="N43" s="7">
        <v>3</v>
      </c>
      <c r="O43" s="29"/>
      <c r="P43" s="30"/>
    </row>
    <row r="44" spans="1:16" ht="15" customHeight="1">
      <c r="A44" s="5">
        <v>42</v>
      </c>
      <c r="B44" s="7" t="str">
        <f>"220806523"</f>
        <v>220806523</v>
      </c>
      <c r="C44" s="7" t="str">
        <f t="shared" si="8"/>
        <v>08</v>
      </c>
      <c r="D44" s="7" t="s">
        <v>32</v>
      </c>
      <c r="E44" s="7" t="str">
        <f>"陆奕遐"</f>
        <v>陆奕遐</v>
      </c>
      <c r="F44" s="7" t="str">
        <f t="shared" si="1"/>
        <v>本科</v>
      </c>
      <c r="G44" s="7" t="str">
        <f>"小学教育"</f>
        <v>小学教育</v>
      </c>
      <c r="H44" s="7" t="str">
        <f>"盐城师范学院"</f>
        <v>盐城师范学院</v>
      </c>
      <c r="I44" s="7"/>
      <c r="J44" s="28">
        <v>83</v>
      </c>
      <c r="K44" s="28"/>
      <c r="L44" s="28">
        <v>81.4</v>
      </c>
      <c r="M44" s="25">
        <v>82.2</v>
      </c>
      <c r="N44" s="7">
        <v>4</v>
      </c>
      <c r="O44" s="29"/>
      <c r="P44" s="30"/>
    </row>
    <row r="45" spans="1:16" ht="15" customHeight="1">
      <c r="A45" s="5">
        <v>43</v>
      </c>
      <c r="B45" s="7" t="str">
        <f>"220806414"</f>
        <v>220806414</v>
      </c>
      <c r="C45" s="7" t="str">
        <f t="shared" si="8"/>
        <v>08</v>
      </c>
      <c r="D45" s="7" t="s">
        <v>32</v>
      </c>
      <c r="E45" s="7" t="str">
        <f>"蒋忠艳"</f>
        <v>蒋忠艳</v>
      </c>
      <c r="F45" s="7" t="str">
        <f t="shared" si="1"/>
        <v>本科</v>
      </c>
      <c r="G45" s="7" t="str">
        <f>"小学教育"</f>
        <v>小学教育</v>
      </c>
      <c r="H45" s="7" t="str">
        <f>"南通大学"</f>
        <v>南通大学</v>
      </c>
      <c r="I45" s="7"/>
      <c r="J45" s="28">
        <v>86</v>
      </c>
      <c r="K45" s="28"/>
      <c r="L45" s="28">
        <v>78.2</v>
      </c>
      <c r="M45" s="25">
        <v>82.1</v>
      </c>
      <c r="N45" s="7">
        <v>5</v>
      </c>
      <c r="O45" s="29"/>
      <c r="P45" s="30"/>
    </row>
    <row r="46" spans="1:16" ht="15" customHeight="1">
      <c r="A46" s="5">
        <v>44</v>
      </c>
      <c r="B46" s="7" t="str">
        <f>"220806526"</f>
        <v>220806526</v>
      </c>
      <c r="C46" s="7" t="str">
        <f t="shared" si="8"/>
        <v>08</v>
      </c>
      <c r="D46" s="7" t="s">
        <v>32</v>
      </c>
      <c r="E46" s="7" t="str">
        <f>"周慧"</f>
        <v>周慧</v>
      </c>
      <c r="F46" s="7" t="str">
        <f t="shared" si="1"/>
        <v>本科</v>
      </c>
      <c r="G46" s="7" t="str">
        <f>"小学教育"</f>
        <v>小学教育</v>
      </c>
      <c r="H46" s="7" t="str">
        <f>"江苏师范大学"</f>
        <v>江苏师范大学</v>
      </c>
      <c r="I46" s="7"/>
      <c r="J46" s="28">
        <v>87</v>
      </c>
      <c r="K46" s="28"/>
      <c r="L46" s="28">
        <v>76.6</v>
      </c>
      <c r="M46" s="25">
        <v>81.8</v>
      </c>
      <c r="N46" s="7">
        <v>6</v>
      </c>
      <c r="O46" s="29"/>
      <c r="P46" s="30"/>
    </row>
    <row r="47" spans="1:16" ht="15" customHeight="1">
      <c r="A47" s="5">
        <v>45</v>
      </c>
      <c r="B47" s="7" t="str">
        <f>"220806404"</f>
        <v>220806404</v>
      </c>
      <c r="C47" s="7" t="str">
        <f t="shared" si="8"/>
        <v>08</v>
      </c>
      <c r="D47" s="7" t="s">
        <v>32</v>
      </c>
      <c r="E47" s="7" t="str">
        <f>"徐梦娣"</f>
        <v>徐梦娣</v>
      </c>
      <c r="F47" s="7" t="str">
        <f t="shared" si="1"/>
        <v>本科</v>
      </c>
      <c r="G47" s="7" t="str">
        <f>"小学教育（师范类）"</f>
        <v>小学教育（师范类）</v>
      </c>
      <c r="H47" s="7" t="str">
        <f>"盐城师范学院"</f>
        <v>盐城师范学院</v>
      </c>
      <c r="I47" s="7" t="str">
        <f>"江苏米安消防科技有限公司"</f>
        <v>江苏米安消防科技有限公司</v>
      </c>
      <c r="J47" s="28">
        <v>82</v>
      </c>
      <c r="K47" s="28"/>
      <c r="L47" s="28">
        <v>81.2</v>
      </c>
      <c r="M47" s="25">
        <v>81.6</v>
      </c>
      <c r="N47" s="7">
        <v>7</v>
      </c>
      <c r="O47" s="29"/>
      <c r="P47" s="30"/>
    </row>
    <row r="48" spans="1:16" ht="15" customHeight="1">
      <c r="A48" s="5">
        <v>46</v>
      </c>
      <c r="B48" s="7" t="str">
        <f>"220806612"</f>
        <v>220806612</v>
      </c>
      <c r="C48" s="7" t="str">
        <f t="shared" si="8"/>
        <v>08</v>
      </c>
      <c r="D48" s="7" t="s">
        <v>32</v>
      </c>
      <c r="E48" s="7" t="str">
        <f>"程朱"</f>
        <v>程朱</v>
      </c>
      <c r="F48" s="7" t="str">
        <f t="shared" si="1"/>
        <v>本科</v>
      </c>
      <c r="G48" s="7" t="str">
        <f>"小学教育"</f>
        <v>小学教育</v>
      </c>
      <c r="H48" s="7" t="str">
        <f>"南通大学"</f>
        <v>南通大学</v>
      </c>
      <c r="I48" s="7"/>
      <c r="J48" s="28">
        <v>87</v>
      </c>
      <c r="K48" s="28"/>
      <c r="L48" s="28">
        <v>73.4</v>
      </c>
      <c r="M48" s="25">
        <v>80.2</v>
      </c>
      <c r="N48" s="7">
        <v>8</v>
      </c>
      <c r="O48" s="29"/>
      <c r="P48" s="30"/>
    </row>
    <row r="49" spans="1:16" ht="15" customHeight="1">
      <c r="A49" s="9">
        <v>47</v>
      </c>
      <c r="B49" s="10" t="str">
        <f>"220806425"</f>
        <v>220806425</v>
      </c>
      <c r="C49" s="10" t="str">
        <f t="shared" si="8"/>
        <v>08</v>
      </c>
      <c r="D49" s="10" t="s">
        <v>32</v>
      </c>
      <c r="E49" s="10" t="str">
        <f>"李婷婷"</f>
        <v>李婷婷</v>
      </c>
      <c r="F49" s="10" t="str">
        <f t="shared" si="1"/>
        <v>本科</v>
      </c>
      <c r="G49" s="10" t="str">
        <f>"数学与应用数学"</f>
        <v>数学与应用数学</v>
      </c>
      <c r="H49" s="10" t="str">
        <f>"江苏理工学院"</f>
        <v>江苏理工学院</v>
      </c>
      <c r="I49" s="10" t="str">
        <f>"如皋市白蒲镇林梓小学"</f>
        <v>如皋市白蒲镇林梓小学</v>
      </c>
      <c r="J49" s="31">
        <v>81</v>
      </c>
      <c r="K49" s="31"/>
      <c r="L49" s="31">
        <v>79</v>
      </c>
      <c r="M49" s="32">
        <v>80</v>
      </c>
      <c r="N49" s="10">
        <v>9</v>
      </c>
      <c r="O49" s="33"/>
      <c r="P49" s="34"/>
    </row>
    <row r="50" spans="1:16" ht="18.75" customHeight="1">
      <c r="A50" s="11">
        <v>48</v>
      </c>
      <c r="B50" s="8" t="str">
        <f>"220910207"</f>
        <v>220910207</v>
      </c>
      <c r="C50" s="8" t="str">
        <f aca="true" t="shared" si="9" ref="C50:C51">"09"</f>
        <v>09</v>
      </c>
      <c r="D50" s="8" t="s">
        <v>35</v>
      </c>
      <c r="E50" s="8" t="str">
        <f>"张美玲"</f>
        <v>张美玲</v>
      </c>
      <c r="F50" s="8" t="str">
        <f t="shared" si="1"/>
        <v>本科</v>
      </c>
      <c r="G50" s="8" t="str">
        <f>"英语"</f>
        <v>英语</v>
      </c>
      <c r="H50" s="8" t="str">
        <f>"巢湖学院"</f>
        <v>巢湖学院</v>
      </c>
      <c r="I50" s="8"/>
      <c r="J50" s="35">
        <v>80.5</v>
      </c>
      <c r="K50" s="35"/>
      <c r="L50" s="35">
        <v>78.4</v>
      </c>
      <c r="M50" s="36">
        <v>79.45</v>
      </c>
      <c r="N50" s="8">
        <v>2</v>
      </c>
      <c r="O50" s="37" t="s">
        <v>36</v>
      </c>
      <c r="P50" s="47" t="s">
        <v>37</v>
      </c>
    </row>
    <row r="51" spans="1:16" ht="18.75" customHeight="1">
      <c r="A51" s="9">
        <v>49</v>
      </c>
      <c r="B51" s="10" t="str">
        <f>"220910209"</f>
        <v>220910209</v>
      </c>
      <c r="C51" s="10" t="str">
        <f t="shared" si="9"/>
        <v>09</v>
      </c>
      <c r="D51" s="10" t="s">
        <v>35</v>
      </c>
      <c r="E51" s="10" t="str">
        <f>"李玲玉"</f>
        <v>李玲玉</v>
      </c>
      <c r="F51" s="10" t="str">
        <f t="shared" si="1"/>
        <v>本科</v>
      </c>
      <c r="G51" s="10" t="str">
        <f>"英语师范"</f>
        <v>英语师范</v>
      </c>
      <c r="H51" s="10" t="str">
        <f>"泰州学院"</f>
        <v>泰州学院</v>
      </c>
      <c r="I51" s="10" t="str">
        <f>"建湖高级中学"</f>
        <v>建湖高级中学</v>
      </c>
      <c r="J51" s="31">
        <v>82</v>
      </c>
      <c r="K51" s="31"/>
      <c r="L51" s="31">
        <v>76.7</v>
      </c>
      <c r="M51" s="32">
        <v>79.35</v>
      </c>
      <c r="N51" s="10">
        <v>3</v>
      </c>
      <c r="O51" s="33"/>
      <c r="P51" s="48"/>
    </row>
    <row r="52" spans="1:16" ht="15" customHeight="1">
      <c r="A52" s="11">
        <v>50</v>
      </c>
      <c r="B52" s="8" t="str">
        <f>"221011609"</f>
        <v>221011609</v>
      </c>
      <c r="C52" s="8" t="str">
        <f aca="true" t="shared" si="10" ref="C52:C59">"10"</f>
        <v>10</v>
      </c>
      <c r="D52" s="8" t="s">
        <v>38</v>
      </c>
      <c r="E52" s="8" t="str">
        <f>"戴锫"</f>
        <v>戴锫</v>
      </c>
      <c r="F52" s="8" t="str">
        <f>"硕士研究生"</f>
        <v>硕士研究生</v>
      </c>
      <c r="G52" s="8" t="str">
        <f>"英语笔译"</f>
        <v>英语笔译</v>
      </c>
      <c r="H52" s="8" t="str">
        <f>"上海外国语大学"</f>
        <v>上海外国语大学</v>
      </c>
      <c r="I52" s="8"/>
      <c r="J52" s="35">
        <v>83</v>
      </c>
      <c r="K52" s="35"/>
      <c r="L52" s="35">
        <v>79.4</v>
      </c>
      <c r="M52" s="36">
        <v>81.2</v>
      </c>
      <c r="N52" s="8">
        <v>1</v>
      </c>
      <c r="O52" s="37" t="s">
        <v>39</v>
      </c>
      <c r="P52" s="38" t="s">
        <v>40</v>
      </c>
    </row>
    <row r="53" spans="1:16" ht="15" customHeight="1">
      <c r="A53" s="5">
        <v>51</v>
      </c>
      <c r="B53" s="7" t="str">
        <f>"221011607"</f>
        <v>221011607</v>
      </c>
      <c r="C53" s="7" t="str">
        <f t="shared" si="10"/>
        <v>10</v>
      </c>
      <c r="D53" s="7" t="s">
        <v>38</v>
      </c>
      <c r="E53" s="7" t="str">
        <f>"吴月花"</f>
        <v>吴月花</v>
      </c>
      <c r="F53" s="7" t="str">
        <f aca="true" t="shared" si="11" ref="F53:F88">"本科"</f>
        <v>本科</v>
      </c>
      <c r="G53" s="7" t="str">
        <f>"英语"</f>
        <v>英语</v>
      </c>
      <c r="H53" s="7" t="str">
        <f>"三江学院"</f>
        <v>三江学院</v>
      </c>
      <c r="I53" s="7" t="str">
        <f>"江苏澳凡家具有限公司"</f>
        <v>江苏澳凡家具有限公司</v>
      </c>
      <c r="J53" s="28">
        <v>85</v>
      </c>
      <c r="K53" s="28"/>
      <c r="L53" s="28">
        <v>76.7</v>
      </c>
      <c r="M53" s="25">
        <v>80.85</v>
      </c>
      <c r="N53" s="7">
        <v>3</v>
      </c>
      <c r="O53" s="29"/>
      <c r="P53" s="30"/>
    </row>
    <row r="54" spans="1:16" ht="15" customHeight="1">
      <c r="A54" s="5">
        <v>52</v>
      </c>
      <c r="B54" s="7" t="str">
        <f>"221011817"</f>
        <v>221011817</v>
      </c>
      <c r="C54" s="7" t="str">
        <f t="shared" si="10"/>
        <v>10</v>
      </c>
      <c r="D54" s="7" t="s">
        <v>38</v>
      </c>
      <c r="E54" s="7" t="str">
        <f>"李飞飞"</f>
        <v>李飞飞</v>
      </c>
      <c r="F54" s="7" t="str">
        <f t="shared" si="11"/>
        <v>本科</v>
      </c>
      <c r="G54" s="7" t="str">
        <f>"英语"</f>
        <v>英语</v>
      </c>
      <c r="H54" s="7" t="str">
        <f>"武汉体育学院"</f>
        <v>武汉体育学院</v>
      </c>
      <c r="I54" s="7" t="str">
        <f>"如皋市长江镇郭园小学"</f>
        <v>如皋市长江镇郭园小学</v>
      </c>
      <c r="J54" s="28">
        <v>86</v>
      </c>
      <c r="K54" s="28"/>
      <c r="L54" s="28">
        <v>75.4</v>
      </c>
      <c r="M54" s="25">
        <v>80.7</v>
      </c>
      <c r="N54" s="7">
        <v>4</v>
      </c>
      <c r="O54" s="29"/>
      <c r="P54" s="30"/>
    </row>
    <row r="55" spans="1:16" ht="15" customHeight="1">
      <c r="A55" s="5">
        <v>53</v>
      </c>
      <c r="B55" s="7" t="str">
        <f>"221011404"</f>
        <v>221011404</v>
      </c>
      <c r="C55" s="7" t="str">
        <f t="shared" si="10"/>
        <v>10</v>
      </c>
      <c r="D55" s="7" t="s">
        <v>38</v>
      </c>
      <c r="E55" s="7" t="str">
        <f>"刁苏婷"</f>
        <v>刁苏婷</v>
      </c>
      <c r="F55" s="7" t="str">
        <f t="shared" si="11"/>
        <v>本科</v>
      </c>
      <c r="G55" s="7" t="str">
        <f>"英语"</f>
        <v>英语</v>
      </c>
      <c r="H55" s="7" t="str">
        <f>"盐城师范学院"</f>
        <v>盐城师范学院</v>
      </c>
      <c r="I55" s="7"/>
      <c r="J55" s="28">
        <v>81</v>
      </c>
      <c r="K55" s="28"/>
      <c r="L55" s="28">
        <v>79.5</v>
      </c>
      <c r="M55" s="25">
        <v>80.25</v>
      </c>
      <c r="N55" s="7">
        <v>5</v>
      </c>
      <c r="O55" s="29"/>
      <c r="P55" s="30"/>
    </row>
    <row r="56" spans="1:16" ht="15" customHeight="1">
      <c r="A56" s="5">
        <v>54</v>
      </c>
      <c r="B56" s="7" t="str">
        <f>"221011225"</f>
        <v>221011225</v>
      </c>
      <c r="C56" s="7" t="str">
        <f t="shared" si="10"/>
        <v>10</v>
      </c>
      <c r="D56" s="7" t="s">
        <v>38</v>
      </c>
      <c r="E56" s="7" t="str">
        <f>"蒋晶"</f>
        <v>蒋晶</v>
      </c>
      <c r="F56" s="7" t="str">
        <f t="shared" si="11"/>
        <v>本科</v>
      </c>
      <c r="G56" s="7" t="str">
        <f>"英语（师范）"</f>
        <v>英语（师范）</v>
      </c>
      <c r="H56" s="7" t="str">
        <f>"江苏理工学院"</f>
        <v>江苏理工学院</v>
      </c>
      <c r="I56" s="7"/>
      <c r="J56" s="28">
        <v>84</v>
      </c>
      <c r="K56" s="28"/>
      <c r="L56" s="28">
        <v>76</v>
      </c>
      <c r="M56" s="25">
        <v>80</v>
      </c>
      <c r="N56" s="7">
        <v>6</v>
      </c>
      <c r="O56" s="29"/>
      <c r="P56" s="30"/>
    </row>
    <row r="57" spans="1:16" ht="15" customHeight="1">
      <c r="A57" s="5">
        <v>55</v>
      </c>
      <c r="B57" s="7" t="str">
        <f>"221011308"</f>
        <v>221011308</v>
      </c>
      <c r="C57" s="7" t="str">
        <f t="shared" si="10"/>
        <v>10</v>
      </c>
      <c r="D57" s="7" t="s">
        <v>38</v>
      </c>
      <c r="E57" s="7" t="str">
        <f>"沈灵翘"</f>
        <v>沈灵翘</v>
      </c>
      <c r="F57" s="7" t="str">
        <f t="shared" si="11"/>
        <v>本科</v>
      </c>
      <c r="G57" s="7" t="str">
        <f>"英语"</f>
        <v>英语</v>
      </c>
      <c r="H57" s="7" t="str">
        <f>"南昌大学"</f>
        <v>南昌大学</v>
      </c>
      <c r="I57" s="7" t="str">
        <f>"维也耐通讯科技有限公司"</f>
        <v>维也耐通讯科技有限公司</v>
      </c>
      <c r="J57" s="28">
        <v>85</v>
      </c>
      <c r="K57" s="28"/>
      <c r="L57" s="28">
        <v>74.5</v>
      </c>
      <c r="M57" s="25">
        <v>79.75</v>
      </c>
      <c r="N57" s="7">
        <v>7</v>
      </c>
      <c r="O57" s="29"/>
      <c r="P57" s="30"/>
    </row>
    <row r="58" spans="1:16" ht="15" customHeight="1">
      <c r="A58" s="5">
        <v>56</v>
      </c>
      <c r="B58" s="7" t="str">
        <f>"221011318"</f>
        <v>221011318</v>
      </c>
      <c r="C58" s="7" t="str">
        <f t="shared" si="10"/>
        <v>10</v>
      </c>
      <c r="D58" s="7" t="s">
        <v>38</v>
      </c>
      <c r="E58" s="7" t="str">
        <f>"徐雅倩"</f>
        <v>徐雅倩</v>
      </c>
      <c r="F58" s="7" t="str">
        <f t="shared" si="11"/>
        <v>本科</v>
      </c>
      <c r="G58" s="7" t="str">
        <f>"英语师范"</f>
        <v>英语师范</v>
      </c>
      <c r="H58" s="7" t="str">
        <f>"江苏大学"</f>
        <v>江苏大学</v>
      </c>
      <c r="I58" s="7"/>
      <c r="J58" s="28">
        <v>82</v>
      </c>
      <c r="K58" s="28"/>
      <c r="L58" s="28">
        <v>77</v>
      </c>
      <c r="M58" s="25">
        <v>79.5</v>
      </c>
      <c r="N58" s="7">
        <v>8</v>
      </c>
      <c r="O58" s="29"/>
      <c r="P58" s="30"/>
    </row>
    <row r="59" spans="1:16" ht="15" customHeight="1">
      <c r="A59" s="9">
        <v>57</v>
      </c>
      <c r="B59" s="10" t="str">
        <f>"221011619"</f>
        <v>221011619</v>
      </c>
      <c r="C59" s="10" t="str">
        <f t="shared" si="10"/>
        <v>10</v>
      </c>
      <c r="D59" s="10" t="s">
        <v>38</v>
      </c>
      <c r="E59" s="10" t="str">
        <f>"梁欣"</f>
        <v>梁欣</v>
      </c>
      <c r="F59" s="10" t="str">
        <f t="shared" si="11"/>
        <v>本科</v>
      </c>
      <c r="G59" s="10" t="str">
        <f>"英语"</f>
        <v>英语</v>
      </c>
      <c r="H59" s="10" t="str">
        <f>"烟台大学"</f>
        <v>烟台大学</v>
      </c>
      <c r="I59" s="10"/>
      <c r="J59" s="31">
        <v>84</v>
      </c>
      <c r="K59" s="31"/>
      <c r="L59" s="31">
        <v>74.8</v>
      </c>
      <c r="M59" s="32">
        <v>79.4</v>
      </c>
      <c r="N59" s="10">
        <v>9</v>
      </c>
      <c r="O59" s="33"/>
      <c r="P59" s="34"/>
    </row>
    <row r="60" spans="1:16" ht="15" customHeight="1">
      <c r="A60" s="11">
        <v>58</v>
      </c>
      <c r="B60" s="8" t="str">
        <f>"221109527"</f>
        <v>221109527</v>
      </c>
      <c r="C60" s="8" t="str">
        <f aca="true" t="shared" si="12" ref="C60:C62">"11"</f>
        <v>11</v>
      </c>
      <c r="D60" s="8" t="s">
        <v>41</v>
      </c>
      <c r="E60" s="8" t="str">
        <f>"陆淑萍"</f>
        <v>陆淑萍</v>
      </c>
      <c r="F60" s="8" t="str">
        <f t="shared" si="11"/>
        <v>本科</v>
      </c>
      <c r="G60" s="8" t="str">
        <f>"英语"</f>
        <v>英语</v>
      </c>
      <c r="H60" s="8" t="str">
        <f>"南京师范大学"</f>
        <v>南京师范大学</v>
      </c>
      <c r="I60" s="8"/>
      <c r="J60" s="35">
        <v>90</v>
      </c>
      <c r="K60" s="35"/>
      <c r="L60" s="35">
        <v>80.6</v>
      </c>
      <c r="M60" s="36">
        <v>85.3</v>
      </c>
      <c r="N60" s="8">
        <v>2</v>
      </c>
      <c r="O60" s="37" t="s">
        <v>22</v>
      </c>
      <c r="P60" s="38" t="s">
        <v>42</v>
      </c>
    </row>
    <row r="61" spans="1:16" ht="15" customHeight="1">
      <c r="A61" s="5">
        <v>59</v>
      </c>
      <c r="B61" s="7" t="str">
        <f>"221109226"</f>
        <v>221109226</v>
      </c>
      <c r="C61" s="7" t="str">
        <f t="shared" si="12"/>
        <v>11</v>
      </c>
      <c r="D61" s="7" t="s">
        <v>41</v>
      </c>
      <c r="E61" s="7" t="str">
        <f>"孙睿"</f>
        <v>孙睿</v>
      </c>
      <c r="F61" s="7" t="str">
        <f t="shared" si="11"/>
        <v>本科</v>
      </c>
      <c r="G61" s="7" t="str">
        <f>"英语（商贸）"</f>
        <v>英语（商贸）</v>
      </c>
      <c r="H61" s="7" t="str">
        <f>"江苏师范大学科文学院"</f>
        <v>江苏师范大学科文学院</v>
      </c>
      <c r="I61" s="7"/>
      <c r="J61" s="28">
        <v>88.5</v>
      </c>
      <c r="K61" s="28"/>
      <c r="L61" s="28">
        <v>81</v>
      </c>
      <c r="M61" s="25">
        <v>84.75</v>
      </c>
      <c r="N61" s="7">
        <v>3</v>
      </c>
      <c r="O61" s="29"/>
      <c r="P61" s="30"/>
    </row>
    <row r="62" spans="1:16" ht="15" customHeight="1">
      <c r="A62" s="9">
        <v>60</v>
      </c>
      <c r="B62" s="10" t="str">
        <f>"221109517"</f>
        <v>221109517</v>
      </c>
      <c r="C62" s="10" t="str">
        <f t="shared" si="12"/>
        <v>11</v>
      </c>
      <c r="D62" s="10" t="s">
        <v>41</v>
      </c>
      <c r="E62" s="10" t="str">
        <f>"陈羲"</f>
        <v>陈羲</v>
      </c>
      <c r="F62" s="10" t="str">
        <f t="shared" si="11"/>
        <v>本科</v>
      </c>
      <c r="G62" s="10" t="str">
        <f>"小学教育（师范）"</f>
        <v>小学教育（师范）</v>
      </c>
      <c r="H62" s="10" t="str">
        <f>"南京晓庄学院"</f>
        <v>南京晓庄学院</v>
      </c>
      <c r="I62" s="10"/>
      <c r="J62" s="31">
        <v>88.5</v>
      </c>
      <c r="K62" s="31"/>
      <c r="L62" s="31">
        <v>78.8</v>
      </c>
      <c r="M62" s="32">
        <v>83.65</v>
      </c>
      <c r="N62" s="10">
        <v>4</v>
      </c>
      <c r="O62" s="33"/>
      <c r="P62" s="34"/>
    </row>
    <row r="63" spans="1:16" ht="15" customHeight="1">
      <c r="A63" s="16">
        <v>61</v>
      </c>
      <c r="B63" s="17" t="str">
        <f>"221307226"</f>
        <v>221307226</v>
      </c>
      <c r="C63" s="8" t="str">
        <f aca="true" t="shared" si="13" ref="C63:C64">"13"</f>
        <v>13</v>
      </c>
      <c r="D63" s="8" t="s">
        <v>43</v>
      </c>
      <c r="E63" s="8" t="str">
        <f>"邹妮辰"</f>
        <v>邹妮辰</v>
      </c>
      <c r="F63" s="8" t="str">
        <f t="shared" si="11"/>
        <v>本科</v>
      </c>
      <c r="G63" s="8" t="str">
        <f>"物理学（师范）"</f>
        <v>物理学（师范）</v>
      </c>
      <c r="H63" s="8" t="str">
        <f>"南京晓庄学院"</f>
        <v>南京晓庄学院</v>
      </c>
      <c r="I63" s="8"/>
      <c r="J63" s="35">
        <v>72</v>
      </c>
      <c r="K63" s="35"/>
      <c r="L63" s="35">
        <v>80</v>
      </c>
      <c r="M63" s="36">
        <v>76</v>
      </c>
      <c r="N63" s="8">
        <v>1</v>
      </c>
      <c r="O63" s="37" t="s">
        <v>39</v>
      </c>
      <c r="P63" s="38" t="s">
        <v>44</v>
      </c>
    </row>
    <row r="64" spans="1:16" ht="15" customHeight="1">
      <c r="A64" s="9">
        <v>62</v>
      </c>
      <c r="B64" s="10" t="str">
        <f>"221307211"</f>
        <v>221307211</v>
      </c>
      <c r="C64" s="10" t="str">
        <f t="shared" si="13"/>
        <v>13</v>
      </c>
      <c r="D64" s="10" t="s">
        <v>43</v>
      </c>
      <c r="E64" s="10" t="str">
        <f>"顾艳冰"</f>
        <v>顾艳冰</v>
      </c>
      <c r="F64" s="10" t="str">
        <f t="shared" si="11"/>
        <v>本科</v>
      </c>
      <c r="G64" s="10" t="str">
        <f>"物理学（师范）"</f>
        <v>物理学（师范）</v>
      </c>
      <c r="H64" s="10" t="str">
        <f>"南京晓庄学院"</f>
        <v>南京晓庄学院</v>
      </c>
      <c r="I64" s="10"/>
      <c r="J64" s="31">
        <v>74</v>
      </c>
      <c r="K64" s="31"/>
      <c r="L64" s="31">
        <v>75.2</v>
      </c>
      <c r="M64" s="32">
        <v>74.6</v>
      </c>
      <c r="N64" s="10">
        <v>2</v>
      </c>
      <c r="O64" s="33"/>
      <c r="P64" s="34"/>
    </row>
    <row r="65" spans="1:16" ht="15" customHeight="1">
      <c r="A65" s="14">
        <v>63</v>
      </c>
      <c r="B65" s="15" t="str">
        <f>"221408326"</f>
        <v>221408326</v>
      </c>
      <c r="C65" s="15" t="str">
        <f>"14"</f>
        <v>14</v>
      </c>
      <c r="D65" s="15" t="s">
        <v>45</v>
      </c>
      <c r="E65" s="15" t="str">
        <f>"周江琼"</f>
        <v>周江琼</v>
      </c>
      <c r="F65" s="15" t="str">
        <f t="shared" si="11"/>
        <v>本科</v>
      </c>
      <c r="G65" s="15" t="str">
        <f>"化学工程与工艺"</f>
        <v>化学工程与工艺</v>
      </c>
      <c r="H65" s="15" t="str">
        <f>"安顺学院"</f>
        <v>安顺学院</v>
      </c>
      <c r="I65" s="15"/>
      <c r="J65" s="51">
        <v>81.5</v>
      </c>
      <c r="K65" s="51"/>
      <c r="L65" s="51">
        <v>78.6</v>
      </c>
      <c r="M65" s="52">
        <v>80.05</v>
      </c>
      <c r="N65" s="15">
        <v>1</v>
      </c>
      <c r="O65" s="33"/>
      <c r="P65" s="42" t="s">
        <v>46</v>
      </c>
    </row>
    <row r="66" spans="1:16" ht="15" customHeight="1">
      <c r="A66" s="11">
        <v>64</v>
      </c>
      <c r="B66" s="8" t="str">
        <f>"221506819"</f>
        <v>221506819</v>
      </c>
      <c r="C66" s="8" t="str">
        <f>"15"</f>
        <v>15</v>
      </c>
      <c r="D66" s="8" t="s">
        <v>47</v>
      </c>
      <c r="E66" s="8" t="str">
        <f>"吴媛媛"</f>
        <v>吴媛媛</v>
      </c>
      <c r="F66" s="8" t="str">
        <f t="shared" si="11"/>
        <v>本科</v>
      </c>
      <c r="G66" s="8" t="str">
        <f>"化学（师范）"</f>
        <v>化学（师范）</v>
      </c>
      <c r="H66" s="8" t="str">
        <f>"南京晓庄学院"</f>
        <v>南京晓庄学院</v>
      </c>
      <c r="I66" s="8" t="str">
        <f>"海门区中南中学"</f>
        <v>海门区中南中学</v>
      </c>
      <c r="J66" s="35">
        <v>79</v>
      </c>
      <c r="K66" s="35"/>
      <c r="L66" s="35">
        <v>85</v>
      </c>
      <c r="M66" s="36">
        <v>82</v>
      </c>
      <c r="N66" s="8">
        <v>1</v>
      </c>
      <c r="O66" s="37"/>
      <c r="P66" s="38" t="s">
        <v>48</v>
      </c>
    </row>
    <row r="67" spans="1:16" ht="15" customHeight="1">
      <c r="A67" s="9">
        <v>65</v>
      </c>
      <c r="B67" s="10" t="str">
        <f>"221506818"</f>
        <v>221506818</v>
      </c>
      <c r="C67" s="10" t="str">
        <f>"15"</f>
        <v>15</v>
      </c>
      <c r="D67" s="10" t="s">
        <v>47</v>
      </c>
      <c r="E67" s="10" t="str">
        <f>"韩墨玉"</f>
        <v>韩墨玉</v>
      </c>
      <c r="F67" s="10" t="str">
        <f t="shared" si="11"/>
        <v>本科</v>
      </c>
      <c r="G67" s="10" t="str">
        <f>"化学（师范）"</f>
        <v>化学（师范）</v>
      </c>
      <c r="H67" s="10" t="str">
        <f>"南通大学"</f>
        <v>南通大学</v>
      </c>
      <c r="I67" s="10"/>
      <c r="J67" s="31">
        <v>72.5</v>
      </c>
      <c r="K67" s="31"/>
      <c r="L67" s="31">
        <v>78.4</v>
      </c>
      <c r="M67" s="32">
        <v>75.45</v>
      </c>
      <c r="N67" s="10">
        <v>2</v>
      </c>
      <c r="O67" s="33"/>
      <c r="P67" s="34"/>
    </row>
    <row r="68" spans="1:16" ht="15" customHeight="1">
      <c r="A68" s="11">
        <v>66</v>
      </c>
      <c r="B68" s="8" t="str">
        <f>"221610704"</f>
        <v>221610704</v>
      </c>
      <c r="C68" s="8" t="str">
        <f>"16"</f>
        <v>16</v>
      </c>
      <c r="D68" s="8" t="s">
        <v>49</v>
      </c>
      <c r="E68" s="8" t="str">
        <f>"张璐"</f>
        <v>张璐</v>
      </c>
      <c r="F68" s="8" t="str">
        <f t="shared" si="11"/>
        <v>本科</v>
      </c>
      <c r="G68" s="8" t="str">
        <f>"生物科学（师范类）"</f>
        <v>生物科学（师范类）</v>
      </c>
      <c r="H68" s="8" t="str">
        <f>"盐城师范学院"</f>
        <v>盐城师范学院</v>
      </c>
      <c r="I68" s="45"/>
      <c r="J68" s="46">
        <v>73</v>
      </c>
      <c r="K68" s="46"/>
      <c r="L68" s="46">
        <v>78.6</v>
      </c>
      <c r="M68" s="36">
        <v>75.8</v>
      </c>
      <c r="N68" s="8">
        <v>1</v>
      </c>
      <c r="O68" s="37"/>
      <c r="P68" s="38" t="s">
        <v>50</v>
      </c>
    </row>
    <row r="69" spans="1:16" ht="15" customHeight="1">
      <c r="A69" s="5">
        <v>67</v>
      </c>
      <c r="B69" s="7" t="str">
        <f>"221610703"</f>
        <v>221610703</v>
      </c>
      <c r="C69" s="8" t="str">
        <f>"16"</f>
        <v>16</v>
      </c>
      <c r="D69" s="8" t="s">
        <v>49</v>
      </c>
      <c r="E69" s="8" t="str">
        <f>"陈俊宇"</f>
        <v>陈俊宇</v>
      </c>
      <c r="F69" s="7" t="str">
        <f t="shared" si="11"/>
        <v>本科</v>
      </c>
      <c r="G69" s="7" t="str">
        <f>"生物科学"</f>
        <v>生物科学</v>
      </c>
      <c r="H69" s="7" t="str">
        <f>"山西大同大学"</f>
        <v>山西大同大学</v>
      </c>
      <c r="I69" s="7" t="str">
        <f>"射阳县高级中学"</f>
        <v>射阳县高级中学</v>
      </c>
      <c r="J69" s="28">
        <v>75</v>
      </c>
      <c r="K69" s="28"/>
      <c r="L69" s="28">
        <v>76</v>
      </c>
      <c r="M69" s="25">
        <v>75.5</v>
      </c>
      <c r="N69" s="7">
        <v>2</v>
      </c>
      <c r="O69" s="29"/>
      <c r="P69" s="30"/>
    </row>
    <row r="70" spans="1:16" ht="15" customHeight="1">
      <c r="A70" s="9">
        <v>68</v>
      </c>
      <c r="B70" s="10" t="str">
        <f>"221610601"</f>
        <v>221610601</v>
      </c>
      <c r="C70" s="10" t="str">
        <f>"16"</f>
        <v>16</v>
      </c>
      <c r="D70" s="10" t="s">
        <v>49</v>
      </c>
      <c r="E70" s="10" t="str">
        <f>"叶梦玲"</f>
        <v>叶梦玲</v>
      </c>
      <c r="F70" s="10" t="str">
        <f t="shared" si="11"/>
        <v>本科</v>
      </c>
      <c r="G70" s="10" t="str">
        <f>"生物工程"</f>
        <v>生物工程</v>
      </c>
      <c r="H70" s="10" t="str">
        <f>"合肥学院"</f>
        <v>合肥学院</v>
      </c>
      <c r="I70" s="10" t="str">
        <f>"凤阳县官塘中学"</f>
        <v>凤阳县官塘中学</v>
      </c>
      <c r="J70" s="31">
        <v>78</v>
      </c>
      <c r="K70" s="31"/>
      <c r="L70" s="31">
        <v>70.4</v>
      </c>
      <c r="M70" s="32">
        <v>74.2</v>
      </c>
      <c r="N70" s="10">
        <v>3</v>
      </c>
      <c r="O70" s="33"/>
      <c r="P70" s="34"/>
    </row>
    <row r="71" spans="1:16" ht="15" customHeight="1">
      <c r="A71" s="11">
        <v>69</v>
      </c>
      <c r="B71" s="8" t="str">
        <f>"221710805"</f>
        <v>221710805</v>
      </c>
      <c r="C71" s="49" t="str">
        <f aca="true" t="shared" si="14" ref="C71:C74">"17"</f>
        <v>17</v>
      </c>
      <c r="D71" s="49" t="s">
        <v>51</v>
      </c>
      <c r="E71" s="49" t="str">
        <f>"张楚涵"</f>
        <v>张楚涵</v>
      </c>
      <c r="F71" s="8" t="str">
        <f t="shared" si="11"/>
        <v>本科</v>
      </c>
      <c r="G71" s="8" t="str">
        <f>"生物科学（师范）"</f>
        <v>生物科学（师范）</v>
      </c>
      <c r="H71" s="8" t="str">
        <f>"南通大学"</f>
        <v>南通大学</v>
      </c>
      <c r="I71" s="8"/>
      <c r="J71" s="35">
        <v>71</v>
      </c>
      <c r="K71" s="35"/>
      <c r="L71" s="35">
        <v>83.8</v>
      </c>
      <c r="M71" s="36">
        <v>77.4</v>
      </c>
      <c r="N71" s="8">
        <v>1</v>
      </c>
      <c r="O71" s="37" t="s">
        <v>52</v>
      </c>
      <c r="P71" s="38" t="s">
        <v>53</v>
      </c>
    </row>
    <row r="72" spans="1:16" ht="15" customHeight="1">
      <c r="A72" s="5">
        <v>70</v>
      </c>
      <c r="B72" s="7" t="str">
        <f>"221710819"</f>
        <v>221710819</v>
      </c>
      <c r="C72" s="7" t="str">
        <f t="shared" si="14"/>
        <v>17</v>
      </c>
      <c r="D72" s="7" t="s">
        <v>51</v>
      </c>
      <c r="E72" s="7" t="str">
        <f>"张明珠"</f>
        <v>张明珠</v>
      </c>
      <c r="F72" s="7" t="str">
        <f t="shared" si="11"/>
        <v>本科</v>
      </c>
      <c r="G72" s="7" t="str">
        <f>"生物工程"</f>
        <v>生物工程</v>
      </c>
      <c r="H72" s="7" t="str">
        <f>"淮南师范学院"</f>
        <v>淮南师范学院</v>
      </c>
      <c r="I72" s="23" t="str">
        <f>"安徽省蚌埠市怀远县小街学校"</f>
        <v>安徽省蚌埠市怀远县小街学校</v>
      </c>
      <c r="J72" s="24">
        <v>76</v>
      </c>
      <c r="K72" s="24"/>
      <c r="L72" s="24">
        <v>75.4</v>
      </c>
      <c r="M72" s="25">
        <v>75.7</v>
      </c>
      <c r="N72" s="7">
        <v>2</v>
      </c>
      <c r="O72" s="29"/>
      <c r="P72" s="30"/>
    </row>
    <row r="73" spans="1:16" ht="15" customHeight="1">
      <c r="A73" s="5">
        <v>71</v>
      </c>
      <c r="B73" s="7" t="str">
        <f>"221710804"</f>
        <v>221710804</v>
      </c>
      <c r="C73" s="49" t="str">
        <f t="shared" si="14"/>
        <v>17</v>
      </c>
      <c r="D73" s="49" t="s">
        <v>51</v>
      </c>
      <c r="E73" s="49" t="str">
        <f>"耿益香"</f>
        <v>耿益香</v>
      </c>
      <c r="F73" s="7" t="str">
        <f t="shared" si="11"/>
        <v>本科</v>
      </c>
      <c r="G73" s="7" t="str">
        <f>"生物技术"</f>
        <v>生物技术</v>
      </c>
      <c r="H73" s="7" t="str">
        <f>"南通大学"</f>
        <v>南通大学</v>
      </c>
      <c r="I73" s="7" t="str">
        <f>"丹阳界牌中心小学"</f>
        <v>丹阳界牌中心小学</v>
      </c>
      <c r="J73" s="28">
        <v>79</v>
      </c>
      <c r="K73" s="28"/>
      <c r="L73" s="28">
        <v>71.6</v>
      </c>
      <c r="M73" s="25">
        <v>75.3</v>
      </c>
      <c r="N73" s="7">
        <v>3</v>
      </c>
      <c r="O73" s="29"/>
      <c r="P73" s="30"/>
    </row>
    <row r="74" spans="1:16" ht="15" customHeight="1">
      <c r="A74" s="9">
        <v>72</v>
      </c>
      <c r="B74" s="10" t="str">
        <f>"221711003"</f>
        <v>221711003</v>
      </c>
      <c r="C74" s="10" t="str">
        <f t="shared" si="14"/>
        <v>17</v>
      </c>
      <c r="D74" s="10" t="s">
        <v>51</v>
      </c>
      <c r="E74" s="10" t="str">
        <f>"张宇曦"</f>
        <v>张宇曦</v>
      </c>
      <c r="F74" s="10" t="str">
        <f t="shared" si="11"/>
        <v>本科</v>
      </c>
      <c r="G74" s="10" t="str">
        <f>"生物科学（师范类）"</f>
        <v>生物科学（师范类）</v>
      </c>
      <c r="H74" s="10" t="str">
        <f>"盐城师范学院"</f>
        <v>盐城师范学院</v>
      </c>
      <c r="I74" s="53"/>
      <c r="J74" s="54">
        <v>77</v>
      </c>
      <c r="K74" s="54"/>
      <c r="L74" s="54">
        <v>71.4</v>
      </c>
      <c r="M74" s="32">
        <v>74.2</v>
      </c>
      <c r="N74" s="10">
        <v>4</v>
      </c>
      <c r="O74" s="33"/>
      <c r="P74" s="34"/>
    </row>
    <row r="75" spans="1:16" ht="15" customHeight="1">
      <c r="A75" s="14">
        <v>73</v>
      </c>
      <c r="B75" s="50" t="str">
        <f>"221807310"</f>
        <v>221807310</v>
      </c>
      <c r="C75" s="50" t="str">
        <f>"18"</f>
        <v>18</v>
      </c>
      <c r="D75" s="50" t="s">
        <v>54</v>
      </c>
      <c r="E75" s="50" t="str">
        <f>"杨潇婵"</f>
        <v>杨潇婵</v>
      </c>
      <c r="F75" s="50" t="str">
        <f t="shared" si="11"/>
        <v>本科</v>
      </c>
      <c r="G75" s="50" t="str">
        <f>"思想政治教育"</f>
        <v>思想政治教育</v>
      </c>
      <c r="H75" s="50" t="str">
        <f>"玉林师范学院"</f>
        <v>玉林师范学院</v>
      </c>
      <c r="I75" s="50"/>
      <c r="J75" s="55">
        <v>67</v>
      </c>
      <c r="K75" s="55"/>
      <c r="L75" s="55">
        <v>81.24</v>
      </c>
      <c r="M75" s="52">
        <v>74.12</v>
      </c>
      <c r="N75" s="15">
        <v>1</v>
      </c>
      <c r="O75" s="56"/>
      <c r="P75" s="57" t="s">
        <v>55</v>
      </c>
    </row>
    <row r="76" spans="1:16" ht="15" customHeight="1">
      <c r="A76" s="11">
        <v>74</v>
      </c>
      <c r="B76" s="8" t="str">
        <f>"221910509"</f>
        <v>221910509</v>
      </c>
      <c r="C76" s="49" t="str">
        <f aca="true" t="shared" si="15" ref="C76:C79">"19"</f>
        <v>19</v>
      </c>
      <c r="D76" s="49" t="s">
        <v>56</v>
      </c>
      <c r="E76" s="49" t="str">
        <f>"冯玉婧"</f>
        <v>冯玉婧</v>
      </c>
      <c r="F76" s="8" t="str">
        <f t="shared" si="11"/>
        <v>本科</v>
      </c>
      <c r="G76" s="8" t="str">
        <f>"思想政治教育（师范）"</f>
        <v>思想政治教育（师范）</v>
      </c>
      <c r="H76" s="8" t="str">
        <f>"淮阴师范学院"</f>
        <v>淮阴师范学院</v>
      </c>
      <c r="I76" s="8"/>
      <c r="J76" s="35">
        <v>85</v>
      </c>
      <c r="K76" s="35"/>
      <c r="L76" s="35">
        <v>87.64</v>
      </c>
      <c r="M76" s="36">
        <v>86.32</v>
      </c>
      <c r="N76" s="8">
        <v>1</v>
      </c>
      <c r="O76" s="37"/>
      <c r="P76" s="38" t="s">
        <v>57</v>
      </c>
    </row>
    <row r="77" spans="1:16" ht="15" customHeight="1">
      <c r="A77" s="5">
        <v>75</v>
      </c>
      <c r="B77" s="7" t="str">
        <f>"221910503"</f>
        <v>221910503</v>
      </c>
      <c r="C77" s="7" t="str">
        <f t="shared" si="15"/>
        <v>19</v>
      </c>
      <c r="D77" s="7" t="s">
        <v>56</v>
      </c>
      <c r="E77" s="7" t="str">
        <f>"侯文文"</f>
        <v>侯文文</v>
      </c>
      <c r="F77" s="7" t="str">
        <f t="shared" si="11"/>
        <v>本科</v>
      </c>
      <c r="G77" s="7" t="str">
        <f>"思想政治教育"</f>
        <v>思想政治教育</v>
      </c>
      <c r="H77" s="7" t="str">
        <f>"盐城师范学院"</f>
        <v>盐城师范学院</v>
      </c>
      <c r="I77" s="23" t="str">
        <f>"阜宁明达初级中学"</f>
        <v>阜宁明达初级中学</v>
      </c>
      <c r="J77" s="24">
        <v>84</v>
      </c>
      <c r="K77" s="24"/>
      <c r="L77" s="24">
        <v>85.04</v>
      </c>
      <c r="M77" s="25">
        <v>84.52</v>
      </c>
      <c r="N77" s="7">
        <v>2</v>
      </c>
      <c r="O77" s="29"/>
      <c r="P77" s="38"/>
    </row>
    <row r="78" spans="1:16" ht="15" customHeight="1">
      <c r="A78" s="5">
        <v>76</v>
      </c>
      <c r="B78" s="7" t="str">
        <f>"221910508"</f>
        <v>221910508</v>
      </c>
      <c r="C78" s="8" t="str">
        <f t="shared" si="15"/>
        <v>19</v>
      </c>
      <c r="D78" s="8" t="s">
        <v>56</v>
      </c>
      <c r="E78" s="8" t="str">
        <f>"丁星宇"</f>
        <v>丁星宇</v>
      </c>
      <c r="F78" s="7" t="str">
        <f t="shared" si="11"/>
        <v>本科</v>
      </c>
      <c r="G78" s="7" t="str">
        <f>"哲学"</f>
        <v>哲学</v>
      </c>
      <c r="H78" s="7" t="str">
        <f>"扬州大学"</f>
        <v>扬州大学</v>
      </c>
      <c r="I78" s="7"/>
      <c r="J78" s="28">
        <v>78</v>
      </c>
      <c r="K78" s="28"/>
      <c r="L78" s="28">
        <v>82.06</v>
      </c>
      <c r="M78" s="25">
        <v>80.03</v>
      </c>
      <c r="N78" s="7">
        <v>3</v>
      </c>
      <c r="O78" s="29"/>
      <c r="P78" s="38"/>
    </row>
    <row r="79" spans="1:16" ht="15" customHeight="1">
      <c r="A79" s="9">
        <v>77</v>
      </c>
      <c r="B79" s="10" t="str">
        <f>"221910504"</f>
        <v>221910504</v>
      </c>
      <c r="C79" s="10" t="str">
        <f t="shared" si="15"/>
        <v>19</v>
      </c>
      <c r="D79" s="10" t="s">
        <v>56</v>
      </c>
      <c r="E79" s="10" t="str">
        <f>"谢莹莹"</f>
        <v>谢莹莹</v>
      </c>
      <c r="F79" s="10" t="str">
        <f t="shared" si="11"/>
        <v>本科</v>
      </c>
      <c r="G79" s="10" t="str">
        <f>"思想政治教育"</f>
        <v>思想政治教育</v>
      </c>
      <c r="H79" s="10" t="str">
        <f>"盐城师范学院"</f>
        <v>盐城师范学院</v>
      </c>
      <c r="I79" s="10" t="str">
        <f>"阜宁明达初级中学"</f>
        <v>阜宁明达初级中学</v>
      </c>
      <c r="J79" s="31">
        <v>74</v>
      </c>
      <c r="K79" s="31"/>
      <c r="L79" s="31">
        <v>84.02</v>
      </c>
      <c r="M79" s="32">
        <v>79.01</v>
      </c>
      <c r="N79" s="10">
        <v>4</v>
      </c>
      <c r="O79" s="33"/>
      <c r="P79" s="42"/>
    </row>
    <row r="80" spans="1:16" ht="15" customHeight="1">
      <c r="A80" s="14">
        <v>78</v>
      </c>
      <c r="B80" s="15" t="str">
        <f>"222008812"</f>
        <v>222008812</v>
      </c>
      <c r="C80" s="15" t="str">
        <f>"20"</f>
        <v>20</v>
      </c>
      <c r="D80" s="15" t="s">
        <v>58</v>
      </c>
      <c r="E80" s="15" t="str">
        <f>"赵朗清"</f>
        <v>赵朗清</v>
      </c>
      <c r="F80" s="15" t="str">
        <f t="shared" si="11"/>
        <v>本科</v>
      </c>
      <c r="G80" s="15" t="str">
        <f>"历史学"</f>
        <v>历史学</v>
      </c>
      <c r="H80" s="15" t="str">
        <f>"湖北师范大学"</f>
        <v>湖北师范大学</v>
      </c>
      <c r="I80" s="15"/>
      <c r="J80" s="51">
        <v>77</v>
      </c>
      <c r="K80" s="51"/>
      <c r="L80" s="51">
        <v>85.82</v>
      </c>
      <c r="M80" s="52">
        <v>81.41</v>
      </c>
      <c r="N80" s="15">
        <v>1</v>
      </c>
      <c r="O80" s="33"/>
      <c r="P80" s="42" t="s">
        <v>59</v>
      </c>
    </row>
    <row r="81" spans="1:16" ht="15" customHeight="1">
      <c r="A81" s="11">
        <v>79</v>
      </c>
      <c r="B81" s="8" t="str">
        <f>"222108903"</f>
        <v>222108903</v>
      </c>
      <c r="C81" s="8" t="str">
        <f>"21"</f>
        <v>21</v>
      </c>
      <c r="D81" s="8" t="s">
        <v>60</v>
      </c>
      <c r="E81" s="8" t="str">
        <f>"巫妍"</f>
        <v>巫妍</v>
      </c>
      <c r="F81" s="8" t="str">
        <f t="shared" si="11"/>
        <v>本科</v>
      </c>
      <c r="G81" s="8" t="str">
        <f>"地理科学（师范）"</f>
        <v>地理科学（师范）</v>
      </c>
      <c r="H81" s="8" t="str">
        <f>"南京晓庄学院"</f>
        <v>南京晓庄学院</v>
      </c>
      <c r="I81" s="8"/>
      <c r="J81" s="35">
        <v>76.5</v>
      </c>
      <c r="K81" s="35"/>
      <c r="L81" s="35">
        <v>81.4</v>
      </c>
      <c r="M81" s="36">
        <v>78.95</v>
      </c>
      <c r="N81" s="8">
        <v>1</v>
      </c>
      <c r="O81" s="37"/>
      <c r="P81" s="38" t="s">
        <v>61</v>
      </c>
    </row>
    <row r="82" spans="1:16" ht="15" customHeight="1">
      <c r="A82" s="9">
        <v>80</v>
      </c>
      <c r="B82" s="10" t="str">
        <f>"222108907"</f>
        <v>222108907</v>
      </c>
      <c r="C82" s="10" t="str">
        <f>"21"</f>
        <v>21</v>
      </c>
      <c r="D82" s="10" t="s">
        <v>60</v>
      </c>
      <c r="E82" s="10" t="str">
        <f>"周聪慧"</f>
        <v>周聪慧</v>
      </c>
      <c r="F82" s="10" t="str">
        <f t="shared" si="11"/>
        <v>本科</v>
      </c>
      <c r="G82" s="10" t="str">
        <f>"地理信息科学"</f>
        <v>地理信息科学</v>
      </c>
      <c r="H82" s="10" t="str">
        <f>"苏州科技大学"</f>
        <v>苏州科技大学</v>
      </c>
      <c r="I82" s="10"/>
      <c r="J82" s="31">
        <v>74</v>
      </c>
      <c r="K82" s="31"/>
      <c r="L82" s="31">
        <v>72.2</v>
      </c>
      <c r="M82" s="32">
        <v>73.1</v>
      </c>
      <c r="N82" s="10">
        <v>2</v>
      </c>
      <c r="O82" s="33"/>
      <c r="P82" s="42"/>
    </row>
    <row r="83" spans="1:16" ht="15" customHeight="1">
      <c r="A83" s="11">
        <v>81</v>
      </c>
      <c r="B83" s="8" t="str">
        <f>"222210020"</f>
        <v>222210020</v>
      </c>
      <c r="C83" s="8" t="str">
        <f aca="true" t="shared" si="16" ref="C83:C87">"22"</f>
        <v>22</v>
      </c>
      <c r="D83" s="8" t="s">
        <v>62</v>
      </c>
      <c r="E83" s="8" t="str">
        <f>"李梓彦"</f>
        <v>李梓彦</v>
      </c>
      <c r="F83" s="8" t="str">
        <f t="shared" si="11"/>
        <v>本科</v>
      </c>
      <c r="G83" s="8" t="str">
        <f>"地理科学（师范）"</f>
        <v>地理科学（师范）</v>
      </c>
      <c r="H83" s="8" t="str">
        <f>"江苏师范大学"</f>
        <v>江苏师范大学</v>
      </c>
      <c r="I83" s="8"/>
      <c r="J83" s="35">
        <v>93</v>
      </c>
      <c r="K83" s="35"/>
      <c r="L83" s="35">
        <v>78.3</v>
      </c>
      <c r="M83" s="36">
        <v>85.65</v>
      </c>
      <c r="N83" s="8">
        <v>1</v>
      </c>
      <c r="O83" s="37"/>
      <c r="P83" s="38" t="s">
        <v>63</v>
      </c>
    </row>
    <row r="84" spans="1:16" ht="15" customHeight="1">
      <c r="A84" s="5">
        <v>82</v>
      </c>
      <c r="B84" s="7" t="str">
        <f>"222210022"</f>
        <v>222210022</v>
      </c>
      <c r="C84" s="7" t="str">
        <f t="shared" si="16"/>
        <v>22</v>
      </c>
      <c r="D84" s="7" t="s">
        <v>62</v>
      </c>
      <c r="E84" s="7" t="str">
        <f>"杨雨蓉"</f>
        <v>杨雨蓉</v>
      </c>
      <c r="F84" s="7" t="str">
        <f t="shared" si="11"/>
        <v>本科</v>
      </c>
      <c r="G84" s="7" t="str">
        <f>"人文地理与城乡规划"</f>
        <v>人文地理与城乡规划</v>
      </c>
      <c r="H84" s="7" t="str">
        <f>"南京信息工程大学"</f>
        <v>南京信息工程大学</v>
      </c>
      <c r="I84" s="7"/>
      <c r="J84" s="28">
        <v>86</v>
      </c>
      <c r="K84" s="28"/>
      <c r="L84" s="28">
        <v>78.4</v>
      </c>
      <c r="M84" s="25">
        <v>82.2</v>
      </c>
      <c r="N84" s="7">
        <v>2</v>
      </c>
      <c r="O84" s="29"/>
      <c r="P84" s="30"/>
    </row>
    <row r="85" spans="1:16" ht="15" customHeight="1">
      <c r="A85" s="5">
        <v>83</v>
      </c>
      <c r="B85" s="7" t="str">
        <f>"222210028"</f>
        <v>222210028</v>
      </c>
      <c r="C85" s="7" t="str">
        <f t="shared" si="16"/>
        <v>22</v>
      </c>
      <c r="D85" s="7" t="s">
        <v>62</v>
      </c>
      <c r="E85" s="7" t="str">
        <f>"孙盈盈"</f>
        <v>孙盈盈</v>
      </c>
      <c r="F85" s="7" t="str">
        <f t="shared" si="11"/>
        <v>本科</v>
      </c>
      <c r="G85" s="7" t="str">
        <f>"地理科学（师范）"</f>
        <v>地理科学（师范）</v>
      </c>
      <c r="H85" s="7" t="str">
        <f>"盐城师范学院"</f>
        <v>盐城师范学院</v>
      </c>
      <c r="I85" s="7"/>
      <c r="J85" s="28">
        <v>79</v>
      </c>
      <c r="K85" s="28"/>
      <c r="L85" s="28">
        <v>83</v>
      </c>
      <c r="M85" s="25">
        <v>81</v>
      </c>
      <c r="N85" s="7">
        <v>3</v>
      </c>
      <c r="O85" s="29"/>
      <c r="P85" s="30"/>
    </row>
    <row r="86" spans="1:16" ht="15" customHeight="1">
      <c r="A86" s="5">
        <v>84</v>
      </c>
      <c r="B86" s="7" t="str">
        <f>"222210025"</f>
        <v>222210025</v>
      </c>
      <c r="C86" s="12" t="str">
        <f t="shared" si="16"/>
        <v>22</v>
      </c>
      <c r="D86" s="12" t="s">
        <v>62</v>
      </c>
      <c r="E86" s="12" t="str">
        <f>"陈邓宇"</f>
        <v>陈邓宇</v>
      </c>
      <c r="F86" s="7" t="str">
        <f t="shared" si="11"/>
        <v>本科</v>
      </c>
      <c r="G86" s="7" t="str">
        <f>"地理信息科学"</f>
        <v>地理信息科学</v>
      </c>
      <c r="H86" s="7" t="str">
        <f>"衡阳师范学院"</f>
        <v>衡阳师范学院</v>
      </c>
      <c r="I86" s="7"/>
      <c r="J86" s="28">
        <v>78</v>
      </c>
      <c r="K86" s="28"/>
      <c r="L86" s="28">
        <v>83</v>
      </c>
      <c r="M86" s="25">
        <v>80.5</v>
      </c>
      <c r="N86" s="7">
        <v>4</v>
      </c>
      <c r="O86" s="29"/>
      <c r="P86" s="30"/>
    </row>
    <row r="87" spans="1:16" ht="15" customHeight="1">
      <c r="A87" s="9">
        <v>85</v>
      </c>
      <c r="B87" s="10" t="str">
        <f>"222210018"</f>
        <v>222210018</v>
      </c>
      <c r="C87" s="10" t="str">
        <f t="shared" si="16"/>
        <v>22</v>
      </c>
      <c r="D87" s="10" t="s">
        <v>62</v>
      </c>
      <c r="E87" s="10" t="str">
        <f>"奚慧"</f>
        <v>奚慧</v>
      </c>
      <c r="F87" s="10" t="str">
        <f t="shared" si="11"/>
        <v>本科</v>
      </c>
      <c r="G87" s="10" t="str">
        <f>"地理信息科学"</f>
        <v>地理信息科学</v>
      </c>
      <c r="H87" s="10" t="str">
        <f>"南京晓庄学院"</f>
        <v>南京晓庄学院</v>
      </c>
      <c r="I87" s="53"/>
      <c r="J87" s="54">
        <v>84</v>
      </c>
      <c r="K87" s="54"/>
      <c r="L87" s="54">
        <v>76.8</v>
      </c>
      <c r="M87" s="32">
        <v>80.4</v>
      </c>
      <c r="N87" s="10">
        <v>5</v>
      </c>
      <c r="O87" s="33"/>
      <c r="P87" s="34"/>
    </row>
    <row r="88" spans="1:16" ht="15" customHeight="1">
      <c r="A88" s="14">
        <v>86</v>
      </c>
      <c r="B88" s="15" t="str">
        <f>"222307724"</f>
        <v>222307724</v>
      </c>
      <c r="C88" s="15" t="str">
        <f>"23"</f>
        <v>23</v>
      </c>
      <c r="D88" s="15" t="s">
        <v>64</v>
      </c>
      <c r="E88" s="15" t="str">
        <f>"周颖"</f>
        <v>周颖</v>
      </c>
      <c r="F88" s="15" t="str">
        <f t="shared" si="11"/>
        <v>本科</v>
      </c>
      <c r="G88" s="15" t="str">
        <f>"应用心理学"</f>
        <v>应用心理学</v>
      </c>
      <c r="H88" s="15" t="str">
        <f>"盐城师范学院"</f>
        <v>盐城师范学院</v>
      </c>
      <c r="I88" s="15"/>
      <c r="J88" s="51">
        <v>63</v>
      </c>
      <c r="K88" s="51"/>
      <c r="L88" s="51">
        <v>72.8</v>
      </c>
      <c r="M88" s="52">
        <v>67.9</v>
      </c>
      <c r="N88" s="13">
        <v>1</v>
      </c>
      <c r="O88" s="33"/>
      <c r="P88" s="42" t="s">
        <v>65</v>
      </c>
    </row>
    <row r="89" spans="1:16" ht="15" customHeight="1">
      <c r="A89" s="11">
        <v>87</v>
      </c>
      <c r="B89" s="8" t="str">
        <f>"222407316"</f>
        <v>222407316</v>
      </c>
      <c r="C89" s="8" t="str">
        <f aca="true" t="shared" si="17" ref="C89:C92">"24"</f>
        <v>24</v>
      </c>
      <c r="D89" s="8" t="s">
        <v>66</v>
      </c>
      <c r="E89" s="8" t="str">
        <f>"杨婕妤"</f>
        <v>杨婕妤</v>
      </c>
      <c r="F89" s="8" t="str">
        <f>"硕士研究生"</f>
        <v>硕士研究生</v>
      </c>
      <c r="G89" s="8" t="str">
        <f>"应用心理"</f>
        <v>应用心理</v>
      </c>
      <c r="H89" s="8" t="str">
        <f>"北京师范大学"</f>
        <v>北京师范大学</v>
      </c>
      <c r="I89" s="8" t="str">
        <f>"海门中南中学"</f>
        <v>海门中南中学</v>
      </c>
      <c r="J89" s="35">
        <v>74</v>
      </c>
      <c r="K89" s="35"/>
      <c r="L89" s="35">
        <v>85.1</v>
      </c>
      <c r="M89" s="36">
        <v>79.55</v>
      </c>
      <c r="N89" s="8">
        <v>1</v>
      </c>
      <c r="O89" s="37"/>
      <c r="P89" s="38" t="s">
        <v>67</v>
      </c>
    </row>
    <row r="90" spans="1:16" ht="15" customHeight="1">
      <c r="A90" s="5">
        <v>88</v>
      </c>
      <c r="B90" s="7" t="str">
        <f>"222407327"</f>
        <v>222407327</v>
      </c>
      <c r="C90" s="7" t="str">
        <f t="shared" si="17"/>
        <v>24</v>
      </c>
      <c r="D90" s="7" t="s">
        <v>66</v>
      </c>
      <c r="E90" s="7" t="str">
        <f>"杨辉君"</f>
        <v>杨辉君</v>
      </c>
      <c r="F90" s="7" t="str">
        <f>"本科"</f>
        <v>本科</v>
      </c>
      <c r="G90" s="7" t="str">
        <f>"应用心理学"</f>
        <v>应用心理学</v>
      </c>
      <c r="H90" s="7" t="str">
        <f>"吉林医药学院"</f>
        <v>吉林医药学院</v>
      </c>
      <c r="I90" s="7" t="str">
        <f>"如城小学"</f>
        <v>如城小学</v>
      </c>
      <c r="J90" s="28">
        <v>70</v>
      </c>
      <c r="K90" s="28"/>
      <c r="L90" s="28">
        <v>80.8</v>
      </c>
      <c r="M90" s="25">
        <v>75.4</v>
      </c>
      <c r="N90" s="7">
        <v>2</v>
      </c>
      <c r="O90" s="29"/>
      <c r="P90" s="30"/>
    </row>
    <row r="91" spans="1:16" ht="15" customHeight="1">
      <c r="A91" s="5">
        <v>89</v>
      </c>
      <c r="B91" s="7" t="str">
        <f>"222407315"</f>
        <v>222407315</v>
      </c>
      <c r="C91" s="7" t="str">
        <f t="shared" si="17"/>
        <v>24</v>
      </c>
      <c r="D91" s="7" t="s">
        <v>66</v>
      </c>
      <c r="E91" s="7" t="str">
        <f>"季梦"</f>
        <v>季梦</v>
      </c>
      <c r="F91" s="7" t="str">
        <f>"硕士研究生"</f>
        <v>硕士研究生</v>
      </c>
      <c r="G91" s="7" t="str">
        <f>"心理学"</f>
        <v>心理学</v>
      </c>
      <c r="H91" s="7" t="str">
        <f>"浙江师范大学"</f>
        <v>浙江师范大学</v>
      </c>
      <c r="I91" s="7"/>
      <c r="J91" s="28">
        <v>73</v>
      </c>
      <c r="K91" s="28"/>
      <c r="L91" s="28">
        <v>77.64</v>
      </c>
      <c r="M91" s="25">
        <v>75.32</v>
      </c>
      <c r="N91" s="7">
        <v>3</v>
      </c>
      <c r="O91" s="29"/>
      <c r="P91" s="30"/>
    </row>
    <row r="92" spans="1:16" ht="15" customHeight="1">
      <c r="A92" s="9">
        <v>90</v>
      </c>
      <c r="B92" s="10" t="str">
        <f>"222407329"</f>
        <v>222407329</v>
      </c>
      <c r="C92" s="10" t="str">
        <f t="shared" si="17"/>
        <v>24</v>
      </c>
      <c r="D92" s="10" t="s">
        <v>66</v>
      </c>
      <c r="E92" s="10" t="str">
        <f>"王月"</f>
        <v>王月</v>
      </c>
      <c r="F92" s="10" t="str">
        <f>"本科"</f>
        <v>本科</v>
      </c>
      <c r="G92" s="10" t="str">
        <f>"应用心理学"</f>
        <v>应用心理学</v>
      </c>
      <c r="H92" s="10" t="str">
        <f>"南阳师范学院"</f>
        <v>南阳师范学院</v>
      </c>
      <c r="I92" s="10"/>
      <c r="J92" s="31">
        <v>69</v>
      </c>
      <c r="K92" s="31"/>
      <c r="L92" s="31">
        <v>80.9</v>
      </c>
      <c r="M92" s="32">
        <v>74.95</v>
      </c>
      <c r="N92" s="10">
        <v>4</v>
      </c>
      <c r="O92" s="33"/>
      <c r="P92" s="34"/>
    </row>
    <row r="93" spans="1:16" ht="15" customHeight="1">
      <c r="A93" s="11">
        <v>91</v>
      </c>
      <c r="B93" s="8" t="str">
        <f>"222507609"</f>
        <v>222507609</v>
      </c>
      <c r="C93" s="8" t="str">
        <f aca="true" t="shared" si="18" ref="C93:C102">"25"</f>
        <v>25</v>
      </c>
      <c r="D93" s="8" t="s">
        <v>68</v>
      </c>
      <c r="E93" s="8" t="str">
        <f>"周莹"</f>
        <v>周莹</v>
      </c>
      <c r="F93" s="8" t="str">
        <f aca="true" t="shared" si="19" ref="F93:F94">"本科"</f>
        <v>本科</v>
      </c>
      <c r="G93" s="8" t="str">
        <f>"应用心理学"</f>
        <v>应用心理学</v>
      </c>
      <c r="H93" s="8" t="str">
        <f>"苏州科技学院"</f>
        <v>苏州科技学院</v>
      </c>
      <c r="I93" s="8" t="str">
        <f>"南通高新区金缘幼儿园"</f>
        <v>南通高新区金缘幼儿园</v>
      </c>
      <c r="J93" s="35">
        <v>75</v>
      </c>
      <c r="K93" s="35"/>
      <c r="L93" s="35">
        <v>85.4</v>
      </c>
      <c r="M93" s="36">
        <v>80.2</v>
      </c>
      <c r="N93" s="8">
        <v>2</v>
      </c>
      <c r="O93" s="37" t="s">
        <v>22</v>
      </c>
      <c r="P93" s="38" t="s">
        <v>69</v>
      </c>
    </row>
    <row r="94" spans="1:16" ht="15" customHeight="1">
      <c r="A94" s="5">
        <v>92</v>
      </c>
      <c r="B94" s="7" t="str">
        <f>"222507602"</f>
        <v>222507602</v>
      </c>
      <c r="C94" s="7" t="str">
        <f t="shared" si="18"/>
        <v>25</v>
      </c>
      <c r="D94" s="7" t="s">
        <v>68</v>
      </c>
      <c r="E94" s="7" t="str">
        <f>"宋冬侠"</f>
        <v>宋冬侠</v>
      </c>
      <c r="F94" s="7" t="str">
        <f t="shared" si="19"/>
        <v>本科</v>
      </c>
      <c r="G94" s="7" t="str">
        <f>"教育学（学校心理教育）"</f>
        <v>教育学（学校心理教育）</v>
      </c>
      <c r="H94" s="7" t="str">
        <f>"徐州师范大学"</f>
        <v>徐州师范大学</v>
      </c>
      <c r="I94" s="7"/>
      <c r="J94" s="28">
        <v>77</v>
      </c>
      <c r="K94" s="28"/>
      <c r="L94" s="28">
        <v>77.2</v>
      </c>
      <c r="M94" s="25">
        <v>77.1</v>
      </c>
      <c r="N94" s="7">
        <v>3</v>
      </c>
      <c r="O94" s="29"/>
      <c r="P94" s="30"/>
    </row>
    <row r="95" spans="1:16" ht="15" customHeight="1">
      <c r="A95" s="5">
        <v>93</v>
      </c>
      <c r="B95" s="7" t="str">
        <f>"222507612"</f>
        <v>222507612</v>
      </c>
      <c r="C95" s="7" t="str">
        <f t="shared" si="18"/>
        <v>25</v>
      </c>
      <c r="D95" s="7" t="s">
        <v>68</v>
      </c>
      <c r="E95" s="7" t="str">
        <f>"舒娇"</f>
        <v>舒娇</v>
      </c>
      <c r="F95" s="7" t="str">
        <f>"硕士研究生"</f>
        <v>硕士研究生</v>
      </c>
      <c r="G95" s="7" t="str">
        <f>"发展与教育心理学"</f>
        <v>发展与教育心理学</v>
      </c>
      <c r="H95" s="7" t="str">
        <f>"重庆师范大学"</f>
        <v>重庆师范大学</v>
      </c>
      <c r="I95" s="7" t="str">
        <f>"盐城枫叶双语学校"</f>
        <v>盐城枫叶双语学校</v>
      </c>
      <c r="J95" s="28">
        <v>77</v>
      </c>
      <c r="K95" s="28"/>
      <c r="L95" s="28">
        <v>77.2</v>
      </c>
      <c r="M95" s="25">
        <v>77.1</v>
      </c>
      <c r="N95" s="7">
        <v>3</v>
      </c>
      <c r="O95" s="29"/>
      <c r="P95" s="30"/>
    </row>
    <row r="96" spans="1:16" ht="15" customHeight="1">
      <c r="A96" s="5">
        <v>94</v>
      </c>
      <c r="B96" s="7" t="str">
        <f>"222507607"</f>
        <v>222507607</v>
      </c>
      <c r="C96" s="7" t="str">
        <f t="shared" si="18"/>
        <v>25</v>
      </c>
      <c r="D96" s="7" t="s">
        <v>68</v>
      </c>
      <c r="E96" s="7" t="str">
        <f>"万敏"</f>
        <v>万敏</v>
      </c>
      <c r="F96" s="7" t="str">
        <f>"本科"</f>
        <v>本科</v>
      </c>
      <c r="G96" s="7" t="str">
        <f>"应用心理学"</f>
        <v>应用心理学</v>
      </c>
      <c r="H96" s="7" t="str">
        <f>"天津体育学院"</f>
        <v>天津体育学院</v>
      </c>
      <c r="I96" s="7"/>
      <c r="J96" s="28">
        <v>72</v>
      </c>
      <c r="K96" s="28"/>
      <c r="L96" s="28">
        <v>81.2</v>
      </c>
      <c r="M96" s="25">
        <v>76.6</v>
      </c>
      <c r="N96" s="7">
        <v>5</v>
      </c>
      <c r="O96" s="29"/>
      <c r="P96" s="30"/>
    </row>
    <row r="97" spans="1:16" ht="15" customHeight="1">
      <c r="A97" s="5">
        <v>95</v>
      </c>
      <c r="B97" s="7" t="str">
        <f>"222507627"</f>
        <v>222507627</v>
      </c>
      <c r="C97" s="7" t="str">
        <f t="shared" si="18"/>
        <v>25</v>
      </c>
      <c r="D97" s="7" t="s">
        <v>68</v>
      </c>
      <c r="E97" s="7" t="str">
        <f>"王兴"</f>
        <v>王兴</v>
      </c>
      <c r="F97" s="7" t="str">
        <f>"本科"</f>
        <v>本科</v>
      </c>
      <c r="G97" s="7" t="str">
        <f>"应用心理学"</f>
        <v>应用心理学</v>
      </c>
      <c r="H97" s="7" t="str">
        <f>"太原师范学院"</f>
        <v>太原师范学院</v>
      </c>
      <c r="I97" s="7" t="str">
        <f>"启东市滨海实验"</f>
        <v>启东市滨海实验</v>
      </c>
      <c r="J97" s="28">
        <v>79</v>
      </c>
      <c r="K97" s="28"/>
      <c r="L97" s="28">
        <v>73</v>
      </c>
      <c r="M97" s="25">
        <v>76</v>
      </c>
      <c r="N97" s="7">
        <v>6</v>
      </c>
      <c r="O97" s="29"/>
      <c r="P97" s="30"/>
    </row>
    <row r="98" spans="1:16" ht="15" customHeight="1">
      <c r="A98" s="5">
        <v>96</v>
      </c>
      <c r="B98" s="7" t="str">
        <f>"222507708"</f>
        <v>222507708</v>
      </c>
      <c r="C98" s="7" t="str">
        <f t="shared" si="18"/>
        <v>25</v>
      </c>
      <c r="D98" s="7" t="s">
        <v>68</v>
      </c>
      <c r="E98" s="7" t="str">
        <f>"陈雨洁"</f>
        <v>陈雨洁</v>
      </c>
      <c r="F98" s="7" t="str">
        <f>"本科"</f>
        <v>本科</v>
      </c>
      <c r="G98" s="7" t="str">
        <f>"应用心理学"</f>
        <v>应用心理学</v>
      </c>
      <c r="H98" s="7" t="str">
        <f>"淮阴师范学院"</f>
        <v>淮阴师范学院</v>
      </c>
      <c r="I98" s="7"/>
      <c r="J98" s="28">
        <v>75</v>
      </c>
      <c r="K98" s="28"/>
      <c r="L98" s="28">
        <v>76.4</v>
      </c>
      <c r="M98" s="25">
        <v>75.7</v>
      </c>
      <c r="N98" s="7">
        <v>7</v>
      </c>
      <c r="O98" s="29"/>
      <c r="P98" s="30"/>
    </row>
    <row r="99" spans="1:16" ht="15" customHeight="1">
      <c r="A99" s="5">
        <v>97</v>
      </c>
      <c r="B99" s="7" t="str">
        <f>"222507629"</f>
        <v>222507629</v>
      </c>
      <c r="C99" s="7" t="str">
        <f t="shared" si="18"/>
        <v>25</v>
      </c>
      <c r="D99" s="7" t="s">
        <v>68</v>
      </c>
      <c r="E99" s="7" t="str">
        <f>"保安屹"</f>
        <v>保安屹</v>
      </c>
      <c r="F99" s="7" t="str">
        <f>"本科"</f>
        <v>本科</v>
      </c>
      <c r="G99" s="7" t="str">
        <f>"应用心理学"</f>
        <v>应用心理学</v>
      </c>
      <c r="H99" s="7" t="str">
        <f>"江苏理工学院"</f>
        <v>江苏理工学院</v>
      </c>
      <c r="I99" s="7"/>
      <c r="J99" s="28">
        <v>71</v>
      </c>
      <c r="K99" s="28"/>
      <c r="L99" s="28">
        <v>78</v>
      </c>
      <c r="M99" s="25">
        <v>74.5</v>
      </c>
      <c r="N99" s="7">
        <v>8</v>
      </c>
      <c r="O99" s="29"/>
      <c r="P99" s="30"/>
    </row>
    <row r="100" spans="1:16" ht="15" customHeight="1">
      <c r="A100" s="5">
        <v>98</v>
      </c>
      <c r="B100" s="7" t="str">
        <f>"222507628"</f>
        <v>222507628</v>
      </c>
      <c r="C100" s="7" t="str">
        <f t="shared" si="18"/>
        <v>25</v>
      </c>
      <c r="D100" s="7" t="s">
        <v>68</v>
      </c>
      <c r="E100" s="7" t="str">
        <f>"朱敏"</f>
        <v>朱敏</v>
      </c>
      <c r="F100" s="7" t="str">
        <f>"硕士研究生"</f>
        <v>硕士研究生</v>
      </c>
      <c r="G100" s="7" t="str">
        <f>"心理健康教育"</f>
        <v>心理健康教育</v>
      </c>
      <c r="H100" s="7" t="str">
        <f>"安徽师范大学"</f>
        <v>安徽师范大学</v>
      </c>
      <c r="I100" s="7"/>
      <c r="J100" s="28">
        <v>73</v>
      </c>
      <c r="K100" s="28"/>
      <c r="L100" s="28">
        <v>76</v>
      </c>
      <c r="M100" s="25">
        <v>74.5</v>
      </c>
      <c r="N100" s="7">
        <v>9</v>
      </c>
      <c r="O100" s="29"/>
      <c r="P100" s="30"/>
    </row>
    <row r="101" spans="1:16" ht="15" customHeight="1">
      <c r="A101" s="5">
        <v>99</v>
      </c>
      <c r="B101" s="7" t="str">
        <f>"222507616"</f>
        <v>222507616</v>
      </c>
      <c r="C101" s="7" t="str">
        <f t="shared" si="18"/>
        <v>25</v>
      </c>
      <c r="D101" s="7" t="s">
        <v>68</v>
      </c>
      <c r="E101" s="7" t="str">
        <f>"龚阳"</f>
        <v>龚阳</v>
      </c>
      <c r="F101" s="7" t="str">
        <f aca="true" t="shared" si="20" ref="F101:F103">"本科"</f>
        <v>本科</v>
      </c>
      <c r="G101" s="7" t="str">
        <f aca="true" t="shared" si="21" ref="G101:G102">"应用心理学"</f>
        <v>应用心理学</v>
      </c>
      <c r="H101" s="7" t="str">
        <f>"苏州科技大学"</f>
        <v>苏州科技大学</v>
      </c>
      <c r="I101" s="7"/>
      <c r="J101" s="28">
        <v>79</v>
      </c>
      <c r="K101" s="28"/>
      <c r="L101" s="28">
        <v>70</v>
      </c>
      <c r="M101" s="25">
        <v>74.5</v>
      </c>
      <c r="N101" s="7">
        <v>10</v>
      </c>
      <c r="O101" s="29"/>
      <c r="P101" s="30"/>
    </row>
    <row r="102" spans="1:16" ht="15" customHeight="1">
      <c r="A102" s="9">
        <v>100</v>
      </c>
      <c r="B102" s="10" t="str">
        <f>"222507702"</f>
        <v>222507702</v>
      </c>
      <c r="C102" s="10" t="str">
        <f t="shared" si="18"/>
        <v>25</v>
      </c>
      <c r="D102" s="10" t="s">
        <v>68</v>
      </c>
      <c r="E102" s="10" t="str">
        <f>"杨玲莉"</f>
        <v>杨玲莉</v>
      </c>
      <c r="F102" s="10" t="str">
        <f t="shared" si="20"/>
        <v>本科</v>
      </c>
      <c r="G102" s="10" t="str">
        <f t="shared" si="21"/>
        <v>应用心理学</v>
      </c>
      <c r="H102" s="10" t="str">
        <f>"江苏第二师范学院"</f>
        <v>江苏第二师范学院</v>
      </c>
      <c r="I102" s="10" t="str">
        <f>"启东启迪外国语学校"</f>
        <v>启东启迪外国语学校</v>
      </c>
      <c r="J102" s="31">
        <v>71</v>
      </c>
      <c r="K102" s="31"/>
      <c r="L102" s="31">
        <v>77.6</v>
      </c>
      <c r="M102" s="32">
        <v>74.3</v>
      </c>
      <c r="N102" s="10">
        <v>11</v>
      </c>
      <c r="O102" s="33"/>
      <c r="P102" s="34"/>
    </row>
    <row r="103" spans="1:16" ht="25.5" customHeight="1">
      <c r="A103" s="41">
        <v>101</v>
      </c>
      <c r="B103" s="13" t="str">
        <f>"222607101"</f>
        <v>222607101</v>
      </c>
      <c r="C103" s="15" t="str">
        <f>"26"</f>
        <v>26</v>
      </c>
      <c r="D103" s="15" t="s">
        <v>70</v>
      </c>
      <c r="E103" s="15" t="str">
        <f>"张晓炜"</f>
        <v>张晓炜</v>
      </c>
      <c r="F103" s="15" t="str">
        <f t="shared" si="20"/>
        <v>本科</v>
      </c>
      <c r="G103" s="15" t="str">
        <f>"生物技术"</f>
        <v>生物技术</v>
      </c>
      <c r="H103" s="15" t="str">
        <f>"淮海工学院"</f>
        <v>淮海工学院</v>
      </c>
      <c r="I103" s="15"/>
      <c r="J103" s="51">
        <v>90</v>
      </c>
      <c r="K103" s="51"/>
      <c r="L103" s="51">
        <v>84.6</v>
      </c>
      <c r="M103" s="52">
        <v>87.3</v>
      </c>
      <c r="N103" s="13">
        <v>1</v>
      </c>
      <c r="O103" s="33" t="s">
        <v>39</v>
      </c>
      <c r="P103" s="42" t="s">
        <v>71</v>
      </c>
    </row>
    <row r="104" spans="1:16" ht="15" customHeight="1">
      <c r="A104" s="41">
        <v>102</v>
      </c>
      <c r="B104" s="13" t="str">
        <f>"222708724"</f>
        <v>222708724</v>
      </c>
      <c r="C104" s="15" t="str">
        <f>"27"</f>
        <v>27</v>
      </c>
      <c r="D104" s="15" t="s">
        <v>72</v>
      </c>
      <c r="E104" s="15" t="str">
        <f>"顾雯琴"</f>
        <v>顾雯琴</v>
      </c>
      <c r="F104" s="15" t="str">
        <f>"专科"</f>
        <v>专科</v>
      </c>
      <c r="G104" s="15" t="str">
        <f>"特殊教育(手语翻译方向)"</f>
        <v>特殊教育(手语翻译方向)</v>
      </c>
      <c r="H104" s="15" t="str">
        <f>"浙江特殊教育职业学院"</f>
        <v>浙江特殊教育职业学院</v>
      </c>
      <c r="I104" s="15" t="str">
        <f>"上虞特殊教育学校"</f>
        <v>上虞特殊教育学校</v>
      </c>
      <c r="J104" s="51">
        <v>86</v>
      </c>
      <c r="K104" s="51"/>
      <c r="L104" s="51">
        <v>85.2</v>
      </c>
      <c r="M104" s="52">
        <v>85.6</v>
      </c>
      <c r="N104" s="13">
        <v>1</v>
      </c>
      <c r="O104" s="33"/>
      <c r="P104" s="42" t="s">
        <v>73</v>
      </c>
    </row>
    <row r="105" spans="1:16" ht="15" customHeight="1">
      <c r="A105" s="41">
        <v>103</v>
      </c>
      <c r="B105" s="13" t="str">
        <f>"222808309"</f>
        <v>222808309</v>
      </c>
      <c r="C105" s="15" t="str">
        <f>"28"</f>
        <v>28</v>
      </c>
      <c r="D105" s="15" t="s">
        <v>74</v>
      </c>
      <c r="E105" s="15" t="str">
        <f>"丁茹"</f>
        <v>丁茹</v>
      </c>
      <c r="F105" s="15" t="str">
        <f>"硕士研究生"</f>
        <v>硕士研究生</v>
      </c>
      <c r="G105" s="15" t="str">
        <f>"音乐与舞蹈学"</f>
        <v>音乐与舞蹈学</v>
      </c>
      <c r="H105" s="15" t="str">
        <f>"聊城大学"</f>
        <v>聊城大学</v>
      </c>
      <c r="I105" s="15"/>
      <c r="J105" s="51">
        <v>64</v>
      </c>
      <c r="K105" s="51">
        <v>74.17</v>
      </c>
      <c r="L105" s="51">
        <v>84.6</v>
      </c>
      <c r="M105" s="52">
        <v>76.33</v>
      </c>
      <c r="N105" s="13">
        <v>1</v>
      </c>
      <c r="O105" s="33"/>
      <c r="P105" s="42" t="s">
        <v>46</v>
      </c>
    </row>
    <row r="106" spans="1:16" ht="15" customHeight="1">
      <c r="A106" s="11">
        <v>104</v>
      </c>
      <c r="B106" s="8" t="str">
        <f>"222911905"</f>
        <v>222911905</v>
      </c>
      <c r="C106" s="8" t="str">
        <f aca="true" t="shared" si="22" ref="C106:C109">"29"</f>
        <v>29</v>
      </c>
      <c r="D106" s="8" t="s">
        <v>75</v>
      </c>
      <c r="E106" s="8" t="str">
        <f>"陈思婷"</f>
        <v>陈思婷</v>
      </c>
      <c r="F106" s="8" t="str">
        <f>"硕士研究生"</f>
        <v>硕士研究生</v>
      </c>
      <c r="G106" s="8" t="str">
        <f>"音乐"</f>
        <v>音乐</v>
      </c>
      <c r="H106" s="8" t="str">
        <f>"贵州大学"</f>
        <v>贵州大学</v>
      </c>
      <c r="I106" s="8"/>
      <c r="J106" s="35">
        <v>85</v>
      </c>
      <c r="K106" s="35">
        <v>81.5</v>
      </c>
      <c r="L106" s="35">
        <v>88.4</v>
      </c>
      <c r="M106" s="36">
        <v>86</v>
      </c>
      <c r="N106" s="8">
        <v>1</v>
      </c>
      <c r="O106" s="37"/>
      <c r="P106" s="38" t="s">
        <v>76</v>
      </c>
    </row>
    <row r="107" spans="1:16" ht="15" customHeight="1">
      <c r="A107" s="5">
        <v>105</v>
      </c>
      <c r="B107" s="7" t="str">
        <f>"222909718"</f>
        <v>222909718</v>
      </c>
      <c r="C107" s="7" t="str">
        <f t="shared" si="22"/>
        <v>29</v>
      </c>
      <c r="D107" s="7" t="s">
        <v>75</v>
      </c>
      <c r="E107" s="7" t="str">
        <f>"刘璇"</f>
        <v>刘璇</v>
      </c>
      <c r="F107" s="7" t="str">
        <f aca="true" t="shared" si="23" ref="F107:F127">"本科"</f>
        <v>本科</v>
      </c>
      <c r="G107" s="7" t="str">
        <f>"音乐学（师范）"</f>
        <v>音乐学（师范）</v>
      </c>
      <c r="H107" s="7" t="str">
        <f>"泰州学院"</f>
        <v>泰州学院</v>
      </c>
      <c r="I107" s="7"/>
      <c r="J107" s="28">
        <v>87</v>
      </c>
      <c r="K107" s="28">
        <v>78.83</v>
      </c>
      <c r="L107" s="28">
        <v>86.2</v>
      </c>
      <c r="M107" s="25">
        <v>84.97</v>
      </c>
      <c r="N107" s="7">
        <v>2</v>
      </c>
      <c r="O107" s="29"/>
      <c r="P107" s="30"/>
    </row>
    <row r="108" spans="1:16" ht="15" customHeight="1">
      <c r="A108" s="5">
        <v>106</v>
      </c>
      <c r="B108" s="7" t="str">
        <f>"222909711"</f>
        <v>222909711</v>
      </c>
      <c r="C108" s="7" t="str">
        <f t="shared" si="22"/>
        <v>29</v>
      </c>
      <c r="D108" s="7" t="s">
        <v>75</v>
      </c>
      <c r="E108" s="7" t="str">
        <f>"夏伟建"</f>
        <v>夏伟建</v>
      </c>
      <c r="F108" s="7" t="str">
        <f t="shared" si="23"/>
        <v>本科</v>
      </c>
      <c r="G108" s="7" t="str">
        <f>"音乐学（师范）"</f>
        <v>音乐学（师范）</v>
      </c>
      <c r="H108" s="7" t="str">
        <f>"闽江学院"</f>
        <v>闽江学院</v>
      </c>
      <c r="I108" s="7" t="str">
        <f>"吴江黎里友谊小学"</f>
        <v>吴江黎里友谊小学</v>
      </c>
      <c r="J108" s="28">
        <v>89</v>
      </c>
      <c r="K108" s="28">
        <v>71.17</v>
      </c>
      <c r="L108" s="28">
        <v>87.2</v>
      </c>
      <c r="M108" s="25">
        <v>84.53</v>
      </c>
      <c r="N108" s="7">
        <v>3</v>
      </c>
      <c r="O108" s="29"/>
      <c r="P108" s="30"/>
    </row>
    <row r="109" spans="1:16" ht="15" customHeight="1">
      <c r="A109" s="9">
        <v>107</v>
      </c>
      <c r="B109" s="10" t="str">
        <f>"222909701"</f>
        <v>222909701</v>
      </c>
      <c r="C109" s="10" t="str">
        <f t="shared" si="22"/>
        <v>29</v>
      </c>
      <c r="D109" s="10" t="s">
        <v>75</v>
      </c>
      <c r="E109" s="10" t="str">
        <f>"陈米兰"</f>
        <v>陈米兰</v>
      </c>
      <c r="F109" s="10" t="str">
        <f t="shared" si="23"/>
        <v>本科</v>
      </c>
      <c r="G109" s="10" t="str">
        <f>"音乐学"</f>
        <v>音乐学</v>
      </c>
      <c r="H109" s="10" t="str">
        <f>"湖南科技大学"</f>
        <v>湖南科技大学</v>
      </c>
      <c r="I109" s="10" t="str">
        <f>"浏阳市集里街道奎文实验小学"</f>
        <v>浏阳市集里街道奎文实验小学</v>
      </c>
      <c r="J109" s="31">
        <v>82</v>
      </c>
      <c r="K109" s="31">
        <v>75.5</v>
      </c>
      <c r="L109" s="31">
        <v>86.8</v>
      </c>
      <c r="M109" s="32">
        <v>83.1</v>
      </c>
      <c r="N109" s="10">
        <v>4</v>
      </c>
      <c r="O109" s="33"/>
      <c r="P109" s="34"/>
    </row>
    <row r="110" spans="1:16" ht="15" customHeight="1">
      <c r="A110" s="11">
        <v>108</v>
      </c>
      <c r="B110" s="8" t="str">
        <f>"223007925"</f>
        <v>223007925</v>
      </c>
      <c r="C110" s="8" t="str">
        <f aca="true" t="shared" si="24" ref="C110:C119">"30"</f>
        <v>30</v>
      </c>
      <c r="D110" s="8" t="s">
        <v>77</v>
      </c>
      <c r="E110" s="8" t="str">
        <f>"许峻豪"</f>
        <v>许峻豪</v>
      </c>
      <c r="F110" s="8" t="str">
        <f t="shared" si="23"/>
        <v>本科</v>
      </c>
      <c r="G110" s="8" t="str">
        <f>"音乐表演"</f>
        <v>音乐表演</v>
      </c>
      <c r="H110" s="8" t="str">
        <f>"南京晓庄学院"</f>
        <v>南京晓庄学院</v>
      </c>
      <c r="I110" s="45"/>
      <c r="J110" s="46">
        <v>88</v>
      </c>
      <c r="K110" s="46">
        <v>69</v>
      </c>
      <c r="L110" s="46">
        <v>77.3</v>
      </c>
      <c r="M110" s="36">
        <v>78.85</v>
      </c>
      <c r="N110" s="8">
        <v>1</v>
      </c>
      <c r="O110" s="37" t="s">
        <v>78</v>
      </c>
      <c r="P110" s="38" t="s">
        <v>79</v>
      </c>
    </row>
    <row r="111" spans="1:16" ht="15" customHeight="1">
      <c r="A111" s="5">
        <v>109</v>
      </c>
      <c r="B111" s="7" t="str">
        <f>"223008225"</f>
        <v>223008225</v>
      </c>
      <c r="C111" s="8" t="str">
        <f t="shared" si="24"/>
        <v>30</v>
      </c>
      <c r="D111" s="8" t="s">
        <v>77</v>
      </c>
      <c r="E111" s="8" t="str">
        <f>"刘宇旭"</f>
        <v>刘宇旭</v>
      </c>
      <c r="F111" s="7" t="str">
        <f t="shared" si="23"/>
        <v>本科</v>
      </c>
      <c r="G111" s="7" t="str">
        <f>"音乐表演"</f>
        <v>音乐表演</v>
      </c>
      <c r="H111" s="7" t="str">
        <f>"南通大学"</f>
        <v>南通大学</v>
      </c>
      <c r="I111" s="7" t="str">
        <f>"常州市新北区薛家实验小学"</f>
        <v>常州市新北区薛家实验小学</v>
      </c>
      <c r="J111" s="28">
        <v>75</v>
      </c>
      <c r="K111" s="28">
        <v>77.13</v>
      </c>
      <c r="L111" s="28">
        <v>81.2</v>
      </c>
      <c r="M111" s="25">
        <v>78.53</v>
      </c>
      <c r="N111" s="7">
        <v>2</v>
      </c>
      <c r="O111" s="29"/>
      <c r="P111" s="30"/>
    </row>
    <row r="112" spans="1:16" ht="15" customHeight="1">
      <c r="A112" s="5">
        <v>110</v>
      </c>
      <c r="B112" s="7" t="str">
        <f>"223007830"</f>
        <v>223007830</v>
      </c>
      <c r="C112" s="7" t="str">
        <f t="shared" si="24"/>
        <v>30</v>
      </c>
      <c r="D112" s="7" t="s">
        <v>77</v>
      </c>
      <c r="E112" s="7" t="str">
        <f>"朱康"</f>
        <v>朱康</v>
      </c>
      <c r="F112" s="7" t="str">
        <f t="shared" si="23"/>
        <v>本科</v>
      </c>
      <c r="G112" s="7" t="str">
        <f>"音乐学"</f>
        <v>音乐学</v>
      </c>
      <c r="H112" s="7" t="str">
        <f>"常州工学院"</f>
        <v>常州工学院</v>
      </c>
      <c r="I112" s="7" t="str">
        <f>"汪曾祺学校（小学部）"</f>
        <v>汪曾祺学校（小学部）</v>
      </c>
      <c r="J112" s="28">
        <v>74</v>
      </c>
      <c r="K112" s="28">
        <v>71.93</v>
      </c>
      <c r="L112" s="28">
        <v>83.8</v>
      </c>
      <c r="M112" s="25">
        <v>78.49</v>
      </c>
      <c r="N112" s="7">
        <v>3</v>
      </c>
      <c r="O112" s="29"/>
      <c r="P112" s="30"/>
    </row>
    <row r="113" spans="1:16" ht="15" customHeight="1">
      <c r="A113" s="5">
        <v>111</v>
      </c>
      <c r="B113" s="7" t="str">
        <f>"223007806"</f>
        <v>223007806</v>
      </c>
      <c r="C113" s="7" t="str">
        <f t="shared" si="24"/>
        <v>30</v>
      </c>
      <c r="D113" s="7" t="s">
        <v>77</v>
      </c>
      <c r="E113" s="7" t="str">
        <f>"许宛露"</f>
        <v>许宛露</v>
      </c>
      <c r="F113" s="7" t="str">
        <f t="shared" si="23"/>
        <v>本科</v>
      </c>
      <c r="G113" s="7" t="str">
        <f>"音乐学"</f>
        <v>音乐学</v>
      </c>
      <c r="H113" s="7" t="str">
        <f>"淮南师范学院"</f>
        <v>淮南师范学院</v>
      </c>
      <c r="I113" s="7"/>
      <c r="J113" s="28">
        <v>89.5</v>
      </c>
      <c r="K113" s="28">
        <v>66.7</v>
      </c>
      <c r="L113" s="28">
        <v>76.56</v>
      </c>
      <c r="M113" s="25">
        <v>78.47</v>
      </c>
      <c r="N113" s="7">
        <v>4</v>
      </c>
      <c r="O113" s="29"/>
      <c r="P113" s="30"/>
    </row>
    <row r="114" spans="1:16" ht="15" customHeight="1">
      <c r="A114" s="5">
        <v>112</v>
      </c>
      <c r="B114" s="7" t="str">
        <f>"223007813"</f>
        <v>223007813</v>
      </c>
      <c r="C114" s="7" t="str">
        <f t="shared" si="24"/>
        <v>30</v>
      </c>
      <c r="D114" s="7" t="s">
        <v>77</v>
      </c>
      <c r="E114" s="7" t="str">
        <f>"王文倩"</f>
        <v>王文倩</v>
      </c>
      <c r="F114" s="7" t="str">
        <f t="shared" si="23"/>
        <v>本科</v>
      </c>
      <c r="G114" s="7" t="str">
        <f>"音乐学（师范）"</f>
        <v>音乐学（师范）</v>
      </c>
      <c r="H114" s="7" t="str">
        <f>"丽水学院"</f>
        <v>丽水学院</v>
      </c>
      <c r="I114" s="7"/>
      <c r="J114" s="28">
        <v>78</v>
      </c>
      <c r="K114" s="28">
        <v>71.17</v>
      </c>
      <c r="L114" s="28">
        <v>80.2</v>
      </c>
      <c r="M114" s="25">
        <v>77.73</v>
      </c>
      <c r="N114" s="7">
        <v>6</v>
      </c>
      <c r="O114" s="29"/>
      <c r="P114" s="30"/>
    </row>
    <row r="115" spans="1:16" ht="15" customHeight="1">
      <c r="A115" s="5">
        <v>113</v>
      </c>
      <c r="B115" s="7" t="str">
        <f>"223007804"</f>
        <v>223007804</v>
      </c>
      <c r="C115" s="7" t="str">
        <f t="shared" si="24"/>
        <v>30</v>
      </c>
      <c r="D115" s="7" t="s">
        <v>77</v>
      </c>
      <c r="E115" s="7" t="str">
        <f>"朱帮鹏"</f>
        <v>朱帮鹏</v>
      </c>
      <c r="F115" s="7" t="str">
        <f t="shared" si="23"/>
        <v>本科</v>
      </c>
      <c r="G115" s="7" t="str">
        <f>"音乐学（师范）"</f>
        <v>音乐学（师范）</v>
      </c>
      <c r="H115" s="7" t="str">
        <f>"常熟理工学院"</f>
        <v>常熟理工学院</v>
      </c>
      <c r="I115" s="7"/>
      <c r="J115" s="28">
        <v>83.5</v>
      </c>
      <c r="K115" s="28">
        <v>71.67</v>
      </c>
      <c r="L115" s="28">
        <v>75.7</v>
      </c>
      <c r="M115" s="25">
        <v>77.23</v>
      </c>
      <c r="N115" s="7">
        <v>7</v>
      </c>
      <c r="O115" s="29"/>
      <c r="P115" s="30"/>
    </row>
    <row r="116" spans="1:16" ht="15" customHeight="1">
      <c r="A116" s="5">
        <v>114</v>
      </c>
      <c r="B116" s="7" t="str">
        <f>"223007929"</f>
        <v>223007929</v>
      </c>
      <c r="C116" s="7" t="str">
        <f t="shared" si="24"/>
        <v>30</v>
      </c>
      <c r="D116" s="7" t="s">
        <v>77</v>
      </c>
      <c r="E116" s="7" t="str">
        <f>"卢泠冰"</f>
        <v>卢泠冰</v>
      </c>
      <c r="F116" s="7" t="str">
        <f t="shared" si="23"/>
        <v>本科</v>
      </c>
      <c r="G116" s="7" t="str">
        <f>"音乐学"</f>
        <v>音乐学</v>
      </c>
      <c r="H116" s="7" t="str">
        <f>"湖南科技学院"</f>
        <v>湖南科技学院</v>
      </c>
      <c r="I116" s="7"/>
      <c r="J116" s="28">
        <v>79</v>
      </c>
      <c r="K116" s="28">
        <v>68</v>
      </c>
      <c r="L116" s="28">
        <v>78</v>
      </c>
      <c r="M116" s="25">
        <v>76.3</v>
      </c>
      <c r="N116" s="7">
        <v>8</v>
      </c>
      <c r="O116" s="29"/>
      <c r="P116" s="30"/>
    </row>
    <row r="117" spans="1:16" ht="15" customHeight="1">
      <c r="A117" s="5">
        <v>115</v>
      </c>
      <c r="B117" s="7" t="str">
        <f>"223008121"</f>
        <v>223008121</v>
      </c>
      <c r="C117" s="12" t="str">
        <f t="shared" si="24"/>
        <v>30</v>
      </c>
      <c r="D117" s="12" t="s">
        <v>77</v>
      </c>
      <c r="E117" s="12" t="str">
        <f>"蔡宝活"</f>
        <v>蔡宝活</v>
      </c>
      <c r="F117" s="7" t="str">
        <f t="shared" si="23"/>
        <v>本科</v>
      </c>
      <c r="G117" s="7" t="str">
        <f>"音乐学"</f>
        <v>音乐学</v>
      </c>
      <c r="H117" s="7" t="str">
        <f>"江西师范大学"</f>
        <v>江西师范大学</v>
      </c>
      <c r="I117" s="7" t="str">
        <f>"常州市武进区节奏的力量打击乐俱乐部"</f>
        <v>常州市武进区节奏的力量打击乐俱乐部</v>
      </c>
      <c r="J117" s="28">
        <v>87</v>
      </c>
      <c r="K117" s="28">
        <v>70.83</v>
      </c>
      <c r="L117" s="28">
        <v>70.9</v>
      </c>
      <c r="M117" s="25">
        <v>75.72</v>
      </c>
      <c r="N117" s="7">
        <v>10</v>
      </c>
      <c r="O117" s="29"/>
      <c r="P117" s="30"/>
    </row>
    <row r="118" spans="1:16" ht="15" customHeight="1">
      <c r="A118" s="5">
        <v>116</v>
      </c>
      <c r="B118" s="7" t="str">
        <f>"223008101"</f>
        <v>223008101</v>
      </c>
      <c r="C118" s="7" t="str">
        <f t="shared" si="24"/>
        <v>30</v>
      </c>
      <c r="D118" s="7" t="s">
        <v>77</v>
      </c>
      <c r="E118" s="7" t="str">
        <f>"陈佳莉"</f>
        <v>陈佳莉</v>
      </c>
      <c r="F118" s="7" t="str">
        <f t="shared" si="23"/>
        <v>本科</v>
      </c>
      <c r="G118" s="7" t="str">
        <f>"音乐学"</f>
        <v>音乐学</v>
      </c>
      <c r="H118" s="7" t="str">
        <f>"扬州大学"</f>
        <v>扬州大学</v>
      </c>
      <c r="I118" s="23"/>
      <c r="J118" s="24">
        <v>81.5</v>
      </c>
      <c r="K118" s="24">
        <v>73.33</v>
      </c>
      <c r="L118" s="24">
        <v>73</v>
      </c>
      <c r="M118" s="25">
        <v>75.62</v>
      </c>
      <c r="N118" s="7">
        <v>11</v>
      </c>
      <c r="O118" s="29"/>
      <c r="P118" s="30"/>
    </row>
    <row r="119" spans="1:16" ht="15" customHeight="1">
      <c r="A119" s="9">
        <v>117</v>
      </c>
      <c r="B119" s="10" t="str">
        <f>"223007906"</f>
        <v>223007906</v>
      </c>
      <c r="C119" s="13" t="str">
        <f t="shared" si="24"/>
        <v>30</v>
      </c>
      <c r="D119" s="13" t="s">
        <v>77</v>
      </c>
      <c r="E119" s="13" t="str">
        <f>"曾可"</f>
        <v>曾可</v>
      </c>
      <c r="F119" s="10" t="str">
        <f t="shared" si="23"/>
        <v>本科</v>
      </c>
      <c r="G119" s="10" t="str">
        <f>"音乐学"</f>
        <v>音乐学</v>
      </c>
      <c r="H119" s="10" t="str">
        <f>"湖南人文科技学院"</f>
        <v>湖南人文科技学院</v>
      </c>
      <c r="I119" s="10" t="str">
        <f>"浏阳市奎文实验小学"</f>
        <v>浏阳市奎文实验小学</v>
      </c>
      <c r="J119" s="31">
        <v>76.5</v>
      </c>
      <c r="K119" s="31">
        <v>73</v>
      </c>
      <c r="L119" s="31">
        <v>75.6</v>
      </c>
      <c r="M119" s="32">
        <v>75.35</v>
      </c>
      <c r="N119" s="10">
        <v>12</v>
      </c>
      <c r="O119" s="33"/>
      <c r="P119" s="34"/>
    </row>
    <row r="120" spans="1:16" ht="15" customHeight="1">
      <c r="A120" s="11">
        <v>118</v>
      </c>
      <c r="B120" s="8" t="str">
        <f>"223109018"</f>
        <v>223109018</v>
      </c>
      <c r="C120" s="8" t="str">
        <f aca="true" t="shared" si="25" ref="C120:C125">"31"</f>
        <v>31</v>
      </c>
      <c r="D120" s="8" t="s">
        <v>80</v>
      </c>
      <c r="E120" s="8" t="str">
        <f>"肖严"</f>
        <v>肖严</v>
      </c>
      <c r="F120" s="8" t="str">
        <f t="shared" si="23"/>
        <v>本科</v>
      </c>
      <c r="G120" s="8" t="str">
        <f>"体育教育"</f>
        <v>体育教育</v>
      </c>
      <c r="H120" s="8" t="str">
        <f>"南通大学"</f>
        <v>南通大学</v>
      </c>
      <c r="I120" s="8"/>
      <c r="J120" s="35">
        <v>83</v>
      </c>
      <c r="K120" s="35">
        <v>69</v>
      </c>
      <c r="L120" s="35">
        <v>83.8</v>
      </c>
      <c r="M120" s="36">
        <v>80.6</v>
      </c>
      <c r="N120" s="8">
        <v>1</v>
      </c>
      <c r="O120" s="37"/>
      <c r="P120" s="38" t="s">
        <v>81</v>
      </c>
    </row>
    <row r="121" spans="1:16" ht="15" customHeight="1">
      <c r="A121" s="5">
        <v>119</v>
      </c>
      <c r="B121" s="7" t="str">
        <f>"223109014"</f>
        <v>223109014</v>
      </c>
      <c r="C121" s="7" t="str">
        <f t="shared" si="25"/>
        <v>31</v>
      </c>
      <c r="D121" s="7" t="s">
        <v>80</v>
      </c>
      <c r="E121" s="7" t="str">
        <f>"施楚琪"</f>
        <v>施楚琪</v>
      </c>
      <c r="F121" s="7" t="str">
        <f t="shared" si="23"/>
        <v>本科</v>
      </c>
      <c r="G121" s="7" t="str">
        <f>"体育教育"</f>
        <v>体育教育</v>
      </c>
      <c r="H121" s="7" t="str">
        <f>"吉首大学"</f>
        <v>吉首大学</v>
      </c>
      <c r="I121" s="7"/>
      <c r="J121" s="28">
        <v>75</v>
      </c>
      <c r="K121" s="28">
        <v>79</v>
      </c>
      <c r="L121" s="28">
        <v>82.6</v>
      </c>
      <c r="M121" s="25">
        <v>79.6</v>
      </c>
      <c r="N121" s="7">
        <v>2</v>
      </c>
      <c r="O121" s="29"/>
      <c r="P121" s="30"/>
    </row>
    <row r="122" spans="1:16" ht="15" customHeight="1">
      <c r="A122" s="5">
        <v>120</v>
      </c>
      <c r="B122" s="7" t="str">
        <f>"223109029"</f>
        <v>223109029</v>
      </c>
      <c r="C122" s="7" t="str">
        <f t="shared" si="25"/>
        <v>31</v>
      </c>
      <c r="D122" s="7" t="s">
        <v>80</v>
      </c>
      <c r="E122" s="7" t="str">
        <f>"吕佳沁"</f>
        <v>吕佳沁</v>
      </c>
      <c r="F122" s="7" t="str">
        <f t="shared" si="23"/>
        <v>本科</v>
      </c>
      <c r="G122" s="7" t="str">
        <f>"社会体育指导与管理"</f>
        <v>社会体育指导与管理</v>
      </c>
      <c r="H122" s="7" t="str">
        <f>"南京体育学院"</f>
        <v>南京体育学院</v>
      </c>
      <c r="I122" s="7"/>
      <c r="J122" s="28">
        <v>71.5</v>
      </c>
      <c r="K122" s="28">
        <v>73.5</v>
      </c>
      <c r="L122" s="28">
        <v>83.6</v>
      </c>
      <c r="M122" s="25">
        <v>77.95</v>
      </c>
      <c r="N122" s="7">
        <v>3</v>
      </c>
      <c r="O122" s="29"/>
      <c r="P122" s="30"/>
    </row>
    <row r="123" spans="1:16" ht="15" customHeight="1">
      <c r="A123" s="5">
        <v>121</v>
      </c>
      <c r="B123" s="7" t="str">
        <f>"223109019"</f>
        <v>223109019</v>
      </c>
      <c r="C123" s="7" t="str">
        <f t="shared" si="25"/>
        <v>31</v>
      </c>
      <c r="D123" s="7" t="s">
        <v>80</v>
      </c>
      <c r="E123" s="7" t="str">
        <f>"厉承然"</f>
        <v>厉承然</v>
      </c>
      <c r="F123" s="7" t="str">
        <f t="shared" si="23"/>
        <v>本科</v>
      </c>
      <c r="G123" s="7" t="str">
        <f>"体育教育"</f>
        <v>体育教育</v>
      </c>
      <c r="H123" s="7" t="str">
        <f>"山东师范大学"</f>
        <v>山东师范大学</v>
      </c>
      <c r="I123" s="7"/>
      <c r="J123" s="28">
        <v>79</v>
      </c>
      <c r="K123" s="28">
        <v>70</v>
      </c>
      <c r="L123" s="28">
        <v>78.8</v>
      </c>
      <c r="M123" s="25">
        <v>77.1</v>
      </c>
      <c r="N123" s="7">
        <v>4</v>
      </c>
      <c r="O123" s="29"/>
      <c r="P123" s="30"/>
    </row>
    <row r="124" spans="1:16" ht="15" customHeight="1">
      <c r="A124" s="5">
        <v>122</v>
      </c>
      <c r="B124" s="7" t="str">
        <f>"223109017"</f>
        <v>223109017</v>
      </c>
      <c r="C124" s="7" t="str">
        <f t="shared" si="25"/>
        <v>31</v>
      </c>
      <c r="D124" s="7" t="s">
        <v>80</v>
      </c>
      <c r="E124" s="7" t="str">
        <f>"陈颖颖"</f>
        <v>陈颖颖</v>
      </c>
      <c r="F124" s="7" t="str">
        <f t="shared" si="23"/>
        <v>本科</v>
      </c>
      <c r="G124" s="7" t="str">
        <f>"体育教育"</f>
        <v>体育教育</v>
      </c>
      <c r="H124" s="7" t="str">
        <f>"聊城大学"</f>
        <v>聊城大学</v>
      </c>
      <c r="I124" s="7"/>
      <c r="J124" s="28">
        <v>70</v>
      </c>
      <c r="K124" s="28">
        <v>80.67</v>
      </c>
      <c r="L124" s="28">
        <v>79.6</v>
      </c>
      <c r="M124" s="25">
        <v>76.93</v>
      </c>
      <c r="N124" s="7">
        <v>5</v>
      </c>
      <c r="O124" s="29"/>
      <c r="P124" s="30"/>
    </row>
    <row r="125" spans="1:16" ht="15" customHeight="1">
      <c r="A125" s="9">
        <v>123</v>
      </c>
      <c r="B125" s="10" t="str">
        <f>"223108922"</f>
        <v>223108922</v>
      </c>
      <c r="C125" s="10" t="str">
        <f t="shared" si="25"/>
        <v>31</v>
      </c>
      <c r="D125" s="10" t="s">
        <v>80</v>
      </c>
      <c r="E125" s="10" t="str">
        <f>"洪成龙"</f>
        <v>洪成龙</v>
      </c>
      <c r="F125" s="10" t="str">
        <f t="shared" si="23"/>
        <v>本科</v>
      </c>
      <c r="G125" s="10" t="str">
        <f>"体育教育"</f>
        <v>体育教育</v>
      </c>
      <c r="H125" s="10" t="str">
        <f>"宿州学院"</f>
        <v>宿州学院</v>
      </c>
      <c r="I125" s="10"/>
      <c r="J125" s="31">
        <v>75</v>
      </c>
      <c r="K125" s="31">
        <v>74.67</v>
      </c>
      <c r="L125" s="31">
        <v>77.8</v>
      </c>
      <c r="M125" s="32">
        <v>76.33</v>
      </c>
      <c r="N125" s="10">
        <v>6</v>
      </c>
      <c r="O125" s="33"/>
      <c r="P125" s="34"/>
    </row>
    <row r="126" spans="1:16" ht="15" customHeight="1">
      <c r="A126" s="11">
        <v>124</v>
      </c>
      <c r="B126" s="8" t="str">
        <f>"223208416"</f>
        <v>223208416</v>
      </c>
      <c r="C126" s="8" t="str">
        <f aca="true" t="shared" si="26" ref="C126:C132">"32"</f>
        <v>32</v>
      </c>
      <c r="D126" s="8" t="s">
        <v>82</v>
      </c>
      <c r="E126" s="8" t="str">
        <f>"王新鹏"</f>
        <v>王新鹏</v>
      </c>
      <c r="F126" s="8" t="str">
        <f t="shared" si="23"/>
        <v>本科</v>
      </c>
      <c r="G126" s="8" t="str">
        <f>"体育教育"</f>
        <v>体育教育</v>
      </c>
      <c r="H126" s="8" t="str">
        <f>"盐城师范学院"</f>
        <v>盐城师范学院</v>
      </c>
      <c r="I126" s="8"/>
      <c r="J126" s="35">
        <v>80</v>
      </c>
      <c r="K126" s="35">
        <v>87.87</v>
      </c>
      <c r="L126" s="35">
        <v>78.2</v>
      </c>
      <c r="M126" s="36">
        <v>80.67</v>
      </c>
      <c r="N126" s="8">
        <v>2</v>
      </c>
      <c r="O126" s="37" t="s">
        <v>22</v>
      </c>
      <c r="P126" s="38" t="s">
        <v>83</v>
      </c>
    </row>
    <row r="127" spans="1:16" ht="15" customHeight="1">
      <c r="A127" s="5">
        <v>125</v>
      </c>
      <c r="B127" s="7" t="str">
        <f>"223208419"</f>
        <v>223208419</v>
      </c>
      <c r="C127" s="7" t="str">
        <f t="shared" si="26"/>
        <v>32</v>
      </c>
      <c r="D127" s="7" t="s">
        <v>82</v>
      </c>
      <c r="E127" s="7" t="str">
        <f>"杭梦琪"</f>
        <v>杭梦琪</v>
      </c>
      <c r="F127" s="7" t="str">
        <f t="shared" si="23"/>
        <v>本科</v>
      </c>
      <c r="G127" s="7" t="str">
        <f>"体育教育"</f>
        <v>体育教育</v>
      </c>
      <c r="H127" s="7" t="str">
        <f>"扬州大学"</f>
        <v>扬州大学</v>
      </c>
      <c r="I127" s="7"/>
      <c r="J127" s="28">
        <v>69</v>
      </c>
      <c r="K127" s="28">
        <v>86</v>
      </c>
      <c r="L127" s="28">
        <v>79</v>
      </c>
      <c r="M127" s="25">
        <v>77.4</v>
      </c>
      <c r="N127" s="7">
        <v>3</v>
      </c>
      <c r="O127" s="29"/>
      <c r="P127" s="30"/>
    </row>
    <row r="128" spans="1:16" ht="15" customHeight="1">
      <c r="A128" s="5">
        <v>126</v>
      </c>
      <c r="B128" s="7" t="str">
        <f>"223208404"</f>
        <v>223208404</v>
      </c>
      <c r="C128" s="7" t="str">
        <f t="shared" si="26"/>
        <v>32</v>
      </c>
      <c r="D128" s="7" t="s">
        <v>82</v>
      </c>
      <c r="E128" s="7" t="str">
        <f>"冉然"</f>
        <v>冉然</v>
      </c>
      <c r="F128" s="7" t="str">
        <f>"硕士研究生"</f>
        <v>硕士研究生</v>
      </c>
      <c r="G128" s="7" t="str">
        <f>"体育教学"</f>
        <v>体育教学</v>
      </c>
      <c r="H128" s="7" t="str">
        <f>"河北科技师范学院"</f>
        <v>河北科技师范学院</v>
      </c>
      <c r="I128" s="7"/>
      <c r="J128" s="28">
        <v>64</v>
      </c>
      <c r="K128" s="28">
        <v>76.17</v>
      </c>
      <c r="L128" s="28">
        <v>82.8</v>
      </c>
      <c r="M128" s="25">
        <v>75.83</v>
      </c>
      <c r="N128" s="7">
        <v>4</v>
      </c>
      <c r="O128" s="29"/>
      <c r="P128" s="30"/>
    </row>
    <row r="129" spans="1:16" ht="15" customHeight="1">
      <c r="A129" s="5">
        <v>127</v>
      </c>
      <c r="B129" s="7" t="str">
        <f>"223208417"</f>
        <v>223208417</v>
      </c>
      <c r="C129" s="7" t="str">
        <f t="shared" si="26"/>
        <v>32</v>
      </c>
      <c r="D129" s="7" t="s">
        <v>82</v>
      </c>
      <c r="E129" s="7" t="str">
        <f>"周志"</f>
        <v>周志</v>
      </c>
      <c r="F129" s="7" t="str">
        <f aca="true" t="shared" si="27" ref="F129:F132">"本科"</f>
        <v>本科</v>
      </c>
      <c r="G129" s="7" t="str">
        <f>"运动训练"</f>
        <v>运动训练</v>
      </c>
      <c r="H129" s="7" t="str">
        <f>"江苏师范大学"</f>
        <v>江苏师范大学</v>
      </c>
      <c r="I129" s="7" t="str">
        <f>"南京市江宁区禄口初级中学"</f>
        <v>南京市江宁区禄口初级中学</v>
      </c>
      <c r="J129" s="28">
        <v>69</v>
      </c>
      <c r="K129" s="28">
        <v>67.5</v>
      </c>
      <c r="L129" s="28">
        <v>80.2</v>
      </c>
      <c r="M129" s="25">
        <v>74.3</v>
      </c>
      <c r="N129" s="7">
        <v>5</v>
      </c>
      <c r="O129" s="29"/>
      <c r="P129" s="30"/>
    </row>
    <row r="130" spans="1:16" ht="15" customHeight="1">
      <c r="A130" s="5">
        <v>128</v>
      </c>
      <c r="B130" s="7" t="str">
        <f>"223208402"</f>
        <v>223208402</v>
      </c>
      <c r="C130" s="7" t="str">
        <f t="shared" si="26"/>
        <v>32</v>
      </c>
      <c r="D130" s="7" t="s">
        <v>82</v>
      </c>
      <c r="E130" s="7" t="str">
        <f>"钱雷"</f>
        <v>钱雷</v>
      </c>
      <c r="F130" s="7" t="str">
        <f t="shared" si="27"/>
        <v>本科</v>
      </c>
      <c r="G130" s="7" t="str">
        <f>"运动人体科学"</f>
        <v>运动人体科学</v>
      </c>
      <c r="H130" s="7" t="str">
        <f>"南京体育学院"</f>
        <v>南京体育学院</v>
      </c>
      <c r="I130" s="7"/>
      <c r="J130" s="28">
        <v>71</v>
      </c>
      <c r="K130" s="28">
        <v>64.67</v>
      </c>
      <c r="L130" s="28">
        <v>79.2</v>
      </c>
      <c r="M130" s="25">
        <v>73.83</v>
      </c>
      <c r="N130" s="7">
        <v>6</v>
      </c>
      <c r="O130" s="29"/>
      <c r="P130" s="30"/>
    </row>
    <row r="131" spans="1:16" ht="15" customHeight="1">
      <c r="A131" s="5">
        <v>129</v>
      </c>
      <c r="B131" s="7" t="str">
        <f>"223208710"</f>
        <v>223208710</v>
      </c>
      <c r="C131" s="7" t="str">
        <f t="shared" si="26"/>
        <v>32</v>
      </c>
      <c r="D131" s="7" t="s">
        <v>82</v>
      </c>
      <c r="E131" s="7" t="str">
        <f>"房建军"</f>
        <v>房建军</v>
      </c>
      <c r="F131" s="7" t="str">
        <f t="shared" si="27"/>
        <v>本科</v>
      </c>
      <c r="G131" s="7" t="str">
        <f>"体育教育"</f>
        <v>体育教育</v>
      </c>
      <c r="H131" s="7" t="str">
        <f>"武汉体育学院"</f>
        <v>武汉体育学院</v>
      </c>
      <c r="I131" s="7"/>
      <c r="J131" s="28">
        <v>70</v>
      </c>
      <c r="K131" s="28">
        <v>80.83</v>
      </c>
      <c r="L131" s="28">
        <v>73</v>
      </c>
      <c r="M131" s="25">
        <v>73.67</v>
      </c>
      <c r="N131" s="7">
        <v>7</v>
      </c>
      <c r="O131" s="29"/>
      <c r="P131" s="30"/>
    </row>
    <row r="132" spans="1:16" ht="15" customHeight="1">
      <c r="A132" s="9">
        <v>130</v>
      </c>
      <c r="B132" s="10" t="str">
        <f>"223208518"</f>
        <v>223208518</v>
      </c>
      <c r="C132" s="10" t="str">
        <f t="shared" si="26"/>
        <v>32</v>
      </c>
      <c r="D132" s="10" t="s">
        <v>82</v>
      </c>
      <c r="E132" s="10" t="str">
        <f>"王雨婷"</f>
        <v>王雨婷</v>
      </c>
      <c r="F132" s="10" t="str">
        <f t="shared" si="27"/>
        <v>本科</v>
      </c>
      <c r="G132" s="10" t="str">
        <f>"体育教育（师范）"</f>
        <v>体育教育（师范）</v>
      </c>
      <c r="H132" s="10" t="str">
        <f>"南通大学"</f>
        <v>南通大学</v>
      </c>
      <c r="I132" s="10"/>
      <c r="J132" s="31">
        <v>62</v>
      </c>
      <c r="K132" s="31">
        <v>76.5</v>
      </c>
      <c r="L132" s="31">
        <v>79.4</v>
      </c>
      <c r="M132" s="32">
        <v>73.6</v>
      </c>
      <c r="N132" s="10">
        <v>8</v>
      </c>
      <c r="O132" s="33"/>
      <c r="P132" s="34"/>
    </row>
    <row r="133" spans="1:16" ht="15" customHeight="1">
      <c r="A133" s="11">
        <v>131</v>
      </c>
      <c r="B133" s="8" t="str">
        <f>"223304316"</f>
        <v>223304316</v>
      </c>
      <c r="C133" s="8" t="str">
        <f aca="true" t="shared" si="28" ref="C133:C140">"33"</f>
        <v>33</v>
      </c>
      <c r="D133" s="8" t="s">
        <v>84</v>
      </c>
      <c r="E133" s="8" t="str">
        <f>"朱佳璐"</f>
        <v>朱佳璐</v>
      </c>
      <c r="F133" s="8" t="str">
        <f>"专科"</f>
        <v>专科</v>
      </c>
      <c r="G133" s="8" t="str">
        <f aca="true" t="shared" si="29" ref="G133">"体育教育"</f>
        <v>体育教育</v>
      </c>
      <c r="H133" s="8" t="str">
        <f>"南通师范高等专科学校"</f>
        <v>南通师范高等专科学校</v>
      </c>
      <c r="I133" s="8"/>
      <c r="J133" s="35">
        <v>83</v>
      </c>
      <c r="K133" s="35">
        <v>83</v>
      </c>
      <c r="L133" s="35">
        <v>84.1</v>
      </c>
      <c r="M133" s="36">
        <v>83.55</v>
      </c>
      <c r="N133" s="8">
        <v>2</v>
      </c>
      <c r="O133" s="37" t="s">
        <v>22</v>
      </c>
      <c r="P133" s="38" t="s">
        <v>85</v>
      </c>
    </row>
    <row r="134" spans="1:16" ht="15" customHeight="1">
      <c r="A134" s="5">
        <v>132</v>
      </c>
      <c r="B134" s="7" t="str">
        <f>"223303713"</f>
        <v>223303713</v>
      </c>
      <c r="C134" s="7" t="str">
        <f t="shared" si="28"/>
        <v>33</v>
      </c>
      <c r="D134" s="7" t="s">
        <v>84</v>
      </c>
      <c r="E134" s="7" t="str">
        <f>"魏凡"</f>
        <v>魏凡</v>
      </c>
      <c r="F134" s="7" t="str">
        <f>"本科"</f>
        <v>本科</v>
      </c>
      <c r="G134" s="7" t="str">
        <f>"社会体育指导与管理"</f>
        <v>社会体育指导与管理</v>
      </c>
      <c r="H134" s="7" t="str">
        <f>"淮阴师范学院"</f>
        <v>淮阴师范学院</v>
      </c>
      <c r="I134" s="7"/>
      <c r="J134" s="28">
        <v>81.5</v>
      </c>
      <c r="K134" s="28">
        <v>83</v>
      </c>
      <c r="L134" s="28">
        <v>83.6</v>
      </c>
      <c r="M134" s="25">
        <v>82.85</v>
      </c>
      <c r="N134" s="7">
        <v>3</v>
      </c>
      <c r="O134" s="29"/>
      <c r="P134" s="30"/>
    </row>
    <row r="135" spans="1:16" ht="15" customHeight="1">
      <c r="A135" s="5">
        <v>133</v>
      </c>
      <c r="B135" s="7" t="str">
        <f>"223304308"</f>
        <v>223304308</v>
      </c>
      <c r="C135" s="7" t="str">
        <f t="shared" si="28"/>
        <v>33</v>
      </c>
      <c r="D135" s="7" t="s">
        <v>84</v>
      </c>
      <c r="E135" s="7" t="str">
        <f>"陶清逸"</f>
        <v>陶清逸</v>
      </c>
      <c r="F135" s="7" t="str">
        <f>"专科"</f>
        <v>专科</v>
      </c>
      <c r="G135" s="7" t="str">
        <f>"小学体育教育"</f>
        <v>小学体育教育</v>
      </c>
      <c r="H135" s="7" t="str">
        <f>"南通高等师范专科学校"</f>
        <v>南通高等师范专科学校</v>
      </c>
      <c r="I135" s="7"/>
      <c r="J135" s="28">
        <v>75</v>
      </c>
      <c r="K135" s="28">
        <v>83.33</v>
      </c>
      <c r="L135" s="28">
        <v>85</v>
      </c>
      <c r="M135" s="25">
        <v>81.67</v>
      </c>
      <c r="N135" s="7">
        <v>4</v>
      </c>
      <c r="O135" s="29"/>
      <c r="P135" s="30"/>
    </row>
    <row r="136" spans="1:16" ht="15" customHeight="1">
      <c r="A136" s="5">
        <v>134</v>
      </c>
      <c r="B136" s="7" t="str">
        <f>"223304321"</f>
        <v>223304321</v>
      </c>
      <c r="C136" s="7" t="str">
        <f t="shared" si="28"/>
        <v>33</v>
      </c>
      <c r="D136" s="7" t="s">
        <v>84</v>
      </c>
      <c r="E136" s="7" t="str">
        <f>"李丙"</f>
        <v>李丙</v>
      </c>
      <c r="F136" s="7" t="str">
        <f>"本科"</f>
        <v>本科</v>
      </c>
      <c r="G136" s="7" t="str">
        <f>"体育教育"</f>
        <v>体育教育</v>
      </c>
      <c r="H136" s="7" t="str">
        <f>"运城学院"</f>
        <v>运城学院</v>
      </c>
      <c r="I136" s="7"/>
      <c r="J136" s="28">
        <v>87</v>
      </c>
      <c r="K136" s="28">
        <v>79.33</v>
      </c>
      <c r="L136" s="28">
        <v>78.2</v>
      </c>
      <c r="M136" s="25">
        <v>81.07</v>
      </c>
      <c r="N136" s="7">
        <v>5</v>
      </c>
      <c r="O136" s="29"/>
      <c r="P136" s="30"/>
    </row>
    <row r="137" spans="1:16" ht="15" customHeight="1">
      <c r="A137" s="5">
        <v>135</v>
      </c>
      <c r="B137" s="7" t="str">
        <f>"223303901"</f>
        <v>223303901</v>
      </c>
      <c r="C137" s="7" t="str">
        <f t="shared" si="28"/>
        <v>33</v>
      </c>
      <c r="D137" s="7" t="s">
        <v>84</v>
      </c>
      <c r="E137" s="7" t="str">
        <f>"韩炜程"</f>
        <v>韩炜程</v>
      </c>
      <c r="F137" s="7" t="str">
        <f>"专科"</f>
        <v>专科</v>
      </c>
      <c r="G137" s="7" t="str">
        <f>"小学教育（体育教育）"</f>
        <v>小学教育（体育教育）</v>
      </c>
      <c r="H137" s="7" t="str">
        <f>"南通师范高等专科学校"</f>
        <v>南通师范高等专科学校</v>
      </c>
      <c r="I137" s="7" t="str">
        <f>"南通市如皋市外国语小学"</f>
        <v>南通市如皋市外国语小学</v>
      </c>
      <c r="J137" s="28">
        <v>78</v>
      </c>
      <c r="K137" s="28">
        <v>85.67</v>
      </c>
      <c r="L137" s="28">
        <v>80.2</v>
      </c>
      <c r="M137" s="25">
        <v>80.63</v>
      </c>
      <c r="N137" s="7">
        <v>6</v>
      </c>
      <c r="O137" s="29"/>
      <c r="P137" s="30"/>
    </row>
    <row r="138" spans="1:16" ht="15" customHeight="1">
      <c r="A138" s="5">
        <v>136</v>
      </c>
      <c r="B138" s="7" t="str">
        <f>"223303830"</f>
        <v>223303830</v>
      </c>
      <c r="C138" s="7" t="str">
        <f t="shared" si="28"/>
        <v>33</v>
      </c>
      <c r="D138" s="7" t="s">
        <v>84</v>
      </c>
      <c r="E138" s="7" t="str">
        <f>"冯子潇"</f>
        <v>冯子潇</v>
      </c>
      <c r="F138" s="7" t="str">
        <f>"专科"</f>
        <v>专科</v>
      </c>
      <c r="G138" s="7" t="str">
        <f>"小学教育（体育教育）"</f>
        <v>小学教育（体育教育）</v>
      </c>
      <c r="H138" s="7" t="str">
        <f>"南通师范高等专科学校"</f>
        <v>南通师范高等专科学校</v>
      </c>
      <c r="I138" s="7"/>
      <c r="J138" s="28">
        <v>79</v>
      </c>
      <c r="K138" s="28">
        <v>84.33</v>
      </c>
      <c r="L138" s="28">
        <v>79.9</v>
      </c>
      <c r="M138" s="25">
        <v>80.52</v>
      </c>
      <c r="N138" s="7">
        <v>7</v>
      </c>
      <c r="O138" s="29"/>
      <c r="P138" s="30"/>
    </row>
    <row r="139" spans="1:16" ht="15" customHeight="1">
      <c r="A139" s="5">
        <v>137</v>
      </c>
      <c r="B139" s="7" t="str">
        <f>"223304109"</f>
        <v>223304109</v>
      </c>
      <c r="C139" s="7" t="str">
        <f t="shared" si="28"/>
        <v>33</v>
      </c>
      <c r="D139" s="7" t="s">
        <v>84</v>
      </c>
      <c r="E139" s="7" t="str">
        <f>"徐严"</f>
        <v>徐严</v>
      </c>
      <c r="F139" s="7" t="str">
        <f>"本科"</f>
        <v>本科</v>
      </c>
      <c r="G139" s="7" t="str">
        <f>"社会体育指导与管理"</f>
        <v>社会体育指导与管理</v>
      </c>
      <c r="H139" s="7" t="str">
        <f>"盐城师范学院"</f>
        <v>盐城师范学院</v>
      </c>
      <c r="I139" s="7"/>
      <c r="J139" s="28">
        <v>80</v>
      </c>
      <c r="K139" s="28">
        <v>78.67</v>
      </c>
      <c r="L139" s="28">
        <v>81.4</v>
      </c>
      <c r="M139" s="25">
        <v>80.43</v>
      </c>
      <c r="N139" s="7">
        <v>8</v>
      </c>
      <c r="O139" s="29"/>
      <c r="P139" s="30"/>
    </row>
    <row r="140" spans="1:16" ht="15" customHeight="1">
      <c r="A140" s="9">
        <v>138</v>
      </c>
      <c r="B140" s="10" t="str">
        <f>"223304312"</f>
        <v>223304312</v>
      </c>
      <c r="C140" s="10" t="str">
        <f t="shared" si="28"/>
        <v>33</v>
      </c>
      <c r="D140" s="10" t="s">
        <v>84</v>
      </c>
      <c r="E140" s="10" t="str">
        <f>"袁睿"</f>
        <v>袁睿</v>
      </c>
      <c r="F140" s="10" t="str">
        <f>"本科"</f>
        <v>本科</v>
      </c>
      <c r="G140" s="10" t="str">
        <f>"运动训练"</f>
        <v>运动训练</v>
      </c>
      <c r="H140" s="10" t="str">
        <f>"西安体育学院"</f>
        <v>西安体育学院</v>
      </c>
      <c r="I140" s="10"/>
      <c r="J140" s="31">
        <v>74.5</v>
      </c>
      <c r="K140" s="31">
        <v>80.67</v>
      </c>
      <c r="L140" s="31">
        <v>83.8</v>
      </c>
      <c r="M140" s="32">
        <v>80.38</v>
      </c>
      <c r="N140" s="10">
        <v>9</v>
      </c>
      <c r="O140" s="33"/>
      <c r="P140" s="34"/>
    </row>
    <row r="141" spans="1:16" ht="15" customHeight="1">
      <c r="A141" s="11">
        <v>139</v>
      </c>
      <c r="B141" s="8" t="str">
        <f>"223404129"</f>
        <v>223404129</v>
      </c>
      <c r="C141" s="8" t="str">
        <f aca="true" t="shared" si="30" ref="C141:C150">"34"</f>
        <v>34</v>
      </c>
      <c r="D141" s="8" t="s">
        <v>84</v>
      </c>
      <c r="E141" s="8" t="str">
        <f>"张哲"</f>
        <v>张哲</v>
      </c>
      <c r="F141" s="8" t="str">
        <f aca="true" t="shared" si="31" ref="F141:F146">"专科"</f>
        <v>专科</v>
      </c>
      <c r="G141" s="8" t="str">
        <f>"体育教育"</f>
        <v>体育教育</v>
      </c>
      <c r="H141" s="8" t="str">
        <f>"扬州市职业大学"</f>
        <v>扬州市职业大学</v>
      </c>
      <c r="I141" s="8"/>
      <c r="J141" s="35">
        <v>77.5</v>
      </c>
      <c r="K141" s="35">
        <v>87.73</v>
      </c>
      <c r="L141" s="35">
        <v>85.4</v>
      </c>
      <c r="M141" s="36">
        <v>83.5</v>
      </c>
      <c r="N141" s="8">
        <v>1</v>
      </c>
      <c r="O141" s="37"/>
      <c r="P141" s="38" t="s">
        <v>86</v>
      </c>
    </row>
    <row r="142" spans="1:16" ht="15" customHeight="1">
      <c r="A142" s="5">
        <v>140</v>
      </c>
      <c r="B142" s="7" t="str">
        <f>"223404004"</f>
        <v>223404004</v>
      </c>
      <c r="C142" s="7" t="str">
        <f t="shared" si="30"/>
        <v>34</v>
      </c>
      <c r="D142" s="7" t="s">
        <v>84</v>
      </c>
      <c r="E142" s="7" t="str">
        <f>"黄邹宇"</f>
        <v>黄邹宇</v>
      </c>
      <c r="F142" s="7" t="str">
        <f t="shared" si="31"/>
        <v>专科</v>
      </c>
      <c r="G142" s="7" t="str">
        <f>"体育教育"</f>
        <v>体育教育</v>
      </c>
      <c r="H142" s="7" t="str">
        <f>"扬州市职业大学"</f>
        <v>扬州市职业大学</v>
      </c>
      <c r="I142" s="7" t="str">
        <f>"江苏大丰港水务发展有限公司"</f>
        <v>江苏大丰港水务发展有限公司</v>
      </c>
      <c r="J142" s="28">
        <v>84.5</v>
      </c>
      <c r="K142" s="28">
        <v>83.33</v>
      </c>
      <c r="L142" s="28">
        <v>81.16</v>
      </c>
      <c r="M142" s="25">
        <v>82.6</v>
      </c>
      <c r="N142" s="7">
        <v>2</v>
      </c>
      <c r="O142" s="29"/>
      <c r="P142" s="30"/>
    </row>
    <row r="143" spans="1:16" ht="15" customHeight="1">
      <c r="A143" s="5">
        <v>141</v>
      </c>
      <c r="B143" s="7" t="str">
        <f>"223404521"</f>
        <v>223404521</v>
      </c>
      <c r="C143" s="7" t="str">
        <f t="shared" si="30"/>
        <v>34</v>
      </c>
      <c r="D143" s="7" t="s">
        <v>84</v>
      </c>
      <c r="E143" s="7" t="str">
        <f>"陈文杰"</f>
        <v>陈文杰</v>
      </c>
      <c r="F143" s="7" t="str">
        <f t="shared" si="31"/>
        <v>专科</v>
      </c>
      <c r="G143" s="7" t="str">
        <f>"体育教育"</f>
        <v>体育教育</v>
      </c>
      <c r="H143" s="7" t="str">
        <f>"南通师范高等专科学校"</f>
        <v>南通师范高等专科学校</v>
      </c>
      <c r="I143" s="7"/>
      <c r="J143" s="28">
        <v>78</v>
      </c>
      <c r="K143" s="28">
        <v>82.53</v>
      </c>
      <c r="L143" s="28">
        <v>84.3</v>
      </c>
      <c r="M143" s="25">
        <v>82.06</v>
      </c>
      <c r="N143" s="7">
        <v>3</v>
      </c>
      <c r="O143" s="29"/>
      <c r="P143" s="30"/>
    </row>
    <row r="144" spans="1:16" ht="15" customHeight="1">
      <c r="A144" s="5">
        <v>142</v>
      </c>
      <c r="B144" s="7" t="str">
        <f>"223404526"</f>
        <v>223404526</v>
      </c>
      <c r="C144" s="12" t="str">
        <f t="shared" si="30"/>
        <v>34</v>
      </c>
      <c r="D144" s="12" t="s">
        <v>84</v>
      </c>
      <c r="E144" s="12" t="str">
        <f>"陶旸"</f>
        <v>陶旸</v>
      </c>
      <c r="F144" s="7" t="str">
        <f t="shared" si="31"/>
        <v>专科</v>
      </c>
      <c r="G144" s="7" t="str">
        <f>"体育教育"</f>
        <v>体育教育</v>
      </c>
      <c r="H144" s="7" t="str">
        <f>"南通师范高等专科学校"</f>
        <v>南通师范高等专科学校</v>
      </c>
      <c r="I144" s="7" t="str">
        <f>"南通经贸技工学校"</f>
        <v>南通经贸技工学校</v>
      </c>
      <c r="J144" s="28">
        <v>82.5</v>
      </c>
      <c r="K144" s="28">
        <v>84.17</v>
      </c>
      <c r="L144" s="28">
        <v>80.62</v>
      </c>
      <c r="M144" s="25">
        <v>81.89</v>
      </c>
      <c r="N144" s="7">
        <v>4</v>
      </c>
      <c r="O144" s="29"/>
      <c r="P144" s="30"/>
    </row>
    <row r="145" spans="1:16" ht="15" customHeight="1">
      <c r="A145" s="5">
        <v>143</v>
      </c>
      <c r="B145" s="7" t="str">
        <f>"223404111"</f>
        <v>223404111</v>
      </c>
      <c r="C145" s="7" t="str">
        <f t="shared" si="30"/>
        <v>34</v>
      </c>
      <c r="D145" s="7" t="s">
        <v>84</v>
      </c>
      <c r="E145" s="7" t="str">
        <f>"何嘉南"</f>
        <v>何嘉南</v>
      </c>
      <c r="F145" s="7" t="str">
        <f t="shared" si="31"/>
        <v>专科</v>
      </c>
      <c r="G145" s="7" t="str">
        <f>"体育教育"</f>
        <v>体育教育</v>
      </c>
      <c r="H145" s="7" t="str">
        <f>"扬州市职业大学"</f>
        <v>扬州市职业大学</v>
      </c>
      <c r="I145" s="23"/>
      <c r="J145" s="24">
        <v>79.5</v>
      </c>
      <c r="K145" s="24">
        <v>78.5</v>
      </c>
      <c r="L145" s="24">
        <v>84.34</v>
      </c>
      <c r="M145" s="25">
        <v>81.72</v>
      </c>
      <c r="N145" s="7">
        <v>5</v>
      </c>
      <c r="O145" s="29"/>
      <c r="P145" s="30"/>
    </row>
    <row r="146" spans="1:16" ht="15" customHeight="1">
      <c r="A146" s="5">
        <v>144</v>
      </c>
      <c r="B146" s="7" t="str">
        <f>"223404315"</f>
        <v>223404315</v>
      </c>
      <c r="C146" s="8" t="str">
        <f t="shared" si="30"/>
        <v>34</v>
      </c>
      <c r="D146" s="8" t="s">
        <v>84</v>
      </c>
      <c r="E146" s="8" t="str">
        <f>"王巍"</f>
        <v>王巍</v>
      </c>
      <c r="F146" s="7" t="str">
        <f t="shared" si="31"/>
        <v>专科</v>
      </c>
      <c r="G146" s="7" t="str">
        <f>"体育教育（师范）"</f>
        <v>体育教育（师范）</v>
      </c>
      <c r="H146" s="7" t="str">
        <f>"苏州市职业大学"</f>
        <v>苏州市职业大学</v>
      </c>
      <c r="I146" s="7" t="str">
        <f>"苏州市平江实验学校"</f>
        <v>苏州市平江实验学校</v>
      </c>
      <c r="J146" s="28">
        <v>78</v>
      </c>
      <c r="K146" s="28">
        <v>78.17</v>
      </c>
      <c r="L146" s="28">
        <v>82.52</v>
      </c>
      <c r="M146" s="25">
        <v>80.29</v>
      </c>
      <c r="N146" s="7">
        <v>6</v>
      </c>
      <c r="O146" s="29"/>
      <c r="P146" s="30"/>
    </row>
    <row r="147" spans="1:16" ht="15" customHeight="1">
      <c r="A147" s="5">
        <v>145</v>
      </c>
      <c r="B147" s="7" t="str">
        <f>"223404304"</f>
        <v>223404304</v>
      </c>
      <c r="C147" s="7" t="str">
        <f t="shared" si="30"/>
        <v>34</v>
      </c>
      <c r="D147" s="7" t="s">
        <v>84</v>
      </c>
      <c r="E147" s="7" t="str">
        <f>"钱天玲"</f>
        <v>钱天玲</v>
      </c>
      <c r="F147" s="7" t="str">
        <f>"本科"</f>
        <v>本科</v>
      </c>
      <c r="G147" s="7" t="str">
        <f>"社会体育指导与管理"</f>
        <v>社会体育指导与管理</v>
      </c>
      <c r="H147" s="7" t="str">
        <f>"盐城师范学院"</f>
        <v>盐城师范学院</v>
      </c>
      <c r="I147" s="7"/>
      <c r="J147" s="28">
        <v>80</v>
      </c>
      <c r="K147" s="28">
        <v>73.37</v>
      </c>
      <c r="L147" s="28">
        <v>82.34</v>
      </c>
      <c r="M147" s="25">
        <v>79.84</v>
      </c>
      <c r="N147" s="7">
        <v>7</v>
      </c>
      <c r="O147" s="29"/>
      <c r="P147" s="30"/>
    </row>
    <row r="148" spans="1:16" ht="15" customHeight="1">
      <c r="A148" s="5">
        <v>146</v>
      </c>
      <c r="B148" s="7" t="str">
        <f>"223404421"</f>
        <v>223404421</v>
      </c>
      <c r="C148" s="7" t="str">
        <f t="shared" si="30"/>
        <v>34</v>
      </c>
      <c r="D148" s="7" t="s">
        <v>84</v>
      </c>
      <c r="E148" s="7" t="str">
        <f>"杨洁"</f>
        <v>杨洁</v>
      </c>
      <c r="F148" s="7" t="str">
        <f>"本科"</f>
        <v>本科</v>
      </c>
      <c r="G148" s="7" t="str">
        <f>"社会体育指导与管理"</f>
        <v>社会体育指导与管理</v>
      </c>
      <c r="H148" s="7" t="str">
        <f>"盐城师范学院"</f>
        <v>盐城师范学院</v>
      </c>
      <c r="I148" s="7"/>
      <c r="J148" s="28">
        <v>75.5</v>
      </c>
      <c r="K148" s="28">
        <v>76.4</v>
      </c>
      <c r="L148" s="28">
        <v>83.8</v>
      </c>
      <c r="M148" s="25">
        <v>79.83</v>
      </c>
      <c r="N148" s="7">
        <v>8</v>
      </c>
      <c r="O148" s="29"/>
      <c r="P148" s="30"/>
    </row>
    <row r="149" spans="1:16" ht="15" customHeight="1">
      <c r="A149" s="5">
        <v>147</v>
      </c>
      <c r="B149" s="7" t="str">
        <f>"223404505"</f>
        <v>223404505</v>
      </c>
      <c r="C149" s="7" t="str">
        <f t="shared" si="30"/>
        <v>34</v>
      </c>
      <c r="D149" s="7" t="s">
        <v>84</v>
      </c>
      <c r="E149" s="7" t="str">
        <f>"季强"</f>
        <v>季强</v>
      </c>
      <c r="F149" s="7" t="str">
        <f>"专科"</f>
        <v>专科</v>
      </c>
      <c r="G149" s="7" t="str">
        <f>"体育教育"</f>
        <v>体育教育</v>
      </c>
      <c r="H149" s="7" t="str">
        <f>"江苏第二师范学院"</f>
        <v>江苏第二师范学院</v>
      </c>
      <c r="I149" s="7" t="str">
        <f>"海安市海陵中学"</f>
        <v>海安市海陵中学</v>
      </c>
      <c r="J149" s="28">
        <v>73.5</v>
      </c>
      <c r="K149" s="28">
        <v>77.93</v>
      </c>
      <c r="L149" s="28">
        <v>84.3</v>
      </c>
      <c r="M149" s="25">
        <v>79.79</v>
      </c>
      <c r="N149" s="7">
        <v>9</v>
      </c>
      <c r="O149" s="29"/>
      <c r="P149" s="30"/>
    </row>
    <row r="150" spans="1:16" ht="15" customHeight="1">
      <c r="A150" s="9">
        <v>148</v>
      </c>
      <c r="B150" s="10" t="str">
        <f>"223404126"</f>
        <v>223404126</v>
      </c>
      <c r="C150" s="10" t="str">
        <f t="shared" si="30"/>
        <v>34</v>
      </c>
      <c r="D150" s="10" t="s">
        <v>84</v>
      </c>
      <c r="E150" s="10" t="str">
        <f>"杭斌"</f>
        <v>杭斌</v>
      </c>
      <c r="F150" s="10" t="str">
        <f>"专科"</f>
        <v>专科</v>
      </c>
      <c r="G150" s="10" t="str">
        <f>"体育服务与管理（高尔夫管理）"</f>
        <v>体育服务与管理（高尔夫管理）</v>
      </c>
      <c r="H150" s="10" t="str">
        <f>"江苏经贸职业技术学院"</f>
        <v>江苏经贸职业技术学院</v>
      </c>
      <c r="I150" s="10" t="str">
        <f>"徐州康禹健身器材有限公司"</f>
        <v>徐州康禹健身器材有限公司</v>
      </c>
      <c r="J150" s="31">
        <v>83.5</v>
      </c>
      <c r="K150" s="31">
        <v>71.47</v>
      </c>
      <c r="L150" s="31">
        <v>80.9</v>
      </c>
      <c r="M150" s="32">
        <v>79.79</v>
      </c>
      <c r="N150" s="10">
        <v>10</v>
      </c>
      <c r="O150" s="33"/>
      <c r="P150" s="34"/>
    </row>
    <row r="151" spans="1:16" ht="15" customHeight="1">
      <c r="A151" s="11">
        <v>149</v>
      </c>
      <c r="B151" s="8" t="str">
        <f>"223504204"</f>
        <v>223504204</v>
      </c>
      <c r="C151" s="8" t="str">
        <f aca="true" t="shared" si="32" ref="C151:C160">"35"</f>
        <v>35</v>
      </c>
      <c r="D151" s="8" t="s">
        <v>84</v>
      </c>
      <c r="E151" s="8" t="str">
        <f>"胡悦"</f>
        <v>胡悦</v>
      </c>
      <c r="F151" s="8" t="str">
        <f aca="true" t="shared" si="33" ref="F151:F154">"专科"</f>
        <v>专科</v>
      </c>
      <c r="G151" s="8" t="str">
        <f>"体育教育"</f>
        <v>体育教育</v>
      </c>
      <c r="H151" s="8" t="str">
        <f>"扬州市职业大学"</f>
        <v>扬州市职业大学</v>
      </c>
      <c r="I151" s="45"/>
      <c r="J151" s="46">
        <v>80.5</v>
      </c>
      <c r="K151" s="46">
        <v>96</v>
      </c>
      <c r="L151" s="46">
        <v>83.4</v>
      </c>
      <c r="M151" s="36">
        <v>85.05</v>
      </c>
      <c r="N151" s="8">
        <v>1</v>
      </c>
      <c r="O151" s="37"/>
      <c r="P151" s="38" t="s">
        <v>87</v>
      </c>
    </row>
    <row r="152" spans="1:16" ht="15" customHeight="1">
      <c r="A152" s="5">
        <v>150</v>
      </c>
      <c r="B152" s="7" t="str">
        <f>"223503810"</f>
        <v>223503810</v>
      </c>
      <c r="C152" s="8" t="str">
        <f t="shared" si="32"/>
        <v>35</v>
      </c>
      <c r="D152" s="8" t="s">
        <v>84</v>
      </c>
      <c r="E152" s="8" t="str">
        <f>"刘为辰"</f>
        <v>刘为辰</v>
      </c>
      <c r="F152" s="7" t="str">
        <f t="shared" si="33"/>
        <v>专科</v>
      </c>
      <c r="G152" s="7" t="str">
        <f>"体育教育"</f>
        <v>体育教育</v>
      </c>
      <c r="H152" s="7" t="str">
        <f>"南通师范高等专科学校"</f>
        <v>南通师范高等专科学校</v>
      </c>
      <c r="I152" s="7"/>
      <c r="J152" s="28">
        <v>81</v>
      </c>
      <c r="K152" s="28">
        <v>89</v>
      </c>
      <c r="L152" s="28">
        <v>83.8</v>
      </c>
      <c r="M152" s="25">
        <v>84</v>
      </c>
      <c r="N152" s="7">
        <v>2</v>
      </c>
      <c r="O152" s="29"/>
      <c r="P152" s="30"/>
    </row>
    <row r="153" spans="1:16" ht="15" customHeight="1">
      <c r="A153" s="5">
        <v>151</v>
      </c>
      <c r="B153" s="7" t="str">
        <f>"223504012"</f>
        <v>223504012</v>
      </c>
      <c r="C153" s="7" t="str">
        <f t="shared" si="32"/>
        <v>35</v>
      </c>
      <c r="D153" s="7" t="s">
        <v>84</v>
      </c>
      <c r="E153" s="7" t="str">
        <f>"吴李睿"</f>
        <v>吴李睿</v>
      </c>
      <c r="F153" s="7" t="str">
        <f t="shared" si="33"/>
        <v>专科</v>
      </c>
      <c r="G153" s="7" t="str">
        <f>"小学体育教育"</f>
        <v>小学体育教育</v>
      </c>
      <c r="H153" s="7" t="str">
        <f>"南通高等师范专科学校"</f>
        <v>南通高等师范专科学校</v>
      </c>
      <c r="I153" s="7"/>
      <c r="J153" s="28">
        <v>76.5</v>
      </c>
      <c r="K153" s="28">
        <v>91.67</v>
      </c>
      <c r="L153" s="28">
        <v>84.4</v>
      </c>
      <c r="M153" s="25">
        <v>83.48</v>
      </c>
      <c r="N153" s="7">
        <v>3</v>
      </c>
      <c r="O153" s="29"/>
      <c r="P153" s="30"/>
    </row>
    <row r="154" spans="1:16" ht="15" customHeight="1">
      <c r="A154" s="5">
        <v>152</v>
      </c>
      <c r="B154" s="7" t="str">
        <f>"223504323"</f>
        <v>223504323</v>
      </c>
      <c r="C154" s="7" t="str">
        <f t="shared" si="32"/>
        <v>35</v>
      </c>
      <c r="D154" s="7" t="s">
        <v>84</v>
      </c>
      <c r="E154" s="7" t="str">
        <f>"林佳"</f>
        <v>林佳</v>
      </c>
      <c r="F154" s="7" t="str">
        <f t="shared" si="33"/>
        <v>专科</v>
      </c>
      <c r="G154" s="7" t="str">
        <f>"体育教育"</f>
        <v>体育教育</v>
      </c>
      <c r="H154" s="7" t="str">
        <f>"南通师范高等专科学校"</f>
        <v>南通师范高等专科学校</v>
      </c>
      <c r="I154" s="7"/>
      <c r="J154" s="28">
        <v>76</v>
      </c>
      <c r="K154" s="28">
        <v>88.33</v>
      </c>
      <c r="L154" s="28">
        <v>83.8</v>
      </c>
      <c r="M154" s="25">
        <v>82.37</v>
      </c>
      <c r="N154" s="7">
        <v>4</v>
      </c>
      <c r="O154" s="29"/>
      <c r="P154" s="30"/>
    </row>
    <row r="155" spans="1:16" ht="15" customHeight="1">
      <c r="A155" s="5">
        <v>153</v>
      </c>
      <c r="B155" s="7" t="str">
        <f>"223504518"</f>
        <v>223504518</v>
      </c>
      <c r="C155" s="7" t="str">
        <f t="shared" si="32"/>
        <v>35</v>
      </c>
      <c r="D155" s="7" t="s">
        <v>84</v>
      </c>
      <c r="E155" s="7" t="str">
        <f>"陈旭东"</f>
        <v>陈旭东</v>
      </c>
      <c r="F155" s="7" t="str">
        <f>"本科"</f>
        <v>本科</v>
      </c>
      <c r="G155" s="7" t="str">
        <f>"社会体育指导与管理"</f>
        <v>社会体育指导与管理</v>
      </c>
      <c r="H155" s="7" t="str">
        <f>"盐城师范学院"</f>
        <v>盐城师范学院</v>
      </c>
      <c r="I155" s="7"/>
      <c r="J155" s="28">
        <v>88</v>
      </c>
      <c r="K155" s="28">
        <v>83.33</v>
      </c>
      <c r="L155" s="28">
        <v>78.6</v>
      </c>
      <c r="M155" s="25">
        <v>82.37</v>
      </c>
      <c r="N155" s="7">
        <v>5</v>
      </c>
      <c r="O155" s="29"/>
      <c r="P155" s="30"/>
    </row>
    <row r="156" spans="1:16" ht="15" customHeight="1">
      <c r="A156" s="5">
        <v>154</v>
      </c>
      <c r="B156" s="7" t="str">
        <f>"223504211"</f>
        <v>223504211</v>
      </c>
      <c r="C156" s="12" t="str">
        <f t="shared" si="32"/>
        <v>35</v>
      </c>
      <c r="D156" s="12" t="s">
        <v>84</v>
      </c>
      <c r="E156" s="12" t="str">
        <f>"朱葛滕宇"</f>
        <v>朱葛滕宇</v>
      </c>
      <c r="F156" s="7" t="str">
        <f>"专科"</f>
        <v>专科</v>
      </c>
      <c r="G156" s="7" t="str">
        <f>"体育教育"</f>
        <v>体育教育</v>
      </c>
      <c r="H156" s="7" t="str">
        <f>"南通师范高等专科学校"</f>
        <v>南通师范高等专科学校</v>
      </c>
      <c r="I156" s="7" t="str">
        <f>"北城小学"</f>
        <v>北城小学</v>
      </c>
      <c r="J156" s="28">
        <v>74.5</v>
      </c>
      <c r="K156" s="28">
        <v>87.67</v>
      </c>
      <c r="L156" s="28">
        <v>84.4</v>
      </c>
      <c r="M156" s="25">
        <v>82.08</v>
      </c>
      <c r="N156" s="7">
        <v>6</v>
      </c>
      <c r="O156" s="29"/>
      <c r="P156" s="30"/>
    </row>
    <row r="157" spans="1:16" ht="15" customHeight="1">
      <c r="A157" s="5">
        <v>155</v>
      </c>
      <c r="B157" s="7" t="str">
        <f>"223504023"</f>
        <v>223504023</v>
      </c>
      <c r="C157" s="7" t="str">
        <f t="shared" si="32"/>
        <v>35</v>
      </c>
      <c r="D157" s="7" t="s">
        <v>84</v>
      </c>
      <c r="E157" s="7" t="str">
        <f>"陈燕"</f>
        <v>陈燕</v>
      </c>
      <c r="F157" s="7" t="str">
        <f>"本科"</f>
        <v>本科</v>
      </c>
      <c r="G157" s="7" t="str">
        <f>"体育教育"</f>
        <v>体育教育</v>
      </c>
      <c r="H157" s="7" t="str">
        <f>"石家庄学院"</f>
        <v>石家庄学院</v>
      </c>
      <c r="I157" s="23" t="str">
        <f>"徐州新沂市北京路小学"</f>
        <v>徐州新沂市北京路小学</v>
      </c>
      <c r="J157" s="24">
        <v>75.5</v>
      </c>
      <c r="K157" s="24">
        <v>87</v>
      </c>
      <c r="L157" s="24">
        <v>83.2</v>
      </c>
      <c r="M157" s="25">
        <v>81.65</v>
      </c>
      <c r="N157" s="7">
        <v>7</v>
      </c>
      <c r="O157" s="29"/>
      <c r="P157" s="30"/>
    </row>
    <row r="158" spans="1:16" ht="15" customHeight="1">
      <c r="A158" s="5">
        <v>156</v>
      </c>
      <c r="B158" s="7" t="str">
        <f>"223504309"</f>
        <v>223504309</v>
      </c>
      <c r="C158" s="49" t="str">
        <f t="shared" si="32"/>
        <v>35</v>
      </c>
      <c r="D158" s="49" t="s">
        <v>84</v>
      </c>
      <c r="E158" s="49" t="str">
        <f>"钱嘉琦"</f>
        <v>钱嘉琦</v>
      </c>
      <c r="F158" s="7" t="str">
        <f>"专科"</f>
        <v>专科</v>
      </c>
      <c r="G158" s="7" t="str">
        <f>"小学体育教育"</f>
        <v>小学体育教育</v>
      </c>
      <c r="H158" s="7" t="str">
        <f>"南通师范高等专科学校"</f>
        <v>南通师范高等专科学校</v>
      </c>
      <c r="I158" s="7" t="str">
        <f>"南通高等师范学校附属小学"</f>
        <v>南通高等师范学校附属小学</v>
      </c>
      <c r="J158" s="28">
        <v>74.5</v>
      </c>
      <c r="K158" s="28">
        <v>87.33</v>
      </c>
      <c r="L158" s="28">
        <v>82</v>
      </c>
      <c r="M158" s="25">
        <v>80.82</v>
      </c>
      <c r="N158" s="7">
        <v>8</v>
      </c>
      <c r="O158" s="29"/>
      <c r="P158" s="30"/>
    </row>
    <row r="159" spans="1:16" ht="15" customHeight="1">
      <c r="A159" s="5">
        <v>157</v>
      </c>
      <c r="B159" s="7" t="str">
        <f>"223504407"</f>
        <v>223504407</v>
      </c>
      <c r="C159" s="7" t="str">
        <f t="shared" si="32"/>
        <v>35</v>
      </c>
      <c r="D159" s="7" t="s">
        <v>84</v>
      </c>
      <c r="E159" s="7" t="str">
        <f>"陈符蓉"</f>
        <v>陈符蓉</v>
      </c>
      <c r="F159" s="7" t="str">
        <f>"专科"</f>
        <v>专科</v>
      </c>
      <c r="G159" s="7" t="str">
        <f>"小学体育教育"</f>
        <v>小学体育教育</v>
      </c>
      <c r="H159" s="7" t="str">
        <f>"南通师范高等专科学校"</f>
        <v>南通师范高等专科学校</v>
      </c>
      <c r="I159" s="23"/>
      <c r="J159" s="24">
        <v>75</v>
      </c>
      <c r="K159" s="24">
        <v>95.33</v>
      </c>
      <c r="L159" s="24">
        <v>78.4</v>
      </c>
      <c r="M159" s="25">
        <v>80.77</v>
      </c>
      <c r="N159" s="7">
        <v>9</v>
      </c>
      <c r="O159" s="29"/>
      <c r="P159" s="30"/>
    </row>
    <row r="160" spans="1:16" ht="15" customHeight="1">
      <c r="A160" s="9">
        <v>158</v>
      </c>
      <c r="B160" s="10" t="str">
        <f>"223503709"</f>
        <v>223503709</v>
      </c>
      <c r="C160" s="13" t="str">
        <f t="shared" si="32"/>
        <v>35</v>
      </c>
      <c r="D160" s="13" t="s">
        <v>84</v>
      </c>
      <c r="E160" s="13" t="str">
        <f>"邹斌"</f>
        <v>邹斌</v>
      </c>
      <c r="F160" s="10" t="str">
        <f>"专科"</f>
        <v>专科</v>
      </c>
      <c r="G160" s="10" t="str">
        <f>"体育教育"</f>
        <v>体育教育</v>
      </c>
      <c r="H160" s="10" t="str">
        <f>"南通师范高等专科学校"</f>
        <v>南通师范高等专科学校</v>
      </c>
      <c r="I160" s="10"/>
      <c r="J160" s="31">
        <v>81</v>
      </c>
      <c r="K160" s="31">
        <v>81</v>
      </c>
      <c r="L160" s="31">
        <v>80</v>
      </c>
      <c r="M160" s="32">
        <v>80.5</v>
      </c>
      <c r="N160" s="10">
        <v>10</v>
      </c>
      <c r="O160" s="33"/>
      <c r="P160" s="34"/>
    </row>
    <row r="161" spans="1:16" ht="15" customHeight="1">
      <c r="A161" s="11">
        <v>159</v>
      </c>
      <c r="B161" s="8" t="str">
        <f>"223605413"</f>
        <v>223605413</v>
      </c>
      <c r="C161" s="8" t="str">
        <f aca="true" t="shared" si="34" ref="C161:C165">"36"</f>
        <v>36</v>
      </c>
      <c r="D161" s="8" t="s">
        <v>88</v>
      </c>
      <c r="E161" s="8" t="str">
        <f>"陈天悦"</f>
        <v>陈天悦</v>
      </c>
      <c r="F161" s="8" t="str">
        <f aca="true" t="shared" si="35" ref="F161:F179">"本科"</f>
        <v>本科</v>
      </c>
      <c r="G161" s="8" t="str">
        <f>"服装与服饰设计"</f>
        <v>服装与服饰设计</v>
      </c>
      <c r="H161" s="8" t="str">
        <f>"武汉设计工程学院"</f>
        <v>武汉设计工程学院</v>
      </c>
      <c r="I161" s="8" t="str">
        <f>"邢台市经济开发区汇文双语学校"</f>
        <v>邢台市经济开发区汇文双语学校</v>
      </c>
      <c r="J161" s="35">
        <v>89</v>
      </c>
      <c r="K161" s="35">
        <v>84.67</v>
      </c>
      <c r="L161" s="35">
        <v>79.6</v>
      </c>
      <c r="M161" s="36">
        <v>83.43</v>
      </c>
      <c r="N161" s="8">
        <v>2</v>
      </c>
      <c r="O161" s="37" t="s">
        <v>89</v>
      </c>
      <c r="P161" s="38" t="s">
        <v>90</v>
      </c>
    </row>
    <row r="162" spans="1:16" ht="15" customHeight="1">
      <c r="A162" s="5">
        <v>160</v>
      </c>
      <c r="B162" s="7" t="str">
        <f>"223605622"</f>
        <v>223605622</v>
      </c>
      <c r="C162" s="7" t="str">
        <f t="shared" si="34"/>
        <v>36</v>
      </c>
      <c r="D162" s="7" t="s">
        <v>88</v>
      </c>
      <c r="E162" s="7" t="str">
        <f>"金鹏飞"</f>
        <v>金鹏飞</v>
      </c>
      <c r="F162" s="7" t="str">
        <f t="shared" si="35"/>
        <v>本科</v>
      </c>
      <c r="G162" s="7" t="str">
        <f>"环境设计"</f>
        <v>环境设计</v>
      </c>
      <c r="H162" s="7" t="str">
        <f>"南京林业大学"</f>
        <v>南京林业大学</v>
      </c>
      <c r="I162" s="7"/>
      <c r="J162" s="28">
        <v>87</v>
      </c>
      <c r="K162" s="28">
        <v>79.33</v>
      </c>
      <c r="L162" s="28">
        <v>82</v>
      </c>
      <c r="M162" s="25">
        <v>82.97</v>
      </c>
      <c r="N162" s="7">
        <v>3</v>
      </c>
      <c r="O162" s="29"/>
      <c r="P162" s="30"/>
    </row>
    <row r="163" spans="1:16" ht="15" customHeight="1">
      <c r="A163" s="5">
        <v>161</v>
      </c>
      <c r="B163" s="7" t="str">
        <f>"223606119"</f>
        <v>223606119</v>
      </c>
      <c r="C163" s="7" t="str">
        <f t="shared" si="34"/>
        <v>36</v>
      </c>
      <c r="D163" s="7" t="s">
        <v>88</v>
      </c>
      <c r="E163" s="7" t="str">
        <f>"张炎"</f>
        <v>张炎</v>
      </c>
      <c r="F163" s="7" t="str">
        <f t="shared" si="35"/>
        <v>本科</v>
      </c>
      <c r="G163" s="7" t="str">
        <f>"视觉传达设计"</f>
        <v>视觉传达设计</v>
      </c>
      <c r="H163" s="7" t="str">
        <f>"滁州学院"</f>
        <v>滁州学院</v>
      </c>
      <c r="I163" s="7"/>
      <c r="J163" s="28">
        <v>83</v>
      </c>
      <c r="K163" s="28">
        <v>75.17</v>
      </c>
      <c r="L163" s="28">
        <v>84.8</v>
      </c>
      <c r="M163" s="25">
        <v>82.33</v>
      </c>
      <c r="N163" s="7">
        <v>4</v>
      </c>
      <c r="O163" s="29"/>
      <c r="P163" s="30"/>
    </row>
    <row r="164" spans="1:16" ht="15" customHeight="1">
      <c r="A164" s="5">
        <v>162</v>
      </c>
      <c r="B164" s="7" t="str">
        <f>"223606120"</f>
        <v>223606120</v>
      </c>
      <c r="C164" s="7" t="str">
        <f t="shared" si="34"/>
        <v>36</v>
      </c>
      <c r="D164" s="7" t="s">
        <v>88</v>
      </c>
      <c r="E164" s="7" t="str">
        <f>"黄月"</f>
        <v>黄月</v>
      </c>
      <c r="F164" s="7" t="str">
        <f t="shared" si="35"/>
        <v>本科</v>
      </c>
      <c r="G164" s="7" t="str">
        <f>"美术学"</f>
        <v>美术学</v>
      </c>
      <c r="H164" s="7" t="str">
        <f>"广东海洋大学"</f>
        <v>广东海洋大学</v>
      </c>
      <c r="I164" s="7"/>
      <c r="J164" s="28">
        <v>85</v>
      </c>
      <c r="K164" s="28">
        <v>78.67</v>
      </c>
      <c r="L164" s="28">
        <v>82.2</v>
      </c>
      <c r="M164" s="25">
        <v>82.33</v>
      </c>
      <c r="N164" s="7">
        <v>5</v>
      </c>
      <c r="O164" s="29"/>
      <c r="P164" s="30"/>
    </row>
    <row r="165" spans="1:16" ht="15" customHeight="1">
      <c r="A165" s="9">
        <v>163</v>
      </c>
      <c r="B165" s="10" t="str">
        <f>"223606130"</f>
        <v>223606130</v>
      </c>
      <c r="C165" s="10" t="str">
        <f t="shared" si="34"/>
        <v>36</v>
      </c>
      <c r="D165" s="10" t="s">
        <v>88</v>
      </c>
      <c r="E165" s="10" t="str">
        <f>"王昱韬"</f>
        <v>王昱韬</v>
      </c>
      <c r="F165" s="10" t="str">
        <f t="shared" si="35"/>
        <v>本科</v>
      </c>
      <c r="G165" s="10" t="str">
        <f>"环境设计"</f>
        <v>环境设计</v>
      </c>
      <c r="H165" s="10" t="str">
        <f>"西安建筑科技大学"</f>
        <v>西安建筑科技大学</v>
      </c>
      <c r="I165" s="10"/>
      <c r="J165" s="31">
        <v>85</v>
      </c>
      <c r="K165" s="31">
        <v>90.33</v>
      </c>
      <c r="L165" s="31">
        <v>77</v>
      </c>
      <c r="M165" s="32">
        <v>82.07</v>
      </c>
      <c r="N165" s="10">
        <v>6</v>
      </c>
      <c r="O165" s="33"/>
      <c r="P165" s="34"/>
    </row>
    <row r="166" spans="1:16" ht="15" customHeight="1">
      <c r="A166" s="11">
        <v>164</v>
      </c>
      <c r="B166" s="8" t="str">
        <f>"223707413"</f>
        <v>223707413</v>
      </c>
      <c r="C166" s="8" t="str">
        <f>"37"</f>
        <v>37</v>
      </c>
      <c r="D166" s="8" t="s">
        <v>91</v>
      </c>
      <c r="E166" s="8" t="str">
        <f>"张晔"</f>
        <v>张晔</v>
      </c>
      <c r="F166" s="8" t="str">
        <f t="shared" si="35"/>
        <v>本科</v>
      </c>
      <c r="G166" s="8" t="str">
        <f>"信息管理与信息系统"</f>
        <v>信息管理与信息系统</v>
      </c>
      <c r="H166" s="8" t="str">
        <f>"南京邮电大学通达学院"</f>
        <v>南京邮电大学通达学院</v>
      </c>
      <c r="I166" s="8"/>
      <c r="J166" s="35">
        <v>81</v>
      </c>
      <c r="K166" s="35">
        <v>84</v>
      </c>
      <c r="L166" s="35">
        <v>83.6</v>
      </c>
      <c r="M166" s="36">
        <v>82.9</v>
      </c>
      <c r="N166" s="8">
        <v>1</v>
      </c>
      <c r="O166" s="37"/>
      <c r="P166" s="38" t="s">
        <v>92</v>
      </c>
    </row>
    <row r="167" spans="1:16" ht="15" customHeight="1">
      <c r="A167" s="9">
        <v>165</v>
      </c>
      <c r="B167" s="10" t="str">
        <f>"223707514"</f>
        <v>223707514</v>
      </c>
      <c r="C167" s="10" t="str">
        <f>"37"</f>
        <v>37</v>
      </c>
      <c r="D167" s="10" t="s">
        <v>91</v>
      </c>
      <c r="E167" s="10" t="str">
        <f>"童钰津"</f>
        <v>童钰津</v>
      </c>
      <c r="F167" s="10" t="str">
        <f t="shared" si="35"/>
        <v>本科</v>
      </c>
      <c r="G167" s="10" t="str">
        <f>"计算机科学与技术"</f>
        <v>计算机科学与技术</v>
      </c>
      <c r="H167" s="10" t="str">
        <f>"东南大学成贤学院"</f>
        <v>东南大学成贤学院</v>
      </c>
      <c r="I167" s="10" t="str">
        <f>"江苏捷策创电子科技有限公司"</f>
        <v>江苏捷策创电子科技有限公司</v>
      </c>
      <c r="J167" s="31">
        <v>87</v>
      </c>
      <c r="K167" s="31">
        <v>89</v>
      </c>
      <c r="L167" s="31">
        <v>75</v>
      </c>
      <c r="M167" s="32">
        <v>81.4</v>
      </c>
      <c r="N167" s="10">
        <v>2</v>
      </c>
      <c r="O167" s="33"/>
      <c r="P167" s="34"/>
    </row>
    <row r="168" spans="1:16" ht="15" customHeight="1">
      <c r="A168" s="11">
        <v>166</v>
      </c>
      <c r="B168" s="8" t="str">
        <f>"223810621"</f>
        <v>223810621</v>
      </c>
      <c r="C168" s="8" t="str">
        <f>"38"</f>
        <v>38</v>
      </c>
      <c r="D168" s="8" t="s">
        <v>93</v>
      </c>
      <c r="E168" s="8" t="str">
        <f>"徐家幸"</f>
        <v>徐家幸</v>
      </c>
      <c r="F168" s="8" t="str">
        <f t="shared" si="35"/>
        <v>本科</v>
      </c>
      <c r="G168" s="8" t="str">
        <f>"计算机科学与技术"</f>
        <v>计算机科学与技术</v>
      </c>
      <c r="H168" s="8" t="str">
        <f>"江苏大学"</f>
        <v>江苏大学</v>
      </c>
      <c r="I168" s="8"/>
      <c r="J168" s="35">
        <v>62</v>
      </c>
      <c r="K168" s="35">
        <v>84.33</v>
      </c>
      <c r="L168" s="35">
        <v>76.86</v>
      </c>
      <c r="M168" s="36">
        <v>73.9</v>
      </c>
      <c r="N168" s="8">
        <v>1</v>
      </c>
      <c r="O168" s="37"/>
      <c r="P168" s="58" t="s">
        <v>55</v>
      </c>
    </row>
    <row r="169" spans="1:16" ht="15" customHeight="1">
      <c r="A169" s="5">
        <v>167</v>
      </c>
      <c r="B169" s="7" t="str">
        <f>"223907017"</f>
        <v>223907017</v>
      </c>
      <c r="C169" s="7" t="str">
        <f>"39"</f>
        <v>39</v>
      </c>
      <c r="D169" s="7" t="s">
        <v>94</v>
      </c>
      <c r="E169" s="7" t="str">
        <f>"杨光"</f>
        <v>杨光</v>
      </c>
      <c r="F169" s="7" t="str">
        <f t="shared" si="35"/>
        <v>本科</v>
      </c>
      <c r="G169" s="7" t="str">
        <f>"财务管理"</f>
        <v>财务管理</v>
      </c>
      <c r="H169" s="7" t="str">
        <f>"盐城工学院"</f>
        <v>盐城工学院</v>
      </c>
      <c r="I169" s="7" t="str">
        <f>"启东市第二中等专业学校"</f>
        <v>启东市第二中等专业学校</v>
      </c>
      <c r="J169" s="28">
        <v>84.5</v>
      </c>
      <c r="K169" s="28">
        <v>85</v>
      </c>
      <c r="L169" s="28">
        <v>80.14</v>
      </c>
      <c r="M169" s="25">
        <v>82.42</v>
      </c>
      <c r="N169" s="7">
        <v>1</v>
      </c>
      <c r="O169" s="29"/>
      <c r="P169" s="58" t="s">
        <v>55</v>
      </c>
    </row>
    <row r="170" spans="1:16" ht="15" customHeight="1">
      <c r="A170" s="5">
        <v>168</v>
      </c>
      <c r="B170" s="7" t="str">
        <f>"224009928"</f>
        <v>224009928</v>
      </c>
      <c r="C170" s="7" t="str">
        <f>"40"</f>
        <v>40</v>
      </c>
      <c r="D170" s="7" t="s">
        <v>95</v>
      </c>
      <c r="E170" s="7" t="str">
        <f>"仲凤玫"</f>
        <v>仲凤玫</v>
      </c>
      <c r="F170" s="7" t="str">
        <f t="shared" si="35"/>
        <v>本科</v>
      </c>
      <c r="G170" s="7" t="str">
        <f>"电子商务"</f>
        <v>电子商务</v>
      </c>
      <c r="H170" s="7" t="str">
        <f>"徐州工程学院"</f>
        <v>徐州工程学院</v>
      </c>
      <c r="I170" s="7" t="str">
        <f>"树人实验学校"</f>
        <v>树人实验学校</v>
      </c>
      <c r="J170" s="28">
        <v>63</v>
      </c>
      <c r="K170" s="28">
        <v>87</v>
      </c>
      <c r="L170" s="28">
        <v>76</v>
      </c>
      <c r="M170" s="25">
        <v>74.3</v>
      </c>
      <c r="N170" s="7">
        <v>1</v>
      </c>
      <c r="O170" s="29"/>
      <c r="P170" s="58" t="s">
        <v>55</v>
      </c>
    </row>
    <row r="171" spans="1:16" ht="15" customHeight="1">
      <c r="A171" s="5">
        <v>169</v>
      </c>
      <c r="B171" s="7" t="str">
        <f>"224111029"</f>
        <v>224111029</v>
      </c>
      <c r="C171" s="7" t="str">
        <f>"41"</f>
        <v>41</v>
      </c>
      <c r="D171" s="7" t="s">
        <v>96</v>
      </c>
      <c r="E171" s="7" t="str">
        <f>"王慧明"</f>
        <v>王慧明</v>
      </c>
      <c r="F171" s="7" t="str">
        <f t="shared" si="35"/>
        <v>本科</v>
      </c>
      <c r="G171" s="7" t="str">
        <f>"英语（经贸英语）"</f>
        <v>英语（经贸英语）</v>
      </c>
      <c r="H171" s="7" t="str">
        <f>"盐城师范学院"</f>
        <v>盐城师范学院</v>
      </c>
      <c r="I171" s="7" t="str">
        <f>"如东中等专业学校（编外）"</f>
        <v>如东中等专业学校（编外）</v>
      </c>
      <c r="J171" s="28">
        <v>77.5</v>
      </c>
      <c r="K171" s="28">
        <v>87.5</v>
      </c>
      <c r="L171" s="28">
        <v>78.14</v>
      </c>
      <c r="M171" s="25">
        <v>79.82</v>
      </c>
      <c r="N171" s="7">
        <v>1</v>
      </c>
      <c r="O171" s="29"/>
      <c r="P171" s="58" t="s">
        <v>55</v>
      </c>
    </row>
    <row r="172" spans="1:16" ht="15" customHeight="1">
      <c r="A172" s="5">
        <v>170</v>
      </c>
      <c r="B172" s="7" t="str">
        <f>"224210716"</f>
        <v>224210716</v>
      </c>
      <c r="C172" s="7" t="str">
        <f>"42"</f>
        <v>42</v>
      </c>
      <c r="D172" s="7" t="s">
        <v>97</v>
      </c>
      <c r="E172" s="7" t="str">
        <f>"马富祥"</f>
        <v>马富祥</v>
      </c>
      <c r="F172" s="7" t="str">
        <f t="shared" si="35"/>
        <v>本科</v>
      </c>
      <c r="G172" s="7" t="str">
        <f>"软件工程（嵌入式人才培养）"</f>
        <v>软件工程（嵌入式人才培养）</v>
      </c>
      <c r="H172" s="7" t="str">
        <f>"苏州大学"</f>
        <v>苏州大学</v>
      </c>
      <c r="I172" s="7" t="str">
        <f>"苏州银行南通分行"</f>
        <v>苏州银行南通分行</v>
      </c>
      <c r="J172" s="28">
        <v>64</v>
      </c>
      <c r="K172" s="28">
        <v>80.33</v>
      </c>
      <c r="L172" s="28">
        <v>77.86</v>
      </c>
      <c r="M172" s="25">
        <v>74.2</v>
      </c>
      <c r="N172" s="7">
        <v>1</v>
      </c>
      <c r="O172" s="29"/>
      <c r="P172" s="58" t="s">
        <v>55</v>
      </c>
    </row>
    <row r="173" spans="1:16" ht="15" customHeight="1">
      <c r="A173" s="5">
        <v>171</v>
      </c>
      <c r="B173" s="7" t="str">
        <f>"224310930"</f>
        <v>224310930</v>
      </c>
      <c r="C173" s="12" t="str">
        <f>"43"</f>
        <v>43</v>
      </c>
      <c r="D173" s="12" t="s">
        <v>98</v>
      </c>
      <c r="E173" s="12" t="str">
        <f>"姚宇"</f>
        <v>姚宇</v>
      </c>
      <c r="F173" s="7" t="str">
        <f t="shared" si="35"/>
        <v>本科</v>
      </c>
      <c r="G173" s="7" t="str">
        <f>"自动化"</f>
        <v>自动化</v>
      </c>
      <c r="H173" s="7" t="str">
        <f>"南京工业大学"</f>
        <v>南京工业大学</v>
      </c>
      <c r="I173" s="7"/>
      <c r="J173" s="28">
        <v>69</v>
      </c>
      <c r="K173" s="28">
        <v>92</v>
      </c>
      <c r="L173" s="28">
        <v>79</v>
      </c>
      <c r="M173" s="25">
        <v>78.6</v>
      </c>
      <c r="N173" s="7">
        <v>1</v>
      </c>
      <c r="O173" s="29"/>
      <c r="P173" s="58" t="s">
        <v>55</v>
      </c>
    </row>
    <row r="174" spans="1:16" ht="15" customHeight="1">
      <c r="A174" s="5">
        <v>172</v>
      </c>
      <c r="B174" s="7" t="str">
        <f>"224310929"</f>
        <v>224310929</v>
      </c>
      <c r="C174" s="7" t="str">
        <f>"43"</f>
        <v>43</v>
      </c>
      <c r="D174" s="7" t="s">
        <v>98</v>
      </c>
      <c r="E174" s="7" t="str">
        <f>"顾东虹"</f>
        <v>顾东虹</v>
      </c>
      <c r="F174" s="7" t="str">
        <f t="shared" si="35"/>
        <v>本科</v>
      </c>
      <c r="G174" s="7" t="str">
        <f>"电气技术教育"</f>
        <v>电气技术教育</v>
      </c>
      <c r="H174" s="7" t="str">
        <f>"天津职业技术师范大学"</f>
        <v>天津职业技术师范大学</v>
      </c>
      <c r="I174" s="23" t="str">
        <f>"南通工贸技师学院"</f>
        <v>南通工贸技师学院</v>
      </c>
      <c r="J174" s="24">
        <v>72.5</v>
      </c>
      <c r="K174" s="24">
        <v>64.67</v>
      </c>
      <c r="L174" s="24">
        <v>73.86</v>
      </c>
      <c r="M174" s="25">
        <v>71.61</v>
      </c>
      <c r="N174" s="7">
        <v>2</v>
      </c>
      <c r="O174" s="29"/>
      <c r="P174" s="58" t="s">
        <v>55</v>
      </c>
    </row>
    <row r="175" spans="1:16" ht="15" customHeight="1">
      <c r="A175" s="5">
        <v>173</v>
      </c>
      <c r="B175" s="7" t="str">
        <f>"224408807"</f>
        <v>224408807</v>
      </c>
      <c r="C175" s="7" t="str">
        <f>"44"</f>
        <v>44</v>
      </c>
      <c r="D175" s="7" t="s">
        <v>99</v>
      </c>
      <c r="E175" s="7" t="str">
        <f>"尤韵天"</f>
        <v>尤韵天</v>
      </c>
      <c r="F175" s="7" t="str">
        <f t="shared" si="35"/>
        <v>本科</v>
      </c>
      <c r="G175" s="7" t="str">
        <f>"建筑学"</f>
        <v>建筑学</v>
      </c>
      <c r="H175" s="7" t="str">
        <f>"青岛理工大学"</f>
        <v>青岛理工大学</v>
      </c>
      <c r="I175" s="7" t="str">
        <f>"如东中等专业学校（编外）"</f>
        <v>如东中等专业学校（编外）</v>
      </c>
      <c r="J175" s="28">
        <v>67</v>
      </c>
      <c r="K175" s="28">
        <v>77.67</v>
      </c>
      <c r="L175" s="28">
        <v>80.86</v>
      </c>
      <c r="M175" s="25">
        <v>76.06</v>
      </c>
      <c r="N175" s="7">
        <v>1</v>
      </c>
      <c r="O175" s="29"/>
      <c r="P175" s="58" t="s">
        <v>55</v>
      </c>
    </row>
    <row r="176" spans="1:16" ht="15" customHeight="1">
      <c r="A176" s="5">
        <v>174</v>
      </c>
      <c r="B176" s="7" t="str">
        <f>"224510327"</f>
        <v>224510327</v>
      </c>
      <c r="C176" s="7" t="str">
        <f>"45"</f>
        <v>45</v>
      </c>
      <c r="D176" s="7" t="s">
        <v>100</v>
      </c>
      <c r="E176" s="7" t="str">
        <f>"汪燕秋"</f>
        <v>汪燕秋</v>
      </c>
      <c r="F176" s="7" t="str">
        <f t="shared" si="35"/>
        <v>本科</v>
      </c>
      <c r="G176" s="7" t="str">
        <f>"土木工程"</f>
        <v>土木工程</v>
      </c>
      <c r="H176" s="7" t="str">
        <f>"淮海工学院"</f>
        <v>淮海工学院</v>
      </c>
      <c r="I176" s="7" t="str">
        <f>"南通市交通建设咨询监理有限公司"</f>
        <v>南通市交通建设咨询监理有限公司</v>
      </c>
      <c r="J176" s="28">
        <v>82</v>
      </c>
      <c r="K176" s="28">
        <v>85.67</v>
      </c>
      <c r="L176" s="28">
        <v>67.29</v>
      </c>
      <c r="M176" s="25">
        <v>75.38</v>
      </c>
      <c r="N176" s="7">
        <v>1</v>
      </c>
      <c r="O176" s="29"/>
      <c r="P176" s="58" t="s">
        <v>55</v>
      </c>
    </row>
    <row r="177" spans="1:16" ht="15" customHeight="1">
      <c r="A177" s="5">
        <v>175</v>
      </c>
      <c r="B177" s="10" t="str">
        <f>"224608827"</f>
        <v>224608827</v>
      </c>
      <c r="C177" s="10" t="str">
        <f>"46"</f>
        <v>46</v>
      </c>
      <c r="D177" s="10" t="s">
        <v>101</v>
      </c>
      <c r="E177" s="10" t="str">
        <f>"朱相龙"</f>
        <v>朱相龙</v>
      </c>
      <c r="F177" s="10" t="str">
        <f t="shared" si="35"/>
        <v>本科</v>
      </c>
      <c r="G177" s="10" t="str">
        <f>"应用化学"</f>
        <v>应用化学</v>
      </c>
      <c r="H177" s="10" t="str">
        <f>"盐城师范学院"</f>
        <v>盐城师范学院</v>
      </c>
      <c r="I177" s="10"/>
      <c r="J177" s="31">
        <v>61</v>
      </c>
      <c r="K177" s="31">
        <v>89</v>
      </c>
      <c r="L177" s="31">
        <v>71.57</v>
      </c>
      <c r="M177" s="32">
        <v>71.89</v>
      </c>
      <c r="N177" s="10">
        <v>1</v>
      </c>
      <c r="O177" s="33"/>
      <c r="P177" s="34" t="s">
        <v>55</v>
      </c>
    </row>
    <row r="178" spans="1:16" ht="15" customHeight="1">
      <c r="A178" s="5">
        <v>176</v>
      </c>
      <c r="B178" s="8" t="str">
        <f>"224701011"</f>
        <v>224701011</v>
      </c>
      <c r="C178" s="8" t="str">
        <f aca="true" t="shared" si="36" ref="C178:C187">"47"</f>
        <v>47</v>
      </c>
      <c r="D178" s="8" t="s">
        <v>102</v>
      </c>
      <c r="E178" s="8" t="str">
        <f>"邵乐逍"</f>
        <v>邵乐逍</v>
      </c>
      <c r="F178" s="8" t="str">
        <f t="shared" si="35"/>
        <v>本科</v>
      </c>
      <c r="G178" s="8" t="str">
        <f aca="true" t="shared" si="37" ref="G178:G183">"学前教育"</f>
        <v>学前教育</v>
      </c>
      <c r="H178" s="8" t="str">
        <f>"江苏第二师范学院"</f>
        <v>江苏第二师范学院</v>
      </c>
      <c r="I178" s="8"/>
      <c r="J178" s="35">
        <v>92.5</v>
      </c>
      <c r="K178" s="35">
        <v>82</v>
      </c>
      <c r="L178" s="35">
        <v>84.2</v>
      </c>
      <c r="M178" s="36">
        <v>86.25</v>
      </c>
      <c r="N178" s="8">
        <v>1</v>
      </c>
      <c r="O178" s="37"/>
      <c r="P178" s="38" t="s">
        <v>103</v>
      </c>
    </row>
    <row r="179" spans="1:16" ht="15" customHeight="1">
      <c r="A179" s="5">
        <v>177</v>
      </c>
      <c r="B179" s="7" t="str">
        <f>"224702802"</f>
        <v>224702802</v>
      </c>
      <c r="C179" s="7" t="str">
        <f t="shared" si="36"/>
        <v>47</v>
      </c>
      <c r="D179" s="7" t="s">
        <v>102</v>
      </c>
      <c r="E179" s="7" t="str">
        <f>"孟青"</f>
        <v>孟青</v>
      </c>
      <c r="F179" s="7" t="str">
        <f t="shared" si="35"/>
        <v>本科</v>
      </c>
      <c r="G179" s="7" t="str">
        <f t="shared" si="37"/>
        <v>学前教育</v>
      </c>
      <c r="H179" s="7" t="str">
        <f>"盐城师范学院"</f>
        <v>盐城师范学院</v>
      </c>
      <c r="I179" s="7"/>
      <c r="J179" s="28">
        <v>88</v>
      </c>
      <c r="K179" s="28">
        <v>86</v>
      </c>
      <c r="L179" s="28">
        <v>85.1</v>
      </c>
      <c r="M179" s="25">
        <v>86.15</v>
      </c>
      <c r="N179" s="7">
        <v>2</v>
      </c>
      <c r="O179" s="29"/>
      <c r="P179" s="30"/>
    </row>
    <row r="180" spans="1:16" ht="15" customHeight="1">
      <c r="A180" s="5">
        <v>178</v>
      </c>
      <c r="B180" s="7" t="str">
        <f>"224702728"</f>
        <v>224702728</v>
      </c>
      <c r="C180" s="7" t="str">
        <f t="shared" si="36"/>
        <v>47</v>
      </c>
      <c r="D180" s="7" t="s">
        <v>102</v>
      </c>
      <c r="E180" s="7" t="str">
        <f>"孟爱君"</f>
        <v>孟爱君</v>
      </c>
      <c r="F180" s="7" t="str">
        <f>"专科"</f>
        <v>专科</v>
      </c>
      <c r="G180" s="7" t="str">
        <f t="shared" si="37"/>
        <v>学前教育</v>
      </c>
      <c r="H180" s="7" t="str">
        <f>"南通师范高等专科学校"</f>
        <v>南通师范高等专科学校</v>
      </c>
      <c r="I180" s="7"/>
      <c r="J180" s="28">
        <v>86</v>
      </c>
      <c r="K180" s="28">
        <v>80.83</v>
      </c>
      <c r="L180" s="28">
        <v>82.9</v>
      </c>
      <c r="M180" s="25">
        <v>83.42</v>
      </c>
      <c r="N180" s="7">
        <v>3</v>
      </c>
      <c r="O180" s="29"/>
      <c r="P180" s="30"/>
    </row>
    <row r="181" spans="1:16" ht="15" customHeight="1">
      <c r="A181" s="5">
        <v>179</v>
      </c>
      <c r="B181" s="7" t="str">
        <f>"224700203"</f>
        <v>224700203</v>
      </c>
      <c r="C181" s="7" t="str">
        <f t="shared" si="36"/>
        <v>47</v>
      </c>
      <c r="D181" s="7" t="s">
        <v>102</v>
      </c>
      <c r="E181" s="7" t="str">
        <f>"周逸子"</f>
        <v>周逸子</v>
      </c>
      <c r="F181" s="7" t="str">
        <f>"本科"</f>
        <v>本科</v>
      </c>
      <c r="G181" s="7" t="str">
        <f t="shared" si="37"/>
        <v>学前教育</v>
      </c>
      <c r="H181" s="7" t="str">
        <f>"盐城师范学院"</f>
        <v>盐城师范学院</v>
      </c>
      <c r="I181" s="7"/>
      <c r="J181" s="28">
        <v>86</v>
      </c>
      <c r="K181" s="28">
        <v>71.33</v>
      </c>
      <c r="L181" s="28">
        <v>85.4</v>
      </c>
      <c r="M181" s="25">
        <v>82.77</v>
      </c>
      <c r="N181" s="7">
        <v>4</v>
      </c>
      <c r="O181" s="29"/>
      <c r="P181" s="30"/>
    </row>
    <row r="182" spans="1:16" ht="15" customHeight="1">
      <c r="A182" s="5">
        <v>180</v>
      </c>
      <c r="B182" s="7" t="str">
        <f>"224703420"</f>
        <v>224703420</v>
      </c>
      <c r="C182" s="7" t="str">
        <f t="shared" si="36"/>
        <v>47</v>
      </c>
      <c r="D182" s="7" t="s">
        <v>102</v>
      </c>
      <c r="E182" s="7" t="str">
        <f>"王佳明"</f>
        <v>王佳明</v>
      </c>
      <c r="F182" s="7" t="str">
        <f>"专科"</f>
        <v>专科</v>
      </c>
      <c r="G182" s="7" t="str">
        <f t="shared" si="37"/>
        <v>学前教育</v>
      </c>
      <c r="H182" s="7" t="str">
        <f>"南通师范高等专科学校"</f>
        <v>南通师范高等专科学校</v>
      </c>
      <c r="I182" s="7" t="str">
        <f>"启东市碧桂园幼儿园"</f>
        <v>启东市碧桂园幼儿园</v>
      </c>
      <c r="J182" s="28">
        <v>76</v>
      </c>
      <c r="K182" s="28">
        <v>89.83</v>
      </c>
      <c r="L182" s="28">
        <v>83.6</v>
      </c>
      <c r="M182" s="25">
        <v>82.57</v>
      </c>
      <c r="N182" s="7">
        <v>5</v>
      </c>
      <c r="O182" s="29"/>
      <c r="P182" s="30"/>
    </row>
    <row r="183" spans="1:16" ht="15" customHeight="1">
      <c r="A183" s="5">
        <v>181</v>
      </c>
      <c r="B183" s="7" t="str">
        <f>"224700830"</f>
        <v>224700830</v>
      </c>
      <c r="C183" s="7" t="str">
        <f t="shared" si="36"/>
        <v>47</v>
      </c>
      <c r="D183" s="7" t="s">
        <v>102</v>
      </c>
      <c r="E183" s="7" t="str">
        <f>"董缪妍"</f>
        <v>董缪妍</v>
      </c>
      <c r="F183" s="7" t="str">
        <f>"本科"</f>
        <v>本科</v>
      </c>
      <c r="G183" s="7" t="str">
        <f t="shared" si="37"/>
        <v>学前教育</v>
      </c>
      <c r="H183" s="7" t="str">
        <f>"常州工学院"</f>
        <v>常州工学院</v>
      </c>
      <c r="I183" s="7"/>
      <c r="J183" s="28">
        <v>75</v>
      </c>
      <c r="K183" s="28">
        <v>90</v>
      </c>
      <c r="L183" s="28">
        <v>83</v>
      </c>
      <c r="M183" s="25">
        <v>82</v>
      </c>
      <c r="N183" s="7">
        <v>6</v>
      </c>
      <c r="O183" s="29"/>
      <c r="P183" s="30"/>
    </row>
    <row r="184" spans="1:16" ht="15" customHeight="1">
      <c r="A184" s="5">
        <v>182</v>
      </c>
      <c r="B184" s="7" t="str">
        <f>"224703524"</f>
        <v>224703524</v>
      </c>
      <c r="C184" s="7" t="str">
        <f t="shared" si="36"/>
        <v>47</v>
      </c>
      <c r="D184" s="7" t="s">
        <v>102</v>
      </c>
      <c r="E184" s="7" t="str">
        <f>"刘雅静"</f>
        <v>刘雅静</v>
      </c>
      <c r="F184" s="7" t="str">
        <f>"专科"</f>
        <v>专科</v>
      </c>
      <c r="G184" s="7" t="str">
        <f>"音乐教育"</f>
        <v>音乐教育</v>
      </c>
      <c r="H184" s="7" t="str">
        <f>"盐城幼儿师范高等专科学校"</f>
        <v>盐城幼儿师范高等专科学校</v>
      </c>
      <c r="I184" s="7" t="str">
        <f>"射阳县港城实验幼儿园"</f>
        <v>射阳县港城实验幼儿园</v>
      </c>
      <c r="J184" s="28">
        <v>77.5</v>
      </c>
      <c r="K184" s="28">
        <v>88.5</v>
      </c>
      <c r="L184" s="28">
        <v>81.9</v>
      </c>
      <c r="M184" s="25">
        <v>81.9</v>
      </c>
      <c r="N184" s="7">
        <v>7</v>
      </c>
      <c r="O184" s="29"/>
      <c r="P184" s="30"/>
    </row>
    <row r="185" spans="1:16" ht="15" customHeight="1">
      <c r="A185" s="5">
        <v>183</v>
      </c>
      <c r="B185" s="7" t="str">
        <f>"224703402"</f>
        <v>224703402</v>
      </c>
      <c r="C185" s="7" t="str">
        <f t="shared" si="36"/>
        <v>47</v>
      </c>
      <c r="D185" s="7" t="s">
        <v>102</v>
      </c>
      <c r="E185" s="7" t="str">
        <f>"吴亚楠"</f>
        <v>吴亚楠</v>
      </c>
      <c r="F185" s="7" t="str">
        <f>"本科"</f>
        <v>本科</v>
      </c>
      <c r="G185" s="7" t="str">
        <f>"学前教育"</f>
        <v>学前教育</v>
      </c>
      <c r="H185" s="7" t="str">
        <f>"泰州学院"</f>
        <v>泰州学院</v>
      </c>
      <c r="I185" s="7" t="str">
        <f>"南通市通州区唐洪幼儿园"</f>
        <v>南通市通州区唐洪幼儿园</v>
      </c>
      <c r="J185" s="28">
        <v>78.5</v>
      </c>
      <c r="K185" s="28">
        <v>75.67</v>
      </c>
      <c r="L185" s="28">
        <v>85.7</v>
      </c>
      <c r="M185" s="25">
        <v>81.53</v>
      </c>
      <c r="N185" s="7">
        <v>8</v>
      </c>
      <c r="O185" s="29"/>
      <c r="P185" s="30"/>
    </row>
    <row r="186" spans="1:16" ht="15" customHeight="1">
      <c r="A186" s="5">
        <v>184</v>
      </c>
      <c r="B186" s="7" t="str">
        <f>"224701214"</f>
        <v>224701214</v>
      </c>
      <c r="C186" s="7" t="str">
        <f t="shared" si="36"/>
        <v>47</v>
      </c>
      <c r="D186" s="7" t="s">
        <v>102</v>
      </c>
      <c r="E186" s="7" t="str">
        <f>"孙培艺"</f>
        <v>孙培艺</v>
      </c>
      <c r="F186" s="7" t="str">
        <f>"专科"</f>
        <v>专科</v>
      </c>
      <c r="G186" s="7" t="str">
        <f>"学前教育"</f>
        <v>学前教育</v>
      </c>
      <c r="H186" s="7" t="str">
        <f>"南通师范高等专科学校"</f>
        <v>南通师范高等专科学校</v>
      </c>
      <c r="I186" s="7"/>
      <c r="J186" s="28">
        <v>75</v>
      </c>
      <c r="K186" s="28">
        <v>82.33</v>
      </c>
      <c r="L186" s="28">
        <v>84.1</v>
      </c>
      <c r="M186" s="25">
        <v>81.02</v>
      </c>
      <c r="N186" s="7">
        <v>9</v>
      </c>
      <c r="O186" s="29"/>
      <c r="P186" s="30"/>
    </row>
    <row r="187" spans="1:16" ht="15" customHeight="1">
      <c r="A187" s="9">
        <v>185</v>
      </c>
      <c r="B187" s="10" t="str">
        <f>"224701709"</f>
        <v>224701709</v>
      </c>
      <c r="C187" s="10" t="str">
        <f t="shared" si="36"/>
        <v>47</v>
      </c>
      <c r="D187" s="10" t="s">
        <v>102</v>
      </c>
      <c r="E187" s="10" t="str">
        <f>"徐林溢"</f>
        <v>徐林溢</v>
      </c>
      <c r="F187" s="10" t="str">
        <f>"专科"</f>
        <v>专科</v>
      </c>
      <c r="G187" s="10" t="str">
        <f>"学前教育"</f>
        <v>学前教育</v>
      </c>
      <c r="H187" s="10" t="str">
        <f>"连云港师范高等专科学校"</f>
        <v>连云港师范高等专科学校</v>
      </c>
      <c r="I187" s="10"/>
      <c r="J187" s="31">
        <v>87</v>
      </c>
      <c r="K187" s="31">
        <v>74.83</v>
      </c>
      <c r="L187" s="31">
        <v>79.3</v>
      </c>
      <c r="M187" s="32">
        <v>80.72</v>
      </c>
      <c r="N187" s="10">
        <v>10</v>
      </c>
      <c r="O187" s="33"/>
      <c r="P187" s="34"/>
    </row>
    <row r="188" spans="1:16" ht="15" customHeight="1">
      <c r="A188" s="11">
        <v>186</v>
      </c>
      <c r="B188" s="8" t="str">
        <f>"224801208"</f>
        <v>224801208</v>
      </c>
      <c r="C188" s="49" t="str">
        <f aca="true" t="shared" si="38" ref="C188:C197">"48"</f>
        <v>48</v>
      </c>
      <c r="D188" s="49" t="s">
        <v>102</v>
      </c>
      <c r="E188" s="49" t="str">
        <f>"赵思凡"</f>
        <v>赵思凡</v>
      </c>
      <c r="F188" s="8" t="str">
        <f>"专科"</f>
        <v>专科</v>
      </c>
      <c r="G188" s="8" t="str">
        <f>"学前教育"</f>
        <v>学前教育</v>
      </c>
      <c r="H188" s="8" t="str">
        <f>"江苏第二师范学院"</f>
        <v>江苏第二师范学院</v>
      </c>
      <c r="I188" s="8"/>
      <c r="J188" s="35">
        <v>91</v>
      </c>
      <c r="K188" s="35">
        <v>76.57</v>
      </c>
      <c r="L188" s="35">
        <v>82.8</v>
      </c>
      <c r="M188" s="36">
        <v>84.01</v>
      </c>
      <c r="N188" s="8">
        <v>1</v>
      </c>
      <c r="O188" s="37"/>
      <c r="P188" s="38" t="s">
        <v>104</v>
      </c>
    </row>
    <row r="189" spans="1:16" ht="15" customHeight="1">
      <c r="A189" s="5">
        <v>187</v>
      </c>
      <c r="B189" s="7" t="str">
        <f>"224803017"</f>
        <v>224803017</v>
      </c>
      <c r="C189" s="7" t="str">
        <f t="shared" si="38"/>
        <v>48</v>
      </c>
      <c r="D189" s="7" t="s">
        <v>102</v>
      </c>
      <c r="E189" s="7" t="str">
        <f>"曹玉清"</f>
        <v>曹玉清</v>
      </c>
      <c r="F189" s="7" t="str">
        <f>"本科"</f>
        <v>本科</v>
      </c>
      <c r="G189" s="7" t="str">
        <f>"美术学"</f>
        <v>美术学</v>
      </c>
      <c r="H189" s="7" t="str">
        <f>"福建师范大学"</f>
        <v>福建师范大学</v>
      </c>
      <c r="I189" s="23"/>
      <c r="J189" s="24">
        <v>88.5</v>
      </c>
      <c r="K189" s="24">
        <v>81.9</v>
      </c>
      <c r="L189" s="24">
        <v>82</v>
      </c>
      <c r="M189" s="25">
        <v>83.93</v>
      </c>
      <c r="N189" s="7">
        <v>2</v>
      </c>
      <c r="O189" s="29"/>
      <c r="P189" s="30"/>
    </row>
    <row r="190" spans="1:16" ht="15" customHeight="1">
      <c r="A190" s="5">
        <v>188</v>
      </c>
      <c r="B190" s="7" t="str">
        <f>"224801519"</f>
        <v>224801519</v>
      </c>
      <c r="C190" s="8" t="str">
        <f t="shared" si="38"/>
        <v>48</v>
      </c>
      <c r="D190" s="8" t="s">
        <v>102</v>
      </c>
      <c r="E190" s="8" t="str">
        <f>"郁曹晖"</f>
        <v>郁曹晖</v>
      </c>
      <c r="F190" s="7" t="str">
        <f>"本科"</f>
        <v>本科</v>
      </c>
      <c r="G190" s="7" t="str">
        <f>"学前教育"</f>
        <v>学前教育</v>
      </c>
      <c r="H190" s="7" t="str">
        <f>"泰州学院"</f>
        <v>泰州学院</v>
      </c>
      <c r="I190" s="7"/>
      <c r="J190" s="28">
        <v>89</v>
      </c>
      <c r="K190" s="28">
        <v>84.97</v>
      </c>
      <c r="L190" s="28">
        <v>77.9</v>
      </c>
      <c r="M190" s="25">
        <v>82.64</v>
      </c>
      <c r="N190" s="7">
        <v>3</v>
      </c>
      <c r="O190" s="29"/>
      <c r="P190" s="30"/>
    </row>
    <row r="191" spans="1:16" ht="15" customHeight="1">
      <c r="A191" s="5">
        <v>189</v>
      </c>
      <c r="B191" s="7" t="str">
        <f>"224801104"</f>
        <v>224801104</v>
      </c>
      <c r="C191" s="7" t="str">
        <f t="shared" si="38"/>
        <v>48</v>
      </c>
      <c r="D191" s="7" t="s">
        <v>102</v>
      </c>
      <c r="E191" s="7" t="str">
        <f>"陈文文"</f>
        <v>陈文文</v>
      </c>
      <c r="F191" s="7" t="str">
        <f>"本科"</f>
        <v>本科</v>
      </c>
      <c r="G191" s="7" t="str">
        <f>"学前教育"</f>
        <v>学前教育</v>
      </c>
      <c r="H191" s="7" t="str">
        <f>"西南大学"</f>
        <v>西南大学</v>
      </c>
      <c r="I191" s="7" t="str">
        <f>"南通瑞达文化旅游开发有限公司"</f>
        <v>南通瑞达文化旅游开发有限公司</v>
      </c>
      <c r="J191" s="28">
        <v>89.5</v>
      </c>
      <c r="K191" s="28">
        <v>75.17</v>
      </c>
      <c r="L191" s="28">
        <v>80.8</v>
      </c>
      <c r="M191" s="25">
        <v>82.28</v>
      </c>
      <c r="N191" s="7">
        <v>4</v>
      </c>
      <c r="O191" s="29"/>
      <c r="P191" s="30"/>
    </row>
    <row r="192" spans="1:16" ht="15" customHeight="1">
      <c r="A192" s="5">
        <v>190</v>
      </c>
      <c r="B192" s="7" t="str">
        <f>"224802904"</f>
        <v>224802904</v>
      </c>
      <c r="C192" s="12" t="str">
        <f t="shared" si="38"/>
        <v>48</v>
      </c>
      <c r="D192" s="12" t="s">
        <v>102</v>
      </c>
      <c r="E192" s="12" t="str">
        <f>"赵胜男"</f>
        <v>赵胜男</v>
      </c>
      <c r="F192" s="7" t="str">
        <f>"本科"</f>
        <v>本科</v>
      </c>
      <c r="G192" s="7" t="str">
        <f>"学前教育（师范类）"</f>
        <v>学前教育（师范类）</v>
      </c>
      <c r="H192" s="7" t="str">
        <f>"盐城师范学院"</f>
        <v>盐城师范学院</v>
      </c>
      <c r="I192" s="7"/>
      <c r="J192" s="28">
        <v>89</v>
      </c>
      <c r="K192" s="28">
        <v>73.07</v>
      </c>
      <c r="L192" s="28">
        <v>81.2</v>
      </c>
      <c r="M192" s="25">
        <v>81.91</v>
      </c>
      <c r="N192" s="7">
        <v>5</v>
      </c>
      <c r="O192" s="29"/>
      <c r="P192" s="30"/>
    </row>
    <row r="193" spans="1:16" ht="15" customHeight="1">
      <c r="A193" s="5">
        <v>191</v>
      </c>
      <c r="B193" s="7" t="str">
        <f>"224800618"</f>
        <v>224800618</v>
      </c>
      <c r="C193" s="7" t="str">
        <f t="shared" si="38"/>
        <v>48</v>
      </c>
      <c r="D193" s="7" t="s">
        <v>102</v>
      </c>
      <c r="E193" s="7" t="str">
        <f>"陈月萍"</f>
        <v>陈月萍</v>
      </c>
      <c r="F193" s="7" t="str">
        <f>"本科"</f>
        <v>本科</v>
      </c>
      <c r="G193" s="7" t="str">
        <f aca="true" t="shared" si="39" ref="G193:G219">"学前教育"</f>
        <v>学前教育</v>
      </c>
      <c r="H193" s="7" t="str">
        <f>"盐城师范学院"</f>
        <v>盐城师范学院</v>
      </c>
      <c r="I193" s="23" t="str">
        <f>"如皋市江安镇江安幼儿园"</f>
        <v>如皋市江安镇江安幼儿园</v>
      </c>
      <c r="J193" s="24">
        <v>84</v>
      </c>
      <c r="K193" s="24">
        <v>70.07</v>
      </c>
      <c r="L193" s="24">
        <v>85.2</v>
      </c>
      <c r="M193" s="25">
        <v>81.81</v>
      </c>
      <c r="N193" s="7">
        <v>6</v>
      </c>
      <c r="O193" s="29"/>
      <c r="P193" s="30"/>
    </row>
    <row r="194" spans="1:16" ht="15" customHeight="1">
      <c r="A194" s="5">
        <v>192</v>
      </c>
      <c r="B194" s="7" t="str">
        <f>"224801926"</f>
        <v>224801926</v>
      </c>
      <c r="C194" s="7" t="str">
        <f t="shared" si="38"/>
        <v>48</v>
      </c>
      <c r="D194" s="7" t="s">
        <v>102</v>
      </c>
      <c r="E194" s="7" t="str">
        <f>"何冉"</f>
        <v>何冉</v>
      </c>
      <c r="F194" s="7" t="str">
        <f>"专科"</f>
        <v>专科</v>
      </c>
      <c r="G194" s="7" t="str">
        <f t="shared" si="39"/>
        <v>学前教育</v>
      </c>
      <c r="H194" s="7" t="str">
        <f>"泰州学院"</f>
        <v>泰州学院</v>
      </c>
      <c r="I194" s="23"/>
      <c r="J194" s="24">
        <v>92</v>
      </c>
      <c r="K194" s="24">
        <v>76.5</v>
      </c>
      <c r="L194" s="24">
        <v>76.7</v>
      </c>
      <c r="M194" s="25">
        <v>81.25</v>
      </c>
      <c r="N194" s="7">
        <v>7</v>
      </c>
      <c r="O194" s="29"/>
      <c r="P194" s="30"/>
    </row>
    <row r="195" spans="1:16" ht="15" customHeight="1">
      <c r="A195" s="5">
        <v>193</v>
      </c>
      <c r="B195" s="7" t="str">
        <f>"224800529"</f>
        <v>224800529</v>
      </c>
      <c r="C195" s="8" t="str">
        <f t="shared" si="38"/>
        <v>48</v>
      </c>
      <c r="D195" s="8" t="s">
        <v>102</v>
      </c>
      <c r="E195" s="8" t="str">
        <f>"沙梦茜"</f>
        <v>沙梦茜</v>
      </c>
      <c r="F195" s="7" t="str">
        <f>"专科"</f>
        <v>专科</v>
      </c>
      <c r="G195" s="7" t="str">
        <f t="shared" si="39"/>
        <v>学前教育</v>
      </c>
      <c r="H195" s="7" t="str">
        <f>"南通师范高等专科学校"</f>
        <v>南通师范高等专科学校</v>
      </c>
      <c r="I195" s="7" t="str">
        <f>"通师二附城市嘉苑幼儿园"</f>
        <v>通师二附城市嘉苑幼儿园</v>
      </c>
      <c r="J195" s="28">
        <v>85</v>
      </c>
      <c r="K195" s="28">
        <v>74.8</v>
      </c>
      <c r="L195" s="28">
        <v>81</v>
      </c>
      <c r="M195" s="25">
        <v>80.96</v>
      </c>
      <c r="N195" s="7">
        <v>8</v>
      </c>
      <c r="O195" s="29"/>
      <c r="P195" s="30"/>
    </row>
    <row r="196" spans="1:16" ht="15" customHeight="1">
      <c r="A196" s="5">
        <v>194</v>
      </c>
      <c r="B196" s="7" t="str">
        <f>"224801508"</f>
        <v>224801508</v>
      </c>
      <c r="C196" s="7" t="str">
        <f t="shared" si="38"/>
        <v>48</v>
      </c>
      <c r="D196" s="7" t="s">
        <v>102</v>
      </c>
      <c r="E196" s="7" t="str">
        <f>"曹昊明"</f>
        <v>曹昊明</v>
      </c>
      <c r="F196" s="7" t="str">
        <f>"本科"</f>
        <v>本科</v>
      </c>
      <c r="G196" s="7" t="str">
        <f t="shared" si="39"/>
        <v>学前教育</v>
      </c>
      <c r="H196" s="7" t="str">
        <f>"常州工学院"</f>
        <v>常州工学院</v>
      </c>
      <c r="I196" s="7"/>
      <c r="J196" s="28">
        <v>82</v>
      </c>
      <c r="K196" s="28">
        <v>78.33</v>
      </c>
      <c r="L196" s="28">
        <v>81</v>
      </c>
      <c r="M196" s="25">
        <v>80.77</v>
      </c>
      <c r="N196" s="7">
        <v>9</v>
      </c>
      <c r="O196" s="29"/>
      <c r="P196" s="30"/>
    </row>
    <row r="197" spans="1:16" ht="15" customHeight="1">
      <c r="A197" s="9">
        <v>195</v>
      </c>
      <c r="B197" s="10" t="str">
        <f>"224800122"</f>
        <v>224800122</v>
      </c>
      <c r="C197" s="10" t="str">
        <f t="shared" si="38"/>
        <v>48</v>
      </c>
      <c r="D197" s="10" t="s">
        <v>102</v>
      </c>
      <c r="E197" s="10" t="str">
        <f>"丁倩"</f>
        <v>丁倩</v>
      </c>
      <c r="F197" s="10" t="str">
        <f>"专科"</f>
        <v>专科</v>
      </c>
      <c r="G197" s="10" t="str">
        <f t="shared" si="39"/>
        <v>学前教育</v>
      </c>
      <c r="H197" s="10" t="str">
        <f>"南通师范高等专科学校"</f>
        <v>南通师范高等专科学校</v>
      </c>
      <c r="I197" s="10"/>
      <c r="J197" s="31">
        <v>79</v>
      </c>
      <c r="K197" s="31">
        <v>82.9</v>
      </c>
      <c r="L197" s="31">
        <v>80.6</v>
      </c>
      <c r="M197" s="32">
        <v>80.58</v>
      </c>
      <c r="N197" s="10">
        <v>10</v>
      </c>
      <c r="O197" s="33"/>
      <c r="P197" s="34"/>
    </row>
    <row r="198" spans="1:16" ht="15" customHeight="1">
      <c r="A198" s="11">
        <v>196</v>
      </c>
      <c r="B198" s="8" t="str">
        <f>"224902008"</f>
        <v>224902008</v>
      </c>
      <c r="C198" s="8" t="str">
        <f aca="true" t="shared" si="40" ref="C198:C207">"49"</f>
        <v>49</v>
      </c>
      <c r="D198" s="8" t="s">
        <v>102</v>
      </c>
      <c r="E198" s="8" t="str">
        <f>"袁雅婷"</f>
        <v>袁雅婷</v>
      </c>
      <c r="F198" s="8" t="str">
        <f>"专科"</f>
        <v>专科</v>
      </c>
      <c r="G198" s="8" t="str">
        <f t="shared" si="39"/>
        <v>学前教育</v>
      </c>
      <c r="H198" s="8" t="str">
        <f>"盐城幼儿师范高等专科学校"</f>
        <v>盐城幼儿师范高等专科学校</v>
      </c>
      <c r="I198" s="8"/>
      <c r="J198" s="35">
        <v>80.5</v>
      </c>
      <c r="K198" s="35">
        <v>84.17</v>
      </c>
      <c r="L198" s="35">
        <v>86.6</v>
      </c>
      <c r="M198" s="36">
        <v>84.28</v>
      </c>
      <c r="N198" s="8">
        <v>1</v>
      </c>
      <c r="O198" s="37"/>
      <c r="P198" s="38" t="s">
        <v>105</v>
      </c>
    </row>
    <row r="199" spans="1:16" ht="15" customHeight="1">
      <c r="A199" s="5">
        <v>197</v>
      </c>
      <c r="B199" s="7" t="str">
        <f>"224901408"</f>
        <v>224901408</v>
      </c>
      <c r="C199" s="12" t="str">
        <f t="shared" si="40"/>
        <v>49</v>
      </c>
      <c r="D199" s="12" t="s">
        <v>102</v>
      </c>
      <c r="E199" s="12" t="str">
        <f>"汤越凌"</f>
        <v>汤越凌</v>
      </c>
      <c r="F199" s="7" t="str">
        <f>"专科"</f>
        <v>专科</v>
      </c>
      <c r="G199" s="7" t="str">
        <f t="shared" si="39"/>
        <v>学前教育</v>
      </c>
      <c r="H199" s="7" t="str">
        <f>"南通师范高等专科学校"</f>
        <v>南通师范高等专科学校</v>
      </c>
      <c r="I199" s="7"/>
      <c r="J199" s="28">
        <v>86.5</v>
      </c>
      <c r="K199" s="28">
        <v>87.17</v>
      </c>
      <c r="L199" s="28">
        <v>80.6</v>
      </c>
      <c r="M199" s="25">
        <v>83.68</v>
      </c>
      <c r="N199" s="7">
        <v>2</v>
      </c>
      <c r="O199" s="29"/>
      <c r="P199" s="38"/>
    </row>
    <row r="200" spans="1:16" ht="15" customHeight="1">
      <c r="A200" s="5">
        <v>198</v>
      </c>
      <c r="B200" s="7" t="str">
        <f>"224902223"</f>
        <v>224902223</v>
      </c>
      <c r="C200" s="7" t="str">
        <f t="shared" si="40"/>
        <v>49</v>
      </c>
      <c r="D200" s="7" t="s">
        <v>102</v>
      </c>
      <c r="E200" s="7" t="str">
        <f>"顾玉竹"</f>
        <v>顾玉竹</v>
      </c>
      <c r="F200" s="7" t="str">
        <f>"本科"</f>
        <v>本科</v>
      </c>
      <c r="G200" s="7" t="str">
        <f t="shared" si="39"/>
        <v>学前教育</v>
      </c>
      <c r="H200" s="7" t="str">
        <f>"福建师范大学"</f>
        <v>福建师范大学</v>
      </c>
      <c r="I200" s="23" t="str">
        <f>"如东县车辆管理所"</f>
        <v>如东县车辆管理所</v>
      </c>
      <c r="J200" s="24">
        <v>85</v>
      </c>
      <c r="K200" s="24">
        <v>83.83</v>
      </c>
      <c r="L200" s="24">
        <v>80.2</v>
      </c>
      <c r="M200" s="25">
        <v>82.37</v>
      </c>
      <c r="N200" s="7">
        <v>3</v>
      </c>
      <c r="O200" s="29"/>
      <c r="P200" s="38"/>
    </row>
    <row r="201" spans="1:16" ht="15" customHeight="1">
      <c r="A201" s="5">
        <v>199</v>
      </c>
      <c r="B201" s="7" t="str">
        <f>"224901815"</f>
        <v>224901815</v>
      </c>
      <c r="C201" s="8" t="str">
        <f t="shared" si="40"/>
        <v>49</v>
      </c>
      <c r="D201" s="8" t="s">
        <v>102</v>
      </c>
      <c r="E201" s="8" t="str">
        <f>"唐丹丹"</f>
        <v>唐丹丹</v>
      </c>
      <c r="F201" s="7" t="str">
        <f>"专科"</f>
        <v>专科</v>
      </c>
      <c r="G201" s="7" t="str">
        <f t="shared" si="39"/>
        <v>学前教育</v>
      </c>
      <c r="H201" s="7" t="str">
        <f>"江苏联合职业技术学院"</f>
        <v>江苏联合职业技术学院</v>
      </c>
      <c r="I201" s="7"/>
      <c r="J201" s="28">
        <v>85</v>
      </c>
      <c r="K201" s="28">
        <v>81.47</v>
      </c>
      <c r="L201" s="28">
        <v>80</v>
      </c>
      <c r="M201" s="25">
        <v>81.79</v>
      </c>
      <c r="N201" s="7">
        <v>4</v>
      </c>
      <c r="O201" s="29"/>
      <c r="P201" s="38"/>
    </row>
    <row r="202" spans="1:16" ht="15" customHeight="1">
      <c r="A202" s="5">
        <v>200</v>
      </c>
      <c r="B202" s="7" t="str">
        <f>"224900821"</f>
        <v>224900821</v>
      </c>
      <c r="C202" s="7" t="str">
        <f t="shared" si="40"/>
        <v>49</v>
      </c>
      <c r="D202" s="7" t="s">
        <v>102</v>
      </c>
      <c r="E202" s="7" t="str">
        <f>"周金燕"</f>
        <v>周金燕</v>
      </c>
      <c r="F202" s="7" t="str">
        <f>"本科"</f>
        <v>本科</v>
      </c>
      <c r="G202" s="7" t="str">
        <f t="shared" si="39"/>
        <v>学前教育</v>
      </c>
      <c r="H202" s="7" t="str">
        <f>"江苏第二师范学院"</f>
        <v>江苏第二师范学院</v>
      </c>
      <c r="I202" s="7" t="str">
        <f>"海门五港幼儿园"</f>
        <v>海门五港幼儿园</v>
      </c>
      <c r="J202" s="28">
        <v>86.5</v>
      </c>
      <c r="K202" s="28">
        <v>81.5</v>
      </c>
      <c r="L202" s="28">
        <v>78.2</v>
      </c>
      <c r="M202" s="25">
        <v>81.35</v>
      </c>
      <c r="N202" s="7">
        <v>5</v>
      </c>
      <c r="O202" s="29"/>
      <c r="P202" s="38"/>
    </row>
    <row r="203" spans="1:16" ht="15" customHeight="1">
      <c r="A203" s="5">
        <v>201</v>
      </c>
      <c r="B203" s="7" t="str">
        <f>"224900304"</f>
        <v>224900304</v>
      </c>
      <c r="C203" s="7" t="str">
        <f t="shared" si="40"/>
        <v>49</v>
      </c>
      <c r="D203" s="7" t="s">
        <v>102</v>
      </c>
      <c r="E203" s="7" t="str">
        <f>"丁夏华"</f>
        <v>丁夏华</v>
      </c>
      <c r="F203" s="7" t="str">
        <f>"专科"</f>
        <v>专科</v>
      </c>
      <c r="G203" s="7" t="str">
        <f t="shared" si="39"/>
        <v>学前教育</v>
      </c>
      <c r="H203" s="7" t="str">
        <f>"连云港师范高等专科学校"</f>
        <v>连云港师范高等专科学校</v>
      </c>
      <c r="I203" s="7" t="str">
        <f>"海安市白甸镇中心幼儿园"</f>
        <v>海安市白甸镇中心幼儿园</v>
      </c>
      <c r="J203" s="28">
        <v>75</v>
      </c>
      <c r="K203" s="28">
        <v>83.67</v>
      </c>
      <c r="L203" s="28">
        <v>84.2</v>
      </c>
      <c r="M203" s="25">
        <v>81.33</v>
      </c>
      <c r="N203" s="7">
        <v>6</v>
      </c>
      <c r="O203" s="29"/>
      <c r="P203" s="38"/>
    </row>
    <row r="204" spans="1:16" ht="15" customHeight="1">
      <c r="A204" s="5">
        <v>202</v>
      </c>
      <c r="B204" s="7" t="str">
        <f>"224901930"</f>
        <v>224901930</v>
      </c>
      <c r="C204" s="7" t="str">
        <f t="shared" si="40"/>
        <v>49</v>
      </c>
      <c r="D204" s="7" t="s">
        <v>102</v>
      </c>
      <c r="E204" s="7" t="str">
        <f>"屠梦祺"</f>
        <v>屠梦祺</v>
      </c>
      <c r="F204" s="7" t="str">
        <f>"专科"</f>
        <v>专科</v>
      </c>
      <c r="G204" s="7" t="str">
        <f t="shared" si="39"/>
        <v>学前教育</v>
      </c>
      <c r="H204" s="7" t="str">
        <f>"徐州幼儿师范高等专科学校"</f>
        <v>徐州幼儿师范高等专科学校</v>
      </c>
      <c r="I204" s="7"/>
      <c r="J204" s="28">
        <v>79.5</v>
      </c>
      <c r="K204" s="28">
        <v>79.5</v>
      </c>
      <c r="L204" s="28">
        <v>82.8</v>
      </c>
      <c r="M204" s="25">
        <v>81.15</v>
      </c>
      <c r="N204" s="7">
        <v>7</v>
      </c>
      <c r="O204" s="29"/>
      <c r="P204" s="38"/>
    </row>
    <row r="205" spans="1:16" ht="15" customHeight="1">
      <c r="A205" s="5">
        <v>203</v>
      </c>
      <c r="B205" s="7" t="str">
        <f>"224901904"</f>
        <v>224901904</v>
      </c>
      <c r="C205" s="12" t="str">
        <f t="shared" si="40"/>
        <v>49</v>
      </c>
      <c r="D205" s="12" t="s">
        <v>102</v>
      </c>
      <c r="E205" s="12" t="str">
        <f>"梁维维"</f>
        <v>梁维维</v>
      </c>
      <c r="F205" s="7" t="str">
        <f aca="true" t="shared" si="41" ref="F205:F211">"本科"</f>
        <v>本科</v>
      </c>
      <c r="G205" s="7" t="str">
        <f t="shared" si="39"/>
        <v>学前教育</v>
      </c>
      <c r="H205" s="7" t="str">
        <f>"北京师范大学"</f>
        <v>北京师范大学</v>
      </c>
      <c r="I205" s="7" t="str">
        <f>"如皋市港城实验幼儿园"</f>
        <v>如皋市港城实验幼儿园</v>
      </c>
      <c r="J205" s="28">
        <v>76</v>
      </c>
      <c r="K205" s="28">
        <v>79.63</v>
      </c>
      <c r="L205" s="28">
        <v>84</v>
      </c>
      <c r="M205" s="25">
        <v>80.73</v>
      </c>
      <c r="N205" s="7">
        <v>8</v>
      </c>
      <c r="O205" s="29"/>
      <c r="P205" s="38"/>
    </row>
    <row r="206" spans="1:16" ht="15" customHeight="1">
      <c r="A206" s="5">
        <v>204</v>
      </c>
      <c r="B206" s="7" t="str">
        <f>"224900319"</f>
        <v>224900319</v>
      </c>
      <c r="C206" s="7" t="str">
        <f t="shared" si="40"/>
        <v>49</v>
      </c>
      <c r="D206" s="7" t="s">
        <v>102</v>
      </c>
      <c r="E206" s="7" t="str">
        <f>"凌华丽"</f>
        <v>凌华丽</v>
      </c>
      <c r="F206" s="7" t="str">
        <f t="shared" si="41"/>
        <v>本科</v>
      </c>
      <c r="G206" s="7" t="str">
        <f t="shared" si="39"/>
        <v>学前教育</v>
      </c>
      <c r="H206" s="7" t="str">
        <f>"南京晓庄学院"</f>
        <v>南京晓庄学院</v>
      </c>
      <c r="I206" s="23" t="str">
        <f>"泰州市姜堰区沈高幼儿园"</f>
        <v>泰州市姜堰区沈高幼儿园</v>
      </c>
      <c r="J206" s="24">
        <v>81.5</v>
      </c>
      <c r="K206" s="24">
        <v>81.17</v>
      </c>
      <c r="L206" s="24">
        <v>80</v>
      </c>
      <c r="M206" s="25">
        <v>80.68</v>
      </c>
      <c r="N206" s="7">
        <v>9</v>
      </c>
      <c r="O206" s="29"/>
      <c r="P206" s="38"/>
    </row>
    <row r="207" spans="1:16" ht="15" customHeight="1">
      <c r="A207" s="5">
        <v>205</v>
      </c>
      <c r="B207" s="10" t="str">
        <f>"224900110"</f>
        <v>224900110</v>
      </c>
      <c r="C207" s="10" t="str">
        <f t="shared" si="40"/>
        <v>49</v>
      </c>
      <c r="D207" s="10" t="s">
        <v>102</v>
      </c>
      <c r="E207" s="10" t="str">
        <f>"张锁"</f>
        <v>张锁</v>
      </c>
      <c r="F207" s="10" t="str">
        <f t="shared" si="41"/>
        <v>本科</v>
      </c>
      <c r="G207" s="10" t="str">
        <f t="shared" si="39"/>
        <v>学前教育</v>
      </c>
      <c r="H207" s="10" t="str">
        <f>"南通大学"</f>
        <v>南通大学</v>
      </c>
      <c r="I207" s="53" t="str">
        <f>"海安高新区海南幼儿园"</f>
        <v>海安高新区海南幼儿园</v>
      </c>
      <c r="J207" s="54">
        <v>79</v>
      </c>
      <c r="K207" s="54">
        <v>77.17</v>
      </c>
      <c r="L207" s="54">
        <v>82.86</v>
      </c>
      <c r="M207" s="32">
        <v>80.56</v>
      </c>
      <c r="N207" s="10">
        <v>10</v>
      </c>
      <c r="O207" s="33"/>
      <c r="P207" s="42"/>
    </row>
    <row r="208" spans="1:16" ht="15" customHeight="1">
      <c r="A208" s="5">
        <v>206</v>
      </c>
      <c r="B208" s="8" t="str">
        <f>"225002928"</f>
        <v>225002928</v>
      </c>
      <c r="C208" s="8" t="str">
        <f aca="true" t="shared" si="42" ref="C208:C216">"50"</f>
        <v>50</v>
      </c>
      <c r="D208" s="8" t="s">
        <v>102</v>
      </c>
      <c r="E208" s="8" t="str">
        <f>"田张裔"</f>
        <v>田张裔</v>
      </c>
      <c r="F208" s="8" t="str">
        <f t="shared" si="41"/>
        <v>本科</v>
      </c>
      <c r="G208" s="8" t="str">
        <f t="shared" si="39"/>
        <v>学前教育</v>
      </c>
      <c r="H208" s="8" t="str">
        <f>"江苏第二师范学院"</f>
        <v>江苏第二师范学院</v>
      </c>
      <c r="I208" s="8"/>
      <c r="J208" s="35">
        <v>87.5</v>
      </c>
      <c r="K208" s="35">
        <v>90.07</v>
      </c>
      <c r="L208" s="35">
        <v>85.4</v>
      </c>
      <c r="M208" s="36">
        <v>86.96</v>
      </c>
      <c r="N208" s="8">
        <v>1</v>
      </c>
      <c r="O208" s="37" t="s">
        <v>30</v>
      </c>
      <c r="P208" s="38" t="s">
        <v>106</v>
      </c>
    </row>
    <row r="209" spans="1:16" ht="15" customHeight="1">
      <c r="A209" s="5">
        <v>207</v>
      </c>
      <c r="B209" s="7" t="str">
        <f>"225002914"</f>
        <v>225002914</v>
      </c>
      <c r="C209" s="7" t="str">
        <f t="shared" si="42"/>
        <v>50</v>
      </c>
      <c r="D209" s="7" t="s">
        <v>102</v>
      </c>
      <c r="E209" s="7" t="str">
        <f>"程小敏"</f>
        <v>程小敏</v>
      </c>
      <c r="F209" s="7" t="str">
        <f t="shared" si="41"/>
        <v>本科</v>
      </c>
      <c r="G209" s="7" t="str">
        <f t="shared" si="39"/>
        <v>学前教育</v>
      </c>
      <c r="H209" s="7" t="str">
        <f>"盐城师范学院"</f>
        <v>盐城师范学院</v>
      </c>
      <c r="I209" s="7" t="str">
        <f>"如皋市搬经镇搬经幼儿园"</f>
        <v>如皋市搬经镇搬经幼儿园</v>
      </c>
      <c r="J209" s="28">
        <v>85.5</v>
      </c>
      <c r="K209" s="28">
        <v>74.93</v>
      </c>
      <c r="L209" s="28">
        <v>86.2</v>
      </c>
      <c r="M209" s="25">
        <v>83.74</v>
      </c>
      <c r="N209" s="7">
        <v>2</v>
      </c>
      <c r="O209" s="29"/>
      <c r="P209" s="30"/>
    </row>
    <row r="210" spans="1:16" ht="15" customHeight="1">
      <c r="A210" s="5">
        <v>208</v>
      </c>
      <c r="B210" s="7" t="str">
        <f>"225001211"</f>
        <v>225001211</v>
      </c>
      <c r="C210" s="7" t="str">
        <f t="shared" si="42"/>
        <v>50</v>
      </c>
      <c r="D210" s="7" t="s">
        <v>102</v>
      </c>
      <c r="E210" s="7" t="str">
        <f>"池佳"</f>
        <v>池佳</v>
      </c>
      <c r="F210" s="7" t="str">
        <f t="shared" si="41"/>
        <v>本科</v>
      </c>
      <c r="G210" s="7" t="str">
        <f t="shared" si="39"/>
        <v>学前教育</v>
      </c>
      <c r="H210" s="7" t="str">
        <f>"福建师范大学"</f>
        <v>福建师范大学</v>
      </c>
      <c r="I210" s="7" t="str">
        <f>"海安高新区青萍幼儿园"</f>
        <v>海安高新区青萍幼儿园</v>
      </c>
      <c r="J210" s="28">
        <v>82.5</v>
      </c>
      <c r="K210" s="28">
        <v>75.73</v>
      </c>
      <c r="L210" s="28">
        <v>81.6</v>
      </c>
      <c r="M210" s="25">
        <v>80.7</v>
      </c>
      <c r="N210" s="7">
        <v>3</v>
      </c>
      <c r="O210" s="29"/>
      <c r="P210" s="30"/>
    </row>
    <row r="211" spans="1:16" ht="15" customHeight="1">
      <c r="A211" s="5">
        <v>209</v>
      </c>
      <c r="B211" s="7" t="str">
        <f>"225002505"</f>
        <v>225002505</v>
      </c>
      <c r="C211" s="7" t="str">
        <f t="shared" si="42"/>
        <v>50</v>
      </c>
      <c r="D211" s="7" t="s">
        <v>102</v>
      </c>
      <c r="E211" s="7" t="str">
        <f>"刘沛佳"</f>
        <v>刘沛佳</v>
      </c>
      <c r="F211" s="7" t="str">
        <f t="shared" si="41"/>
        <v>本科</v>
      </c>
      <c r="G211" s="7" t="str">
        <f t="shared" si="39"/>
        <v>学前教育</v>
      </c>
      <c r="H211" s="7" t="str">
        <f>"扬州大学"</f>
        <v>扬州大学</v>
      </c>
      <c r="I211" s="7" t="str">
        <f>"洋口镇洋口幼儿园（编外）"</f>
        <v>洋口镇洋口幼儿园（编外）</v>
      </c>
      <c r="J211" s="28">
        <v>79.5</v>
      </c>
      <c r="K211" s="28">
        <v>74.07</v>
      </c>
      <c r="L211" s="28">
        <v>82.2</v>
      </c>
      <c r="M211" s="25">
        <v>79.76</v>
      </c>
      <c r="N211" s="7">
        <v>4</v>
      </c>
      <c r="O211" s="29"/>
      <c r="P211" s="30"/>
    </row>
    <row r="212" spans="1:16" ht="15" customHeight="1">
      <c r="A212" s="5">
        <v>210</v>
      </c>
      <c r="B212" s="7" t="str">
        <f>"225002211"</f>
        <v>225002211</v>
      </c>
      <c r="C212" s="7" t="str">
        <f t="shared" si="42"/>
        <v>50</v>
      </c>
      <c r="D212" s="7" t="s">
        <v>102</v>
      </c>
      <c r="E212" s="7" t="str">
        <f>"余国丹"</f>
        <v>余国丹</v>
      </c>
      <c r="F212" s="7" t="str">
        <f>"专科"</f>
        <v>专科</v>
      </c>
      <c r="G212" s="7" t="str">
        <f t="shared" si="39"/>
        <v>学前教育</v>
      </c>
      <c r="H212" s="7" t="str">
        <f>"泰州学院"</f>
        <v>泰州学院</v>
      </c>
      <c r="I212" s="7"/>
      <c r="J212" s="28">
        <v>91</v>
      </c>
      <c r="K212" s="28">
        <v>79.1</v>
      </c>
      <c r="L212" s="28">
        <v>73.2</v>
      </c>
      <c r="M212" s="25">
        <v>79.72</v>
      </c>
      <c r="N212" s="7">
        <v>5</v>
      </c>
      <c r="O212" s="29"/>
      <c r="P212" s="30"/>
    </row>
    <row r="213" spans="1:16" ht="15" customHeight="1">
      <c r="A213" s="5">
        <v>211</v>
      </c>
      <c r="B213" s="7" t="str">
        <f>"225002308"</f>
        <v>225002308</v>
      </c>
      <c r="C213" s="7" t="str">
        <f t="shared" si="42"/>
        <v>50</v>
      </c>
      <c r="D213" s="7" t="s">
        <v>102</v>
      </c>
      <c r="E213" s="7" t="str">
        <f>"黄晓婷"</f>
        <v>黄晓婷</v>
      </c>
      <c r="F213" s="7" t="str">
        <f>"专科"</f>
        <v>专科</v>
      </c>
      <c r="G213" s="7" t="str">
        <f t="shared" si="39"/>
        <v>学前教育</v>
      </c>
      <c r="H213" s="7" t="str">
        <f>"福建师范大学"</f>
        <v>福建师范大学</v>
      </c>
      <c r="I213" s="7" t="str">
        <f>"如皋市东皋幼儿园"</f>
        <v>如皋市东皋幼儿园</v>
      </c>
      <c r="J213" s="28">
        <v>84</v>
      </c>
      <c r="K213" s="28">
        <v>84.43</v>
      </c>
      <c r="L213" s="28">
        <v>74.6</v>
      </c>
      <c r="M213" s="25">
        <v>79.39</v>
      </c>
      <c r="N213" s="7">
        <v>7</v>
      </c>
      <c r="O213" s="29"/>
      <c r="P213" s="30"/>
    </row>
    <row r="214" spans="1:16" ht="15" customHeight="1">
      <c r="A214" s="5">
        <v>212</v>
      </c>
      <c r="B214" s="7" t="str">
        <f>"225002925"</f>
        <v>225002925</v>
      </c>
      <c r="C214" s="7" t="str">
        <f t="shared" si="42"/>
        <v>50</v>
      </c>
      <c r="D214" s="7" t="s">
        <v>102</v>
      </c>
      <c r="E214" s="7" t="str">
        <f>"赵羽瑄"</f>
        <v>赵羽瑄</v>
      </c>
      <c r="F214" s="7" t="str">
        <f>"专科"</f>
        <v>专科</v>
      </c>
      <c r="G214" s="7" t="str">
        <f t="shared" si="39"/>
        <v>学前教育</v>
      </c>
      <c r="H214" s="7" t="str">
        <f>"南通师范高等专科学校"</f>
        <v>南通师范高等专科学校</v>
      </c>
      <c r="I214" s="7"/>
      <c r="J214" s="28">
        <v>87.5</v>
      </c>
      <c r="K214" s="28">
        <v>75.7</v>
      </c>
      <c r="L214" s="28">
        <v>75.6</v>
      </c>
      <c r="M214" s="25">
        <v>79.19</v>
      </c>
      <c r="N214" s="7">
        <v>8</v>
      </c>
      <c r="O214" s="29"/>
      <c r="P214" s="30"/>
    </row>
    <row r="215" spans="1:16" ht="15" customHeight="1">
      <c r="A215" s="5">
        <v>213</v>
      </c>
      <c r="B215" s="7" t="str">
        <f>"225003324"</f>
        <v>225003324</v>
      </c>
      <c r="C215" s="7" t="str">
        <f t="shared" si="42"/>
        <v>50</v>
      </c>
      <c r="D215" s="7" t="s">
        <v>102</v>
      </c>
      <c r="E215" s="7" t="str">
        <f>"王媛靖"</f>
        <v>王媛靖</v>
      </c>
      <c r="F215" s="7" t="str">
        <f>"本科"</f>
        <v>本科</v>
      </c>
      <c r="G215" s="7" t="str">
        <f t="shared" si="39"/>
        <v>学前教育</v>
      </c>
      <c r="H215" s="7" t="str">
        <f>"南通大学"</f>
        <v>南通大学</v>
      </c>
      <c r="I215" s="7" t="str">
        <f>"海安市曲塘镇中心幼儿园"</f>
        <v>海安市曲塘镇中心幼儿园</v>
      </c>
      <c r="J215" s="28">
        <v>81</v>
      </c>
      <c r="K215" s="28">
        <v>73.27</v>
      </c>
      <c r="L215" s="28">
        <v>78</v>
      </c>
      <c r="M215" s="25">
        <v>77.95</v>
      </c>
      <c r="N215" s="7">
        <v>9</v>
      </c>
      <c r="O215" s="29"/>
      <c r="P215" s="30"/>
    </row>
    <row r="216" spans="1:16" ht="15" customHeight="1">
      <c r="A216" s="9">
        <v>214</v>
      </c>
      <c r="B216" s="10" t="str">
        <f>"225001430"</f>
        <v>225001430</v>
      </c>
      <c r="C216" s="10" t="str">
        <f t="shared" si="42"/>
        <v>50</v>
      </c>
      <c r="D216" s="10" t="s">
        <v>102</v>
      </c>
      <c r="E216" s="10" t="str">
        <f>"沈童"</f>
        <v>沈童</v>
      </c>
      <c r="F216" s="10" t="str">
        <f>"专科"</f>
        <v>专科</v>
      </c>
      <c r="G216" s="10" t="str">
        <f t="shared" si="39"/>
        <v>学前教育</v>
      </c>
      <c r="H216" s="10" t="str">
        <f>"苏州幼儿师范高等专科学校"</f>
        <v>苏州幼儿师范高等专科学校</v>
      </c>
      <c r="I216" s="10"/>
      <c r="J216" s="31">
        <v>79</v>
      </c>
      <c r="K216" s="31">
        <v>80.57</v>
      </c>
      <c r="L216" s="31">
        <v>76.2</v>
      </c>
      <c r="M216" s="32">
        <v>77.91</v>
      </c>
      <c r="N216" s="10">
        <v>10</v>
      </c>
      <c r="O216" s="33"/>
      <c r="P216" s="34"/>
    </row>
    <row r="217" spans="1:16" ht="15" customHeight="1">
      <c r="A217" s="11">
        <v>215</v>
      </c>
      <c r="B217" s="8" t="str">
        <f>"225102210"</f>
        <v>225102210</v>
      </c>
      <c r="C217" s="8" t="str">
        <f aca="true" t="shared" si="43" ref="C217:C226">"51"</f>
        <v>51</v>
      </c>
      <c r="D217" s="8" t="s">
        <v>102</v>
      </c>
      <c r="E217" s="8" t="str">
        <f>"曹淑仪"</f>
        <v>曹淑仪</v>
      </c>
      <c r="F217" s="8" t="str">
        <f>"专科"</f>
        <v>专科</v>
      </c>
      <c r="G217" s="8" t="str">
        <f t="shared" si="39"/>
        <v>学前教育</v>
      </c>
      <c r="H217" s="8" t="str">
        <f>"南通师范高等专科学校"</f>
        <v>南通师范高等专科学校</v>
      </c>
      <c r="I217" s="8" t="str">
        <f>"南通市小海街道星月幼儿园"</f>
        <v>南通市小海街道星月幼儿园</v>
      </c>
      <c r="J217" s="35">
        <v>79</v>
      </c>
      <c r="K217" s="35">
        <v>84.33</v>
      </c>
      <c r="L217" s="35">
        <v>88.8</v>
      </c>
      <c r="M217" s="36">
        <v>84.97</v>
      </c>
      <c r="N217" s="8">
        <v>1</v>
      </c>
      <c r="O217" s="37"/>
      <c r="P217" s="38" t="s">
        <v>107</v>
      </c>
    </row>
    <row r="218" spans="1:16" ht="15" customHeight="1">
      <c r="A218" s="5">
        <v>216</v>
      </c>
      <c r="B218" s="7" t="str">
        <f>"225100103"</f>
        <v>225100103</v>
      </c>
      <c r="C218" s="7" t="str">
        <f t="shared" si="43"/>
        <v>51</v>
      </c>
      <c r="D218" s="7" t="s">
        <v>102</v>
      </c>
      <c r="E218" s="7" t="str">
        <f>"刘晓敏"</f>
        <v>刘晓敏</v>
      </c>
      <c r="F218" s="7" t="str">
        <f>"本科"</f>
        <v>本科</v>
      </c>
      <c r="G218" s="7" t="str">
        <f t="shared" si="39"/>
        <v>学前教育</v>
      </c>
      <c r="H218" s="7" t="str">
        <f>"福建师范大学"</f>
        <v>福建师范大学</v>
      </c>
      <c r="I218" s="7" t="str">
        <f>"如皋市城东实验幼儿园"</f>
        <v>如皋市城东实验幼儿园</v>
      </c>
      <c r="J218" s="28">
        <v>89</v>
      </c>
      <c r="K218" s="28">
        <v>81.83</v>
      </c>
      <c r="L218" s="28">
        <v>82.7</v>
      </c>
      <c r="M218" s="25">
        <v>84.42</v>
      </c>
      <c r="N218" s="7">
        <v>2</v>
      </c>
      <c r="O218" s="29"/>
      <c r="P218" s="30"/>
    </row>
    <row r="219" spans="1:16" ht="15" customHeight="1">
      <c r="A219" s="5">
        <v>217</v>
      </c>
      <c r="B219" s="7" t="str">
        <f>"225101905"</f>
        <v>225101905</v>
      </c>
      <c r="C219" s="7" t="str">
        <f t="shared" si="43"/>
        <v>51</v>
      </c>
      <c r="D219" s="7" t="s">
        <v>102</v>
      </c>
      <c r="E219" s="7" t="str">
        <f>"刘鑫"</f>
        <v>刘鑫</v>
      </c>
      <c r="F219" s="7" t="str">
        <f>"本科"</f>
        <v>本科</v>
      </c>
      <c r="G219" s="7" t="str">
        <f t="shared" si="39"/>
        <v>学前教育</v>
      </c>
      <c r="H219" s="7" t="str">
        <f>"扬州大学"</f>
        <v>扬州大学</v>
      </c>
      <c r="I219" s="7" t="str">
        <f>"盐城市北蒋中心幼儿园"</f>
        <v>盐城市北蒋中心幼儿园</v>
      </c>
      <c r="J219" s="28">
        <v>80.5</v>
      </c>
      <c r="K219" s="28">
        <v>81.33</v>
      </c>
      <c r="L219" s="28">
        <v>86.6</v>
      </c>
      <c r="M219" s="25">
        <v>83.72</v>
      </c>
      <c r="N219" s="7">
        <v>3</v>
      </c>
      <c r="O219" s="29"/>
      <c r="P219" s="30"/>
    </row>
    <row r="220" spans="1:16" ht="15" customHeight="1">
      <c r="A220" s="5">
        <v>218</v>
      </c>
      <c r="B220" s="7" t="str">
        <f>"225103425"</f>
        <v>225103425</v>
      </c>
      <c r="C220" s="7" t="str">
        <f t="shared" si="43"/>
        <v>51</v>
      </c>
      <c r="D220" s="7" t="s">
        <v>102</v>
      </c>
      <c r="E220" s="7" t="str">
        <f>"顾静"</f>
        <v>顾静</v>
      </c>
      <c r="F220" s="7" t="str">
        <f>"专科"</f>
        <v>专科</v>
      </c>
      <c r="G220" s="7" t="str">
        <f>"学前教育（师范）"</f>
        <v>学前教育（师范）</v>
      </c>
      <c r="H220" s="7" t="str">
        <f>"扬州市职业大学"</f>
        <v>扬州市职业大学</v>
      </c>
      <c r="I220" s="7"/>
      <c r="J220" s="28">
        <v>81</v>
      </c>
      <c r="K220" s="28">
        <v>75.83</v>
      </c>
      <c r="L220" s="28">
        <v>88</v>
      </c>
      <c r="M220" s="25">
        <v>83.47</v>
      </c>
      <c r="N220" s="7">
        <v>4</v>
      </c>
      <c r="O220" s="29"/>
      <c r="P220" s="30"/>
    </row>
    <row r="221" spans="1:16" ht="15" customHeight="1">
      <c r="A221" s="5">
        <v>219</v>
      </c>
      <c r="B221" s="7" t="str">
        <f>"225103012"</f>
        <v>225103012</v>
      </c>
      <c r="C221" s="7" t="str">
        <f t="shared" si="43"/>
        <v>51</v>
      </c>
      <c r="D221" s="7" t="s">
        <v>102</v>
      </c>
      <c r="E221" s="7" t="str">
        <f>"姜露瑶"</f>
        <v>姜露瑶</v>
      </c>
      <c r="F221" s="7" t="str">
        <f>"专科"</f>
        <v>专科</v>
      </c>
      <c r="G221" s="7" t="str">
        <f>"小学音乐教育"</f>
        <v>小学音乐教育</v>
      </c>
      <c r="H221" s="7" t="str">
        <f>"南通师范高等专科学校"</f>
        <v>南通师范高等专科学校</v>
      </c>
      <c r="I221" s="7"/>
      <c r="J221" s="28">
        <v>77</v>
      </c>
      <c r="K221" s="28">
        <v>86.33</v>
      </c>
      <c r="L221" s="28">
        <v>84.2</v>
      </c>
      <c r="M221" s="25">
        <v>82.47</v>
      </c>
      <c r="N221" s="7">
        <v>5</v>
      </c>
      <c r="O221" s="29"/>
      <c r="P221" s="30"/>
    </row>
    <row r="222" spans="1:16" ht="15" customHeight="1">
      <c r="A222" s="5">
        <v>220</v>
      </c>
      <c r="B222" s="7" t="str">
        <f>"225100215"</f>
        <v>225100215</v>
      </c>
      <c r="C222" s="7" t="str">
        <f t="shared" si="43"/>
        <v>51</v>
      </c>
      <c r="D222" s="7" t="s">
        <v>102</v>
      </c>
      <c r="E222" s="7" t="str">
        <f>"姚艺"</f>
        <v>姚艺</v>
      </c>
      <c r="F222" s="7" t="str">
        <f>"专科"</f>
        <v>专科</v>
      </c>
      <c r="G222" s="7" t="str">
        <f aca="true" t="shared" si="44" ref="G222:G241">"学前教育"</f>
        <v>学前教育</v>
      </c>
      <c r="H222" s="7" t="str">
        <f>"镇江高等专科学校"</f>
        <v>镇江高等专科学校</v>
      </c>
      <c r="I222" s="7"/>
      <c r="J222" s="28">
        <v>82.5</v>
      </c>
      <c r="K222" s="28">
        <v>81.17</v>
      </c>
      <c r="L222" s="28">
        <v>82.5</v>
      </c>
      <c r="M222" s="25">
        <v>82.23</v>
      </c>
      <c r="N222" s="7">
        <v>6</v>
      </c>
      <c r="O222" s="29"/>
      <c r="P222" s="30"/>
    </row>
    <row r="223" spans="1:16" ht="15" customHeight="1">
      <c r="A223" s="5">
        <v>221</v>
      </c>
      <c r="B223" s="7" t="str">
        <f>"225103313"</f>
        <v>225103313</v>
      </c>
      <c r="C223" s="12" t="str">
        <f t="shared" si="43"/>
        <v>51</v>
      </c>
      <c r="D223" s="12" t="s">
        <v>102</v>
      </c>
      <c r="E223" s="12" t="str">
        <f>"张陈诚"</f>
        <v>张陈诚</v>
      </c>
      <c r="F223" s="7" t="str">
        <f>"本科"</f>
        <v>本科</v>
      </c>
      <c r="G223" s="7" t="str">
        <f t="shared" si="44"/>
        <v>学前教育</v>
      </c>
      <c r="H223" s="7" t="str">
        <f>"华中师范大学"</f>
        <v>华中师范大学</v>
      </c>
      <c r="I223" s="7" t="str">
        <f>"如皋市安定幼儿园"</f>
        <v>如皋市安定幼儿园</v>
      </c>
      <c r="J223" s="28">
        <v>85.5</v>
      </c>
      <c r="K223" s="28">
        <v>76</v>
      </c>
      <c r="L223" s="28">
        <v>81.8</v>
      </c>
      <c r="M223" s="25">
        <v>81.75</v>
      </c>
      <c r="N223" s="7">
        <v>7</v>
      </c>
      <c r="O223" s="29"/>
      <c r="P223" s="30"/>
    </row>
    <row r="224" spans="1:16" ht="15" customHeight="1">
      <c r="A224" s="5">
        <v>222</v>
      </c>
      <c r="B224" s="7" t="str">
        <f>"225100616"</f>
        <v>225100616</v>
      </c>
      <c r="C224" s="7" t="str">
        <f t="shared" si="43"/>
        <v>51</v>
      </c>
      <c r="D224" s="7" t="s">
        <v>102</v>
      </c>
      <c r="E224" s="7" t="str">
        <f>"李朦"</f>
        <v>李朦</v>
      </c>
      <c r="F224" s="7" t="str">
        <f>"本科"</f>
        <v>本科</v>
      </c>
      <c r="G224" s="7" t="str">
        <f t="shared" si="44"/>
        <v>学前教育</v>
      </c>
      <c r="H224" s="7" t="str">
        <f>"华中师范大学"</f>
        <v>华中师范大学</v>
      </c>
      <c r="I224" s="23" t="str">
        <f>"如皋市港城实验幼儿园"</f>
        <v>如皋市港城实验幼儿园</v>
      </c>
      <c r="J224" s="24">
        <v>84</v>
      </c>
      <c r="K224" s="24">
        <v>76.83</v>
      </c>
      <c r="L224" s="24">
        <v>79.2</v>
      </c>
      <c r="M224" s="25">
        <v>80.17</v>
      </c>
      <c r="N224" s="7">
        <v>8</v>
      </c>
      <c r="O224" s="29"/>
      <c r="P224" s="30"/>
    </row>
    <row r="225" spans="1:16" ht="15" customHeight="1">
      <c r="A225" s="5">
        <v>223</v>
      </c>
      <c r="B225" s="7" t="str">
        <f>"225103419"</f>
        <v>225103419</v>
      </c>
      <c r="C225" s="7" t="str">
        <f t="shared" si="43"/>
        <v>51</v>
      </c>
      <c r="D225" s="7" t="s">
        <v>102</v>
      </c>
      <c r="E225" s="7" t="str">
        <f>"吴雨婷"</f>
        <v>吴雨婷</v>
      </c>
      <c r="F225" s="7" t="str">
        <f>"本科"</f>
        <v>本科</v>
      </c>
      <c r="G225" s="7" t="str">
        <f t="shared" si="44"/>
        <v>学前教育</v>
      </c>
      <c r="H225" s="7" t="str">
        <f>"教育科学学院"</f>
        <v>教育科学学院</v>
      </c>
      <c r="I225" s="23"/>
      <c r="J225" s="24">
        <v>78</v>
      </c>
      <c r="K225" s="24">
        <v>83.17</v>
      </c>
      <c r="L225" s="24">
        <v>79.8</v>
      </c>
      <c r="M225" s="25">
        <v>79.93</v>
      </c>
      <c r="N225" s="7">
        <v>9</v>
      </c>
      <c r="O225" s="29"/>
      <c r="P225" s="30"/>
    </row>
    <row r="226" spans="1:16" ht="15" customHeight="1">
      <c r="A226" s="9">
        <v>224</v>
      </c>
      <c r="B226" s="10" t="str">
        <f>"225100707"</f>
        <v>225100707</v>
      </c>
      <c r="C226" s="13" t="str">
        <f t="shared" si="43"/>
        <v>51</v>
      </c>
      <c r="D226" s="13" t="s">
        <v>102</v>
      </c>
      <c r="E226" s="13" t="str">
        <f>"金鑫"</f>
        <v>金鑫</v>
      </c>
      <c r="F226" s="10" t="str">
        <f>"本科"</f>
        <v>本科</v>
      </c>
      <c r="G226" s="10" t="str">
        <f t="shared" si="44"/>
        <v>学前教育</v>
      </c>
      <c r="H226" s="10" t="str">
        <f>"南通大学"</f>
        <v>南通大学</v>
      </c>
      <c r="I226" s="10" t="str">
        <f>"南通市崇川区友谊幼儿园"</f>
        <v>南通市崇川区友谊幼儿园</v>
      </c>
      <c r="J226" s="31">
        <v>75</v>
      </c>
      <c r="K226" s="31">
        <v>81</v>
      </c>
      <c r="L226" s="31">
        <v>81.6</v>
      </c>
      <c r="M226" s="32">
        <v>79.5</v>
      </c>
      <c r="N226" s="10">
        <v>10</v>
      </c>
      <c r="O226" s="33"/>
      <c r="P226" s="34"/>
    </row>
    <row r="227" spans="1:16" ht="15" customHeight="1">
      <c r="A227" s="11">
        <v>225</v>
      </c>
      <c r="B227" s="8" t="str">
        <f>"225202217"</f>
        <v>225202217</v>
      </c>
      <c r="C227" s="8" t="str">
        <f aca="true" t="shared" si="45" ref="C227:C236">"52"</f>
        <v>52</v>
      </c>
      <c r="D227" s="8" t="s">
        <v>102</v>
      </c>
      <c r="E227" s="8" t="str">
        <f>"杨雯雯"</f>
        <v>杨雯雯</v>
      </c>
      <c r="F227" s="8" t="str">
        <f>"硕士研究生"</f>
        <v>硕士研究生</v>
      </c>
      <c r="G227" s="8" t="str">
        <f t="shared" si="44"/>
        <v>学前教育</v>
      </c>
      <c r="H227" s="8" t="str">
        <f>"扬州大学"</f>
        <v>扬州大学</v>
      </c>
      <c r="I227" s="45" t="str">
        <f>"如皋经济技术开发区实验幼儿园"</f>
        <v>如皋经济技术开发区实验幼儿园</v>
      </c>
      <c r="J227" s="46">
        <v>93</v>
      </c>
      <c r="K227" s="46">
        <v>85.67</v>
      </c>
      <c r="L227" s="46">
        <v>83.4</v>
      </c>
      <c r="M227" s="36">
        <v>86.73</v>
      </c>
      <c r="N227" s="8">
        <v>1</v>
      </c>
      <c r="O227" s="59"/>
      <c r="P227" s="38" t="s">
        <v>108</v>
      </c>
    </row>
    <row r="228" spans="1:16" ht="15" customHeight="1">
      <c r="A228" s="5">
        <v>226</v>
      </c>
      <c r="B228" s="7" t="str">
        <f>"225203014"</f>
        <v>225203014</v>
      </c>
      <c r="C228" s="7" t="str">
        <f t="shared" si="45"/>
        <v>52</v>
      </c>
      <c r="D228" s="7" t="s">
        <v>102</v>
      </c>
      <c r="E228" s="7" t="str">
        <f>"陈朵"</f>
        <v>陈朵</v>
      </c>
      <c r="F228" s="7" t="str">
        <f>"专科"</f>
        <v>专科</v>
      </c>
      <c r="G228" s="7" t="str">
        <f t="shared" si="44"/>
        <v>学前教育</v>
      </c>
      <c r="H228" s="7" t="str">
        <f>"南通师范高等专科学校"</f>
        <v>南通师范高等专科学校</v>
      </c>
      <c r="I228" s="23"/>
      <c r="J228" s="24">
        <v>83</v>
      </c>
      <c r="K228" s="24">
        <v>85.5</v>
      </c>
      <c r="L228" s="24">
        <v>86.4</v>
      </c>
      <c r="M228" s="25">
        <v>85.2</v>
      </c>
      <c r="N228" s="7">
        <v>2</v>
      </c>
      <c r="O228" s="60"/>
      <c r="P228" s="61"/>
    </row>
    <row r="229" spans="1:16" ht="15" customHeight="1">
      <c r="A229" s="5">
        <v>227</v>
      </c>
      <c r="B229" s="7" t="str">
        <f>"225202422"</f>
        <v>225202422</v>
      </c>
      <c r="C229" s="8" t="str">
        <f t="shared" si="45"/>
        <v>52</v>
      </c>
      <c r="D229" s="8" t="s">
        <v>102</v>
      </c>
      <c r="E229" s="8" t="str">
        <f>"石柯霞"</f>
        <v>石柯霞</v>
      </c>
      <c r="F229" s="7" t="str">
        <f>"本科"</f>
        <v>本科</v>
      </c>
      <c r="G229" s="7" t="str">
        <f t="shared" si="44"/>
        <v>学前教育</v>
      </c>
      <c r="H229" s="7" t="str">
        <f>"南通大学"</f>
        <v>南通大学</v>
      </c>
      <c r="I229" s="7" t="str">
        <f>"南通市崇川区永兴幼儿园"</f>
        <v>南通市崇川区永兴幼儿园</v>
      </c>
      <c r="J229" s="28">
        <v>86.5</v>
      </c>
      <c r="K229" s="28">
        <v>81</v>
      </c>
      <c r="L229" s="28">
        <v>83.4</v>
      </c>
      <c r="M229" s="25">
        <v>83.85</v>
      </c>
      <c r="N229" s="7">
        <v>3</v>
      </c>
      <c r="O229" s="60"/>
      <c r="P229" s="61"/>
    </row>
    <row r="230" spans="1:16" ht="15" customHeight="1">
      <c r="A230" s="5">
        <v>228</v>
      </c>
      <c r="B230" s="7" t="str">
        <f>"225201520"</f>
        <v>225201520</v>
      </c>
      <c r="C230" s="7" t="str">
        <f t="shared" si="45"/>
        <v>52</v>
      </c>
      <c r="D230" s="7" t="s">
        <v>102</v>
      </c>
      <c r="E230" s="7" t="str">
        <f>"殷彤"</f>
        <v>殷彤</v>
      </c>
      <c r="F230" s="7" t="str">
        <f>"本科"</f>
        <v>本科</v>
      </c>
      <c r="G230" s="7" t="str">
        <f t="shared" si="44"/>
        <v>学前教育</v>
      </c>
      <c r="H230" s="7" t="str">
        <f>"华东师范大学"</f>
        <v>华东师范大学</v>
      </c>
      <c r="I230" s="7"/>
      <c r="J230" s="28">
        <v>88</v>
      </c>
      <c r="K230" s="28">
        <v>82.83</v>
      </c>
      <c r="L230" s="28">
        <v>78.4</v>
      </c>
      <c r="M230" s="25">
        <v>82.17</v>
      </c>
      <c r="N230" s="7">
        <v>4</v>
      </c>
      <c r="O230" s="60"/>
      <c r="P230" s="61"/>
    </row>
    <row r="231" spans="1:16" ht="15" customHeight="1">
      <c r="A231" s="5">
        <v>229</v>
      </c>
      <c r="B231" s="7" t="str">
        <f>"225201010"</f>
        <v>225201010</v>
      </c>
      <c r="C231" s="7" t="str">
        <f t="shared" si="45"/>
        <v>52</v>
      </c>
      <c r="D231" s="7" t="s">
        <v>102</v>
      </c>
      <c r="E231" s="7" t="str">
        <f>"王诗淇"</f>
        <v>王诗淇</v>
      </c>
      <c r="F231" s="7" t="str">
        <f>"专科"</f>
        <v>专科</v>
      </c>
      <c r="G231" s="7" t="str">
        <f t="shared" si="44"/>
        <v>学前教育</v>
      </c>
      <c r="H231" s="7" t="str">
        <f>"南通师范高等师范学校"</f>
        <v>南通师范高等师范学校</v>
      </c>
      <c r="I231" s="7"/>
      <c r="J231" s="28">
        <v>83</v>
      </c>
      <c r="K231" s="28">
        <v>82</v>
      </c>
      <c r="L231" s="28">
        <v>80.2</v>
      </c>
      <c r="M231" s="25">
        <v>81.4</v>
      </c>
      <c r="N231" s="7">
        <v>5</v>
      </c>
      <c r="O231" s="60"/>
      <c r="P231" s="61"/>
    </row>
    <row r="232" spans="1:16" ht="15" customHeight="1">
      <c r="A232" s="5">
        <v>230</v>
      </c>
      <c r="B232" s="7" t="str">
        <f>"225201614"</f>
        <v>225201614</v>
      </c>
      <c r="C232" s="7" t="str">
        <f t="shared" si="45"/>
        <v>52</v>
      </c>
      <c r="D232" s="7" t="s">
        <v>102</v>
      </c>
      <c r="E232" s="7" t="str">
        <f>"黄苗苗"</f>
        <v>黄苗苗</v>
      </c>
      <c r="F232" s="7" t="str">
        <f>"本科"</f>
        <v>本科</v>
      </c>
      <c r="G232" s="7" t="str">
        <f t="shared" si="44"/>
        <v>学前教育</v>
      </c>
      <c r="H232" s="7" t="str">
        <f>"江苏师范大学"</f>
        <v>江苏师范大学</v>
      </c>
      <c r="I232" s="7" t="str">
        <f>"南通市东方岚谷豪庭幼儿园"</f>
        <v>南通市东方岚谷豪庭幼儿园</v>
      </c>
      <c r="J232" s="28">
        <v>80</v>
      </c>
      <c r="K232" s="28">
        <v>82.17</v>
      </c>
      <c r="L232" s="28">
        <v>81.4</v>
      </c>
      <c r="M232" s="25">
        <v>81.13</v>
      </c>
      <c r="N232" s="7">
        <v>6</v>
      </c>
      <c r="O232" s="60"/>
      <c r="P232" s="61"/>
    </row>
    <row r="233" spans="1:16" ht="15" customHeight="1">
      <c r="A233" s="5">
        <v>231</v>
      </c>
      <c r="B233" s="7" t="str">
        <f>"225201907"</f>
        <v>225201907</v>
      </c>
      <c r="C233" s="7" t="str">
        <f t="shared" si="45"/>
        <v>52</v>
      </c>
      <c r="D233" s="7" t="s">
        <v>102</v>
      </c>
      <c r="E233" s="7" t="str">
        <f>"杨睿"</f>
        <v>杨睿</v>
      </c>
      <c r="F233" s="7" t="str">
        <f>"专科"</f>
        <v>专科</v>
      </c>
      <c r="G233" s="7" t="str">
        <f t="shared" si="44"/>
        <v>学前教育</v>
      </c>
      <c r="H233" s="7" t="str">
        <f>"南通师范高等专科学校"</f>
        <v>南通师范高等专科学校</v>
      </c>
      <c r="I233" s="7"/>
      <c r="J233" s="28">
        <v>86.5</v>
      </c>
      <c r="K233" s="28">
        <v>82.83</v>
      </c>
      <c r="L233" s="28">
        <v>77</v>
      </c>
      <c r="M233" s="25">
        <v>81.02</v>
      </c>
      <c r="N233" s="7">
        <v>7</v>
      </c>
      <c r="O233" s="60"/>
      <c r="P233" s="61"/>
    </row>
    <row r="234" spans="1:16" ht="15" customHeight="1">
      <c r="A234" s="5">
        <v>232</v>
      </c>
      <c r="B234" s="7" t="str">
        <f>"225202820"</f>
        <v>225202820</v>
      </c>
      <c r="C234" s="7" t="str">
        <f t="shared" si="45"/>
        <v>52</v>
      </c>
      <c r="D234" s="7" t="s">
        <v>102</v>
      </c>
      <c r="E234" s="7" t="str">
        <f>"宗婷婷"</f>
        <v>宗婷婷</v>
      </c>
      <c r="F234" s="7" t="str">
        <f>"专科"</f>
        <v>专科</v>
      </c>
      <c r="G234" s="7" t="str">
        <f t="shared" si="44"/>
        <v>学前教育</v>
      </c>
      <c r="H234" s="7" t="str">
        <f>"中央广播电视大学"</f>
        <v>中央广播电视大学</v>
      </c>
      <c r="I234" s="7" t="str">
        <f>"南通市如皋市江安镇江安幼儿园"</f>
        <v>南通市如皋市江安镇江安幼儿园</v>
      </c>
      <c r="J234" s="28">
        <v>81</v>
      </c>
      <c r="K234" s="28">
        <v>75.17</v>
      </c>
      <c r="L234" s="28">
        <v>82.4</v>
      </c>
      <c r="M234" s="25">
        <v>80.53</v>
      </c>
      <c r="N234" s="7">
        <v>8</v>
      </c>
      <c r="O234" s="60"/>
      <c r="P234" s="61"/>
    </row>
    <row r="235" spans="1:16" ht="15" customHeight="1">
      <c r="A235" s="5">
        <v>233</v>
      </c>
      <c r="B235" s="7" t="str">
        <f>"225202414"</f>
        <v>225202414</v>
      </c>
      <c r="C235" s="7" t="str">
        <f t="shared" si="45"/>
        <v>52</v>
      </c>
      <c r="D235" s="7" t="s">
        <v>102</v>
      </c>
      <c r="E235" s="7" t="str">
        <f>"司静秋"</f>
        <v>司静秋</v>
      </c>
      <c r="F235" s="7" t="str">
        <f>"本科"</f>
        <v>本科</v>
      </c>
      <c r="G235" s="7" t="str">
        <f t="shared" si="44"/>
        <v>学前教育</v>
      </c>
      <c r="H235" s="7" t="str">
        <f>"南通大学"</f>
        <v>南通大学</v>
      </c>
      <c r="I235" s="7" t="str">
        <f>"公馆1895幼儿园"</f>
        <v>公馆1895幼儿园</v>
      </c>
      <c r="J235" s="28">
        <v>76</v>
      </c>
      <c r="K235" s="28">
        <v>87.67</v>
      </c>
      <c r="L235" s="28">
        <v>80.2</v>
      </c>
      <c r="M235" s="25">
        <v>80.43</v>
      </c>
      <c r="N235" s="7">
        <v>9</v>
      </c>
      <c r="O235" s="60"/>
      <c r="P235" s="61"/>
    </row>
    <row r="236" spans="1:16" ht="15" customHeight="1">
      <c r="A236" s="9">
        <v>234</v>
      </c>
      <c r="B236" s="10" t="str">
        <f>"225202024"</f>
        <v>225202024</v>
      </c>
      <c r="C236" s="10" t="str">
        <f t="shared" si="45"/>
        <v>52</v>
      </c>
      <c r="D236" s="10" t="s">
        <v>102</v>
      </c>
      <c r="E236" s="10" t="str">
        <f>"陆冰琰"</f>
        <v>陆冰琰</v>
      </c>
      <c r="F236" s="10" t="str">
        <f>"本科"</f>
        <v>本科</v>
      </c>
      <c r="G236" s="10" t="str">
        <f t="shared" si="44"/>
        <v>学前教育</v>
      </c>
      <c r="H236" s="10" t="str">
        <f>"江苏第二师范学院"</f>
        <v>江苏第二师范学院</v>
      </c>
      <c r="I236" s="10" t="str">
        <f>"启东市海复幼儿园"</f>
        <v>启东市海复幼儿园</v>
      </c>
      <c r="J236" s="31">
        <v>83.5</v>
      </c>
      <c r="K236" s="31">
        <v>79.33</v>
      </c>
      <c r="L236" s="31">
        <v>78.6</v>
      </c>
      <c r="M236" s="32">
        <v>80.22</v>
      </c>
      <c r="N236" s="10">
        <v>10</v>
      </c>
      <c r="O236" s="62"/>
      <c r="P236" s="63"/>
    </row>
    <row r="237" spans="1:16" ht="15" customHeight="1">
      <c r="A237" s="11">
        <v>235</v>
      </c>
      <c r="B237" s="8" t="str">
        <f>"225302124"</f>
        <v>225302124</v>
      </c>
      <c r="C237" s="8" t="str">
        <f aca="true" t="shared" si="46" ref="C237:C246">"53"</f>
        <v>53</v>
      </c>
      <c r="D237" s="8" t="s">
        <v>102</v>
      </c>
      <c r="E237" s="8" t="str">
        <f>"林伟阎"</f>
        <v>林伟阎</v>
      </c>
      <c r="F237" s="8" t="str">
        <f>"专科"</f>
        <v>专科</v>
      </c>
      <c r="G237" s="8" t="str">
        <f t="shared" si="44"/>
        <v>学前教育</v>
      </c>
      <c r="H237" s="8" t="str">
        <f>"南通师范高等专科学校"</f>
        <v>南通师范高等专科学校</v>
      </c>
      <c r="I237" s="8"/>
      <c r="J237" s="35">
        <v>86.5</v>
      </c>
      <c r="K237" s="35">
        <v>81.33</v>
      </c>
      <c r="L237" s="35">
        <v>83.2</v>
      </c>
      <c r="M237" s="36">
        <v>83.82</v>
      </c>
      <c r="N237" s="8">
        <v>1</v>
      </c>
      <c r="O237" s="37"/>
      <c r="P237" s="38" t="s">
        <v>109</v>
      </c>
    </row>
    <row r="238" spans="1:16" ht="15" customHeight="1">
      <c r="A238" s="5">
        <v>236</v>
      </c>
      <c r="B238" s="7" t="str">
        <f>"225300222"</f>
        <v>225300222</v>
      </c>
      <c r="C238" s="7" t="str">
        <f t="shared" si="46"/>
        <v>53</v>
      </c>
      <c r="D238" s="7" t="s">
        <v>102</v>
      </c>
      <c r="E238" s="7" t="str">
        <f>"刘灿源"</f>
        <v>刘灿源</v>
      </c>
      <c r="F238" s="7" t="str">
        <f>"本科"</f>
        <v>本科</v>
      </c>
      <c r="G238" s="7" t="str">
        <f t="shared" si="44"/>
        <v>学前教育</v>
      </c>
      <c r="H238" s="7" t="str">
        <f>"泰州学院"</f>
        <v>泰州学院</v>
      </c>
      <c r="I238" s="7"/>
      <c r="J238" s="28">
        <v>80.5</v>
      </c>
      <c r="K238" s="28">
        <v>84</v>
      </c>
      <c r="L238" s="28">
        <v>83.6</v>
      </c>
      <c r="M238" s="25">
        <v>82.75</v>
      </c>
      <c r="N238" s="7">
        <v>2</v>
      </c>
      <c r="O238" s="29"/>
      <c r="P238" s="30"/>
    </row>
    <row r="239" spans="1:16" ht="15" customHeight="1">
      <c r="A239" s="5">
        <v>237</v>
      </c>
      <c r="B239" s="7" t="str">
        <f>"225303418"</f>
        <v>225303418</v>
      </c>
      <c r="C239" s="7" t="str">
        <f t="shared" si="46"/>
        <v>53</v>
      </c>
      <c r="D239" s="7" t="s">
        <v>102</v>
      </c>
      <c r="E239" s="7" t="str">
        <f>"李欣"</f>
        <v>李欣</v>
      </c>
      <c r="F239" s="7" t="str">
        <f>"本科"</f>
        <v>本科</v>
      </c>
      <c r="G239" s="7" t="str">
        <f t="shared" si="44"/>
        <v>学前教育</v>
      </c>
      <c r="H239" s="7" t="str">
        <f>"江苏师范大学"</f>
        <v>江苏师范大学</v>
      </c>
      <c r="I239" s="7" t="str">
        <f>"如东咿呀优幼儿园"</f>
        <v>如东咿呀优幼儿园</v>
      </c>
      <c r="J239" s="28">
        <v>90.5</v>
      </c>
      <c r="K239" s="28">
        <v>79.33</v>
      </c>
      <c r="L239" s="28">
        <v>78</v>
      </c>
      <c r="M239" s="25">
        <v>82.02</v>
      </c>
      <c r="N239" s="7">
        <v>3</v>
      </c>
      <c r="O239" s="29"/>
      <c r="P239" s="30"/>
    </row>
    <row r="240" spans="1:16" ht="15" customHeight="1">
      <c r="A240" s="5">
        <v>238</v>
      </c>
      <c r="B240" s="7" t="str">
        <f>"225302526"</f>
        <v>225302526</v>
      </c>
      <c r="C240" s="7" t="str">
        <f t="shared" si="46"/>
        <v>53</v>
      </c>
      <c r="D240" s="7" t="s">
        <v>102</v>
      </c>
      <c r="E240" s="7" t="str">
        <f>"刘婷"</f>
        <v>刘婷</v>
      </c>
      <c r="F240" s="7" t="str">
        <f>"本科"</f>
        <v>本科</v>
      </c>
      <c r="G240" s="7" t="str">
        <f t="shared" si="44"/>
        <v>学前教育</v>
      </c>
      <c r="H240" s="7" t="str">
        <f>"华中师范大学"</f>
        <v>华中师范大学</v>
      </c>
      <c r="I240" s="7" t="str">
        <f>"如皋安定幼儿园"</f>
        <v>如皋安定幼儿园</v>
      </c>
      <c r="J240" s="28">
        <v>86.5</v>
      </c>
      <c r="K240" s="28">
        <v>73.67</v>
      </c>
      <c r="L240" s="28">
        <v>80.8</v>
      </c>
      <c r="M240" s="25">
        <v>81.08</v>
      </c>
      <c r="N240" s="7">
        <v>4</v>
      </c>
      <c r="O240" s="29"/>
      <c r="P240" s="30"/>
    </row>
    <row r="241" spans="1:16" ht="15" customHeight="1">
      <c r="A241" s="5">
        <v>239</v>
      </c>
      <c r="B241" s="7" t="str">
        <f>"225303521"</f>
        <v>225303521</v>
      </c>
      <c r="C241" s="7" t="str">
        <f t="shared" si="46"/>
        <v>53</v>
      </c>
      <c r="D241" s="7" t="s">
        <v>102</v>
      </c>
      <c r="E241" s="7" t="str">
        <f>"储蕾"</f>
        <v>储蕾</v>
      </c>
      <c r="F241" s="7" t="str">
        <f>"本科"</f>
        <v>本科</v>
      </c>
      <c r="G241" s="7" t="str">
        <f t="shared" si="44"/>
        <v>学前教育</v>
      </c>
      <c r="H241" s="7" t="str">
        <f>"南通大学"</f>
        <v>南通大学</v>
      </c>
      <c r="I241" s="7" t="str">
        <f>"海安市第一实验幼儿园"</f>
        <v>海安市第一实验幼儿园</v>
      </c>
      <c r="J241" s="28">
        <v>85.5</v>
      </c>
      <c r="K241" s="28">
        <v>82.67</v>
      </c>
      <c r="L241" s="28">
        <v>76.6</v>
      </c>
      <c r="M241" s="25">
        <v>80.48</v>
      </c>
      <c r="N241" s="7">
        <v>5</v>
      </c>
      <c r="O241" s="29"/>
      <c r="P241" s="30"/>
    </row>
    <row r="242" spans="1:16" ht="15" customHeight="1">
      <c r="A242" s="5">
        <v>240</v>
      </c>
      <c r="B242" s="7" t="str">
        <f>"225300512"</f>
        <v>225300512</v>
      </c>
      <c r="C242" s="12" t="str">
        <f t="shared" si="46"/>
        <v>53</v>
      </c>
      <c r="D242" s="12" t="s">
        <v>102</v>
      </c>
      <c r="E242" s="12" t="str">
        <f>"吴丽萍"</f>
        <v>吴丽萍</v>
      </c>
      <c r="F242" s="7" t="str">
        <f>"专科"</f>
        <v>专科</v>
      </c>
      <c r="G242" s="7" t="str">
        <f>"综合文科教育"</f>
        <v>综合文科教育</v>
      </c>
      <c r="H242" s="7" t="str">
        <f>"泰州师范高等专科学校"</f>
        <v>泰州师范高等专科学校</v>
      </c>
      <c r="I242" s="7" t="str">
        <f>"如皋市外国语学校附属幼儿园"</f>
        <v>如皋市外国语学校附属幼儿园</v>
      </c>
      <c r="J242" s="28">
        <v>80</v>
      </c>
      <c r="K242" s="28">
        <v>80.33</v>
      </c>
      <c r="L242" s="28">
        <v>80.8</v>
      </c>
      <c r="M242" s="25">
        <v>80.47</v>
      </c>
      <c r="N242" s="7">
        <v>6</v>
      </c>
      <c r="O242" s="29"/>
      <c r="P242" s="30"/>
    </row>
    <row r="243" spans="1:16" ht="15" customHeight="1">
      <c r="A243" s="5">
        <v>241</v>
      </c>
      <c r="B243" s="7" t="str">
        <f>"225303303"</f>
        <v>225303303</v>
      </c>
      <c r="C243" s="7" t="str">
        <f t="shared" si="46"/>
        <v>53</v>
      </c>
      <c r="D243" s="7" t="s">
        <v>102</v>
      </c>
      <c r="E243" s="7" t="str">
        <f>"王楠"</f>
        <v>王楠</v>
      </c>
      <c r="F243" s="7" t="str">
        <f>"专科"</f>
        <v>专科</v>
      </c>
      <c r="G243" s="7" t="str">
        <f aca="true" t="shared" si="47" ref="G243:G253">"学前教育"</f>
        <v>学前教育</v>
      </c>
      <c r="H243" s="7" t="str">
        <f>"南通师范高等专科学校"</f>
        <v>南通师范高等专科学校</v>
      </c>
      <c r="I243" s="23"/>
      <c r="J243" s="24">
        <v>82.5</v>
      </c>
      <c r="K243" s="24">
        <v>84.33</v>
      </c>
      <c r="L243" s="24">
        <v>77</v>
      </c>
      <c r="M243" s="25">
        <v>80.12</v>
      </c>
      <c r="N243" s="7">
        <v>7</v>
      </c>
      <c r="O243" s="29"/>
      <c r="P243" s="30"/>
    </row>
    <row r="244" spans="1:16" ht="15" customHeight="1">
      <c r="A244" s="5">
        <v>242</v>
      </c>
      <c r="B244" s="7" t="str">
        <f>"225300527"</f>
        <v>225300527</v>
      </c>
      <c r="C244" s="8" t="str">
        <f t="shared" si="46"/>
        <v>53</v>
      </c>
      <c r="D244" s="8" t="s">
        <v>102</v>
      </c>
      <c r="E244" s="8" t="str">
        <f>"杭雪"</f>
        <v>杭雪</v>
      </c>
      <c r="F244" s="7" t="str">
        <f>"专科"</f>
        <v>专科</v>
      </c>
      <c r="G244" s="7" t="str">
        <f t="shared" si="47"/>
        <v>学前教育</v>
      </c>
      <c r="H244" s="7" t="str">
        <f>"江苏第二师范学院"</f>
        <v>江苏第二师范学院</v>
      </c>
      <c r="I244" s="7" t="str">
        <f>"盐城市东台市安丰镇幼儿园"</f>
        <v>盐城市东台市安丰镇幼儿园</v>
      </c>
      <c r="J244" s="28">
        <v>81.5</v>
      </c>
      <c r="K244" s="28">
        <v>76.67</v>
      </c>
      <c r="L244" s="28">
        <v>80</v>
      </c>
      <c r="M244" s="25">
        <v>79.78</v>
      </c>
      <c r="N244" s="7">
        <v>8</v>
      </c>
      <c r="O244" s="29"/>
      <c r="P244" s="30"/>
    </row>
    <row r="245" spans="1:16" ht="15" customHeight="1">
      <c r="A245" s="5">
        <v>243</v>
      </c>
      <c r="B245" s="7" t="str">
        <f>"225302930"</f>
        <v>225302930</v>
      </c>
      <c r="C245" s="7" t="str">
        <f t="shared" si="46"/>
        <v>53</v>
      </c>
      <c r="D245" s="7" t="s">
        <v>102</v>
      </c>
      <c r="E245" s="7" t="str">
        <f>"周媛媛"</f>
        <v>周媛媛</v>
      </c>
      <c r="F245" s="7" t="str">
        <f aca="true" t="shared" si="48" ref="F245:F246">"本科"</f>
        <v>本科</v>
      </c>
      <c r="G245" s="7" t="str">
        <f t="shared" si="47"/>
        <v>学前教育</v>
      </c>
      <c r="H245" s="7" t="str">
        <f>"常州工学院"</f>
        <v>常州工学院</v>
      </c>
      <c r="I245" s="7" t="str">
        <f>"掘港街道环北幼儿园"</f>
        <v>掘港街道环北幼儿园</v>
      </c>
      <c r="J245" s="28">
        <v>82</v>
      </c>
      <c r="K245" s="28">
        <v>83.67</v>
      </c>
      <c r="L245" s="28">
        <v>75</v>
      </c>
      <c r="M245" s="25">
        <v>78.83</v>
      </c>
      <c r="N245" s="7">
        <v>9</v>
      </c>
      <c r="O245" s="29"/>
      <c r="P245" s="30"/>
    </row>
    <row r="246" spans="1:16" ht="15" customHeight="1">
      <c r="A246" s="9">
        <v>244</v>
      </c>
      <c r="B246" s="10" t="str">
        <f>"225302213"</f>
        <v>225302213</v>
      </c>
      <c r="C246" s="10" t="str">
        <f t="shared" si="46"/>
        <v>53</v>
      </c>
      <c r="D246" s="10" t="s">
        <v>102</v>
      </c>
      <c r="E246" s="10" t="str">
        <f>"周敏"</f>
        <v>周敏</v>
      </c>
      <c r="F246" s="10" t="str">
        <f t="shared" si="48"/>
        <v>本科</v>
      </c>
      <c r="G246" s="10" t="str">
        <f t="shared" si="47"/>
        <v>学前教育</v>
      </c>
      <c r="H246" s="10" t="str">
        <f>"江苏淮阴师范学院"</f>
        <v>江苏淮阴师范学院</v>
      </c>
      <c r="I246" s="10" t="str">
        <f>"如皋市如城光华幼儿园"</f>
        <v>如皋市如城光华幼儿园</v>
      </c>
      <c r="J246" s="31">
        <v>79</v>
      </c>
      <c r="K246" s="31">
        <v>81.33</v>
      </c>
      <c r="L246" s="31">
        <v>77.6</v>
      </c>
      <c r="M246" s="32">
        <v>78.77</v>
      </c>
      <c r="N246" s="10">
        <v>10</v>
      </c>
      <c r="O246" s="33"/>
      <c r="P246" s="34"/>
    </row>
    <row r="247" spans="1:16" ht="15" customHeight="1">
      <c r="A247" s="11">
        <v>245</v>
      </c>
      <c r="B247" s="8" t="str">
        <f>"225401127"</f>
        <v>225401127</v>
      </c>
      <c r="C247" s="8" t="str">
        <f aca="true" t="shared" si="49" ref="C247:C256">"54"</f>
        <v>54</v>
      </c>
      <c r="D247" s="8" t="s">
        <v>102</v>
      </c>
      <c r="E247" s="8" t="str">
        <f>"王明毓"</f>
        <v>王明毓</v>
      </c>
      <c r="F247" s="8" t="str">
        <f>"专科"</f>
        <v>专科</v>
      </c>
      <c r="G247" s="8" t="str">
        <f t="shared" si="47"/>
        <v>学前教育</v>
      </c>
      <c r="H247" s="8" t="str">
        <f>"南通师范高等专科学校"</f>
        <v>南通师范高等专科学校</v>
      </c>
      <c r="I247" s="8"/>
      <c r="J247" s="35">
        <v>89</v>
      </c>
      <c r="K247" s="35">
        <v>82.9</v>
      </c>
      <c r="L247" s="35">
        <v>79.6</v>
      </c>
      <c r="M247" s="36">
        <v>83.08</v>
      </c>
      <c r="N247" s="8">
        <v>1</v>
      </c>
      <c r="O247" s="37"/>
      <c r="P247" s="38" t="s">
        <v>110</v>
      </c>
    </row>
    <row r="248" spans="1:16" ht="15" customHeight="1">
      <c r="A248" s="5">
        <v>246</v>
      </c>
      <c r="B248" s="7" t="str">
        <f>"225402706"</f>
        <v>225402706</v>
      </c>
      <c r="C248" s="7" t="str">
        <f t="shared" si="49"/>
        <v>54</v>
      </c>
      <c r="D248" s="7" t="s">
        <v>102</v>
      </c>
      <c r="E248" s="7" t="str">
        <f>"韩勤"</f>
        <v>韩勤</v>
      </c>
      <c r="F248" s="7" t="str">
        <f>"本科"</f>
        <v>本科</v>
      </c>
      <c r="G248" s="7" t="str">
        <f t="shared" si="47"/>
        <v>学前教育</v>
      </c>
      <c r="H248" s="7" t="str">
        <f>"华中师范大学"</f>
        <v>华中师范大学</v>
      </c>
      <c r="I248" s="7" t="str">
        <f>"如皋市如城安定幼儿园"</f>
        <v>如皋市如城安定幼儿园</v>
      </c>
      <c r="J248" s="28">
        <v>84</v>
      </c>
      <c r="K248" s="28">
        <v>79.13</v>
      </c>
      <c r="L248" s="28">
        <v>83.8</v>
      </c>
      <c r="M248" s="25">
        <v>82.93</v>
      </c>
      <c r="N248" s="7">
        <v>2</v>
      </c>
      <c r="O248" s="29"/>
      <c r="P248" s="30"/>
    </row>
    <row r="249" spans="1:16" ht="15" customHeight="1">
      <c r="A249" s="5">
        <v>247</v>
      </c>
      <c r="B249" s="7" t="str">
        <f>"225402214"</f>
        <v>225402214</v>
      </c>
      <c r="C249" s="7" t="str">
        <f t="shared" si="49"/>
        <v>54</v>
      </c>
      <c r="D249" s="7" t="s">
        <v>102</v>
      </c>
      <c r="E249" s="7" t="str">
        <f>"韦倩"</f>
        <v>韦倩</v>
      </c>
      <c r="F249" s="7" t="str">
        <f>"本科"</f>
        <v>本科</v>
      </c>
      <c r="G249" s="7" t="str">
        <f t="shared" si="47"/>
        <v>学前教育</v>
      </c>
      <c r="H249" s="7" t="str">
        <f>"盐城师范学院"</f>
        <v>盐城师范学院</v>
      </c>
      <c r="I249" s="7"/>
      <c r="J249" s="28">
        <v>84</v>
      </c>
      <c r="K249" s="28">
        <v>81.73</v>
      </c>
      <c r="L249" s="28">
        <v>82.7</v>
      </c>
      <c r="M249" s="25">
        <v>82.9</v>
      </c>
      <c r="N249" s="7">
        <v>3</v>
      </c>
      <c r="O249" s="29"/>
      <c r="P249" s="30"/>
    </row>
    <row r="250" spans="1:16" ht="15" customHeight="1">
      <c r="A250" s="5">
        <v>248</v>
      </c>
      <c r="B250" s="7" t="str">
        <f>"225400230"</f>
        <v>225400230</v>
      </c>
      <c r="C250" s="7" t="str">
        <f t="shared" si="49"/>
        <v>54</v>
      </c>
      <c r="D250" s="7" t="s">
        <v>102</v>
      </c>
      <c r="E250" s="7" t="str">
        <f>"蔡甜甜"</f>
        <v>蔡甜甜</v>
      </c>
      <c r="F250" s="7" t="str">
        <f>"专科"</f>
        <v>专科</v>
      </c>
      <c r="G250" s="7" t="str">
        <f t="shared" si="47"/>
        <v>学前教育</v>
      </c>
      <c r="H250" s="7" t="str">
        <f>"盐城幼儿师范高等专科学校"</f>
        <v>盐城幼儿师范高等专科学校</v>
      </c>
      <c r="I250" s="7"/>
      <c r="J250" s="28">
        <v>89</v>
      </c>
      <c r="K250" s="28">
        <v>79.63</v>
      </c>
      <c r="L250" s="28">
        <v>80.46</v>
      </c>
      <c r="M250" s="25">
        <v>82.86</v>
      </c>
      <c r="N250" s="7">
        <v>4</v>
      </c>
      <c r="O250" s="29"/>
      <c r="P250" s="30"/>
    </row>
    <row r="251" spans="1:16" ht="15" customHeight="1">
      <c r="A251" s="5">
        <v>249</v>
      </c>
      <c r="B251" s="7" t="str">
        <f>"225402327"</f>
        <v>225402327</v>
      </c>
      <c r="C251" s="7" t="str">
        <f t="shared" si="49"/>
        <v>54</v>
      </c>
      <c r="D251" s="7" t="s">
        <v>102</v>
      </c>
      <c r="E251" s="7" t="str">
        <f>"万姝"</f>
        <v>万姝</v>
      </c>
      <c r="F251" s="7" t="str">
        <f>"专科"</f>
        <v>专科</v>
      </c>
      <c r="G251" s="7" t="str">
        <f t="shared" si="47"/>
        <v>学前教育</v>
      </c>
      <c r="H251" s="7" t="str">
        <f>"江苏第二师范学院"</f>
        <v>江苏第二师范学院</v>
      </c>
      <c r="I251" s="7" t="str">
        <f>"海安市大公镇中心幼儿园"</f>
        <v>海安市大公镇中心幼儿园</v>
      </c>
      <c r="J251" s="28">
        <v>78</v>
      </c>
      <c r="K251" s="28">
        <v>84.83</v>
      </c>
      <c r="L251" s="28">
        <v>83</v>
      </c>
      <c r="M251" s="25">
        <v>81.87</v>
      </c>
      <c r="N251" s="7">
        <v>5</v>
      </c>
      <c r="O251" s="29"/>
      <c r="P251" s="30"/>
    </row>
    <row r="252" spans="1:16" ht="15" customHeight="1">
      <c r="A252" s="5">
        <v>250</v>
      </c>
      <c r="B252" s="7" t="str">
        <f>"225401812"</f>
        <v>225401812</v>
      </c>
      <c r="C252" s="7" t="str">
        <f t="shared" si="49"/>
        <v>54</v>
      </c>
      <c r="D252" s="7" t="s">
        <v>102</v>
      </c>
      <c r="E252" s="7" t="str">
        <f>"毛美惠"</f>
        <v>毛美惠</v>
      </c>
      <c r="F252" s="7" t="str">
        <f>"专科"</f>
        <v>专科</v>
      </c>
      <c r="G252" s="7" t="str">
        <f t="shared" si="47"/>
        <v>学前教育</v>
      </c>
      <c r="H252" s="7" t="str">
        <f>"盐城幼儿师范高等专科学校"</f>
        <v>盐城幼儿师范高等专科学校</v>
      </c>
      <c r="I252" s="7"/>
      <c r="J252" s="28">
        <v>79</v>
      </c>
      <c r="K252" s="28">
        <v>82.9</v>
      </c>
      <c r="L252" s="28">
        <v>83</v>
      </c>
      <c r="M252" s="25">
        <v>81.78</v>
      </c>
      <c r="N252" s="7">
        <v>6</v>
      </c>
      <c r="O252" s="29"/>
      <c r="P252" s="30"/>
    </row>
    <row r="253" spans="1:16" ht="15" customHeight="1">
      <c r="A253" s="5">
        <v>251</v>
      </c>
      <c r="B253" s="7" t="str">
        <f>"225401810"</f>
        <v>225401810</v>
      </c>
      <c r="C253" s="7" t="str">
        <f t="shared" si="49"/>
        <v>54</v>
      </c>
      <c r="D253" s="7" t="s">
        <v>102</v>
      </c>
      <c r="E253" s="7" t="str">
        <f>"张心怡"</f>
        <v>张心怡</v>
      </c>
      <c r="F253" s="7" t="str">
        <f>"专科"</f>
        <v>专科</v>
      </c>
      <c r="G253" s="7" t="str">
        <f t="shared" si="47"/>
        <v>学前教育</v>
      </c>
      <c r="H253" s="7" t="str">
        <f>"南通师范高等专科学校"</f>
        <v>南通师范高等专科学校</v>
      </c>
      <c r="I253" s="7"/>
      <c r="J253" s="28">
        <v>87</v>
      </c>
      <c r="K253" s="28">
        <v>83.9</v>
      </c>
      <c r="L253" s="28">
        <v>77.7</v>
      </c>
      <c r="M253" s="25">
        <v>81.73</v>
      </c>
      <c r="N253" s="7">
        <v>7</v>
      </c>
      <c r="O253" s="29"/>
      <c r="P253" s="30"/>
    </row>
    <row r="254" spans="1:16" ht="15" customHeight="1">
      <c r="A254" s="5">
        <v>252</v>
      </c>
      <c r="B254" s="7" t="str">
        <f>"225402123"</f>
        <v>225402123</v>
      </c>
      <c r="C254" s="7" t="str">
        <f t="shared" si="49"/>
        <v>54</v>
      </c>
      <c r="D254" s="7" t="s">
        <v>102</v>
      </c>
      <c r="E254" s="7" t="str">
        <f>"曹颖"</f>
        <v>曹颖</v>
      </c>
      <c r="F254" s="7" t="str">
        <f>"专科"</f>
        <v>专科</v>
      </c>
      <c r="G254" s="7" t="str">
        <f>"学前教育（师范）"</f>
        <v>学前教育（师范）</v>
      </c>
      <c r="H254" s="7" t="str">
        <f>"盐城幼儿师范高等专科学校"</f>
        <v>盐城幼儿师范高等专科学校</v>
      </c>
      <c r="I254" s="7"/>
      <c r="J254" s="28">
        <v>80</v>
      </c>
      <c r="K254" s="28">
        <v>85.23</v>
      </c>
      <c r="L254" s="28">
        <v>80.6</v>
      </c>
      <c r="M254" s="25">
        <v>81.35</v>
      </c>
      <c r="N254" s="7">
        <v>8</v>
      </c>
      <c r="O254" s="29"/>
      <c r="P254" s="30"/>
    </row>
    <row r="255" spans="1:16" ht="15" customHeight="1">
      <c r="A255" s="5">
        <v>253</v>
      </c>
      <c r="B255" s="7" t="str">
        <f>"225400118"</f>
        <v>225400118</v>
      </c>
      <c r="C255" s="7" t="str">
        <f t="shared" si="49"/>
        <v>54</v>
      </c>
      <c r="D255" s="7" t="s">
        <v>102</v>
      </c>
      <c r="E255" s="7" t="str">
        <f>"沈佳鑫"</f>
        <v>沈佳鑫</v>
      </c>
      <c r="F255" s="7" t="str">
        <f>"本科"</f>
        <v>本科</v>
      </c>
      <c r="G255" s="7" t="str">
        <f>"学前教育"</f>
        <v>学前教育</v>
      </c>
      <c r="H255" s="7" t="str">
        <f>"泰州学院"</f>
        <v>泰州学院</v>
      </c>
      <c r="I255" s="7"/>
      <c r="J255" s="28">
        <v>81.5</v>
      </c>
      <c r="K255" s="28">
        <v>86.06</v>
      </c>
      <c r="L255" s="28">
        <v>78.8</v>
      </c>
      <c r="M255" s="25">
        <v>81.06</v>
      </c>
      <c r="N255" s="7">
        <v>9</v>
      </c>
      <c r="O255" s="29"/>
      <c r="P255" s="30"/>
    </row>
    <row r="256" spans="1:16" ht="15" customHeight="1">
      <c r="A256" s="5">
        <v>254</v>
      </c>
      <c r="B256" s="7" t="str">
        <f>"225403305"</f>
        <v>225403305</v>
      </c>
      <c r="C256" s="7" t="str">
        <f t="shared" si="49"/>
        <v>54</v>
      </c>
      <c r="D256" s="7" t="s">
        <v>102</v>
      </c>
      <c r="E256" s="7" t="str">
        <f>"黄琪雯"</f>
        <v>黄琪雯</v>
      </c>
      <c r="F256" s="7" t="str">
        <f>"专科"</f>
        <v>专科</v>
      </c>
      <c r="G256" s="7" t="str">
        <f>"学前教育"</f>
        <v>学前教育</v>
      </c>
      <c r="H256" s="7" t="str">
        <f>"南通师范高等专科学校"</f>
        <v>南通师范高等专科学校</v>
      </c>
      <c r="I256" s="7" t="str">
        <f>"启东市长江幼儿园"</f>
        <v>启东市长江幼儿园</v>
      </c>
      <c r="J256" s="28">
        <v>83.5</v>
      </c>
      <c r="K256" s="28">
        <v>85.73</v>
      </c>
      <c r="L256" s="28">
        <v>77.5</v>
      </c>
      <c r="M256" s="25">
        <v>80.95</v>
      </c>
      <c r="N256" s="7">
        <v>10</v>
      </c>
      <c r="O256" s="64"/>
      <c r="P256" s="58"/>
    </row>
  </sheetData>
  <sheetProtection/>
  <mergeCells count="74">
    <mergeCell ref="A1:P1"/>
    <mergeCell ref="O3:O6"/>
    <mergeCell ref="O7:O10"/>
    <mergeCell ref="O11:O19"/>
    <mergeCell ref="O20:O26"/>
    <mergeCell ref="O28:O32"/>
    <mergeCell ref="O33:O40"/>
    <mergeCell ref="O41:O49"/>
    <mergeCell ref="O50:O51"/>
    <mergeCell ref="O52:O59"/>
    <mergeCell ref="O60:O62"/>
    <mergeCell ref="O63:O64"/>
    <mergeCell ref="O66:O67"/>
    <mergeCell ref="O68:O70"/>
    <mergeCell ref="O71:O74"/>
    <mergeCell ref="O76:O79"/>
    <mergeCell ref="O81:O82"/>
    <mergeCell ref="O83:O87"/>
    <mergeCell ref="O89:O92"/>
    <mergeCell ref="O93:O102"/>
    <mergeCell ref="O106:O109"/>
    <mergeCell ref="O110:O119"/>
    <mergeCell ref="O120:O125"/>
    <mergeCell ref="O126:O132"/>
    <mergeCell ref="O133:O140"/>
    <mergeCell ref="O141:O150"/>
    <mergeCell ref="O151:O160"/>
    <mergeCell ref="O161:O165"/>
    <mergeCell ref="O166:O167"/>
    <mergeCell ref="O168:O177"/>
    <mergeCell ref="O178:O187"/>
    <mergeCell ref="O188:O197"/>
    <mergeCell ref="O198:O207"/>
    <mergeCell ref="O208:O216"/>
    <mergeCell ref="O217:O226"/>
    <mergeCell ref="O227:O236"/>
    <mergeCell ref="O237:O246"/>
    <mergeCell ref="O247:O256"/>
    <mergeCell ref="P3:P6"/>
    <mergeCell ref="P7:P10"/>
    <mergeCell ref="P11:P19"/>
    <mergeCell ref="P20:P26"/>
    <mergeCell ref="P28:P32"/>
    <mergeCell ref="P33:P40"/>
    <mergeCell ref="P41:P49"/>
    <mergeCell ref="P50:P51"/>
    <mergeCell ref="P52:P59"/>
    <mergeCell ref="P60:P62"/>
    <mergeCell ref="P63:P64"/>
    <mergeCell ref="P66:P67"/>
    <mergeCell ref="P68:P70"/>
    <mergeCell ref="P71:P74"/>
    <mergeCell ref="P76:P79"/>
    <mergeCell ref="P81:P82"/>
    <mergeCell ref="P83:P87"/>
    <mergeCell ref="P89:P92"/>
    <mergeCell ref="P93:P102"/>
    <mergeCell ref="P106:P109"/>
    <mergeCell ref="P110:P119"/>
    <mergeCell ref="P120:P125"/>
    <mergeCell ref="P126:P132"/>
    <mergeCell ref="P133:P140"/>
    <mergeCell ref="P141:P150"/>
    <mergeCell ref="P151:P160"/>
    <mergeCell ref="P161:P165"/>
    <mergeCell ref="P166:P167"/>
    <mergeCell ref="P178:P187"/>
    <mergeCell ref="P188:P197"/>
    <mergeCell ref="P198:P207"/>
    <mergeCell ref="P208:P216"/>
    <mergeCell ref="P217:P226"/>
    <mergeCell ref="P227:P236"/>
    <mergeCell ref="P237:P246"/>
    <mergeCell ref="P247:P256"/>
  </mergeCells>
  <printOptions horizontalCentered="1"/>
  <pageMargins left="0.590277777777778" right="0.590277777777778" top="0.590277777777778" bottom="0.590277777777778" header="0.298611111111111" footer="0.2986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rdrs</cp:lastModifiedBy>
  <dcterms:created xsi:type="dcterms:W3CDTF">2022-08-01T09:30:00Z</dcterms:created>
  <dcterms:modified xsi:type="dcterms:W3CDTF">2022-08-02T09:51:41Z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5D9F68BFBA87478DBC2EAB167C58E9B8</vt:lpwstr>
  </property>
  <property fmtid="{D5CDD505-2E9C-101B-9397-08002B2CF9AE}" pid="4" name="KSOProductBuildV">
    <vt:lpwstr>2052-11.8.2.11019</vt:lpwstr>
  </property>
</Properties>
</file>