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通过资格初审人员名单" sheetId="1" r:id="rId1"/>
  </sheets>
  <definedNames>
    <definedName name="_xlnm._FilterDatabase" localSheetId="0" hidden="1">'通过资格初审人员名单'!$A$2:$E$1233</definedName>
  </definedNames>
  <calcPr fullCalcOnLoad="1"/>
</workbook>
</file>

<file path=xl/sharedStrings.xml><?xml version="1.0" encoding="utf-8"?>
<sst xmlns="http://schemas.openxmlformats.org/spreadsheetml/2006/main" count="1237" uniqueCount="23">
  <si>
    <t>通过资格初审进入笔试人员名单</t>
  </si>
  <si>
    <t>序号</t>
  </si>
  <si>
    <t>报考号</t>
  </si>
  <si>
    <t>报考岗位</t>
  </si>
  <si>
    <t>姓名</t>
  </si>
  <si>
    <t>性别</t>
  </si>
  <si>
    <t>0101_管理岗1</t>
  </si>
  <si>
    <t>0102_管理岗2</t>
  </si>
  <si>
    <t>0201_管理岗</t>
  </si>
  <si>
    <t>0301_管理岗1</t>
  </si>
  <si>
    <t>0302_管理岗2</t>
  </si>
  <si>
    <t>0401_专技岗1</t>
  </si>
  <si>
    <t>0402_专技岗2</t>
  </si>
  <si>
    <t>0501_管理岗</t>
  </si>
  <si>
    <t>0601_管理岗</t>
  </si>
  <si>
    <t>0701_管理岗1</t>
  </si>
  <si>
    <t>0702_管理岗2</t>
  </si>
  <si>
    <t>0801_专技岗</t>
  </si>
  <si>
    <t>0901_专技岗</t>
  </si>
  <si>
    <t>1001_管理岗（综合类）</t>
  </si>
  <si>
    <t>1101_管理岗</t>
  </si>
  <si>
    <t>1201_管理岗</t>
  </si>
  <si>
    <t>1301_管理岗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</si>
</sst>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22"/>
      <color theme="1"/>
      <name val="Calibri"/>
      <family val="0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33"/>
  <sheetViews>
    <sheetView tabSelected="1" workbookViewId="0" topLeftCell="A1">
      <selection activeCell="D7" sqref="D7"/>
    </sheetView>
  </sheetViews>
  <sheetFormatPr defaultColWidth="9.00390625" defaultRowHeight="30" customHeight="1"/>
  <cols>
    <col min="1" max="1" width="9.00390625" style="2" customWidth="1"/>
    <col min="2" max="2" width="28.00390625" style="2" customWidth="1"/>
    <col min="3" max="3" width="25.421875" style="2" customWidth="1"/>
    <col min="4" max="4" width="14.57421875" style="2" customWidth="1"/>
    <col min="5" max="5" width="14.421875" style="2" customWidth="1"/>
    <col min="6" max="16384" width="9.00390625" style="2" customWidth="1"/>
  </cols>
  <sheetData>
    <row r="1" spans="1:5" ht="54" customHeight="1">
      <c r="A1" s="3" t="s">
        <v>0</v>
      </c>
      <c r="B1" s="4"/>
      <c r="C1" s="4"/>
      <c r="D1" s="4"/>
      <c r="E1" s="4"/>
    </row>
    <row r="2" spans="1:5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30" customHeight="1">
      <c r="A3" s="6">
        <v>1</v>
      </c>
      <c r="B3" s="7" t="str">
        <f>"2773202012170902287"</f>
        <v>2773202012170902287</v>
      </c>
      <c r="C3" s="7" t="s">
        <v>6</v>
      </c>
      <c r="D3" s="7" t="str">
        <f>"吴蕾"</f>
        <v>吴蕾</v>
      </c>
      <c r="E3" s="7" t="str">
        <f>"女"</f>
        <v>女</v>
      </c>
    </row>
    <row r="4" spans="1:5" ht="30" customHeight="1">
      <c r="A4" s="6">
        <v>2</v>
      </c>
      <c r="B4" s="7" t="str">
        <f>"27732020121709031110"</f>
        <v>27732020121709031110</v>
      </c>
      <c r="C4" s="7" t="s">
        <v>6</v>
      </c>
      <c r="D4" s="7" t="str">
        <f>"许慧"</f>
        <v>许慧</v>
      </c>
      <c r="E4" s="7" t="str">
        <f>"女"</f>
        <v>女</v>
      </c>
    </row>
    <row r="5" spans="1:5" ht="30" customHeight="1">
      <c r="A5" s="6">
        <v>3</v>
      </c>
      <c r="B5" s="7" t="str">
        <f>"27732020121709035113"</f>
        <v>27732020121709035113</v>
      </c>
      <c r="C5" s="7" t="s">
        <v>6</v>
      </c>
      <c r="D5" s="7" t="str">
        <f>"符曹婷"</f>
        <v>符曹婷</v>
      </c>
      <c r="E5" s="7" t="str">
        <f>"女"</f>
        <v>女</v>
      </c>
    </row>
    <row r="6" spans="1:5" ht="30" customHeight="1">
      <c r="A6" s="6">
        <v>4</v>
      </c>
      <c r="B6" s="7" t="str">
        <f>"27732020121709041216"</f>
        <v>27732020121709041216</v>
      </c>
      <c r="C6" s="7" t="s">
        <v>6</v>
      </c>
      <c r="D6" s="7" t="str">
        <f>"徐钰菁"</f>
        <v>徐钰菁</v>
      </c>
      <c r="E6" s="7" t="str">
        <f>"女"</f>
        <v>女</v>
      </c>
    </row>
    <row r="7" spans="1:5" ht="30" customHeight="1">
      <c r="A7" s="6">
        <v>5</v>
      </c>
      <c r="B7" s="7" t="str">
        <f>"27732020121709055520"</f>
        <v>27732020121709055520</v>
      </c>
      <c r="C7" s="7" t="s">
        <v>6</v>
      </c>
      <c r="D7" s="7" t="str">
        <f>"李翼达"</f>
        <v>李翼达</v>
      </c>
      <c r="E7" s="7" t="str">
        <f>"男"</f>
        <v>男</v>
      </c>
    </row>
    <row r="8" spans="1:5" ht="30" customHeight="1">
      <c r="A8" s="6">
        <v>6</v>
      </c>
      <c r="B8" s="7" t="str">
        <f>"27732020121709084035"</f>
        <v>27732020121709084035</v>
      </c>
      <c r="C8" s="7" t="s">
        <v>6</v>
      </c>
      <c r="D8" s="7" t="str">
        <f>"郑丕华"</f>
        <v>郑丕华</v>
      </c>
      <c r="E8" s="7" t="str">
        <f>"女"</f>
        <v>女</v>
      </c>
    </row>
    <row r="9" spans="1:5" ht="30" customHeight="1">
      <c r="A9" s="6">
        <v>7</v>
      </c>
      <c r="B9" s="7" t="str">
        <f>"27732020121709165258"</f>
        <v>27732020121709165258</v>
      </c>
      <c r="C9" s="7" t="s">
        <v>6</v>
      </c>
      <c r="D9" s="7" t="str">
        <f>"王璐瑶"</f>
        <v>王璐瑶</v>
      </c>
      <c r="E9" s="7" t="str">
        <f>"女"</f>
        <v>女</v>
      </c>
    </row>
    <row r="10" spans="1:5" ht="30" customHeight="1">
      <c r="A10" s="6">
        <v>8</v>
      </c>
      <c r="B10" s="7" t="str">
        <f>"27732020121709172261"</f>
        <v>27732020121709172261</v>
      </c>
      <c r="C10" s="7" t="s">
        <v>6</v>
      </c>
      <c r="D10" s="7" t="str">
        <f>"李娟"</f>
        <v>李娟</v>
      </c>
      <c r="E10" s="7" t="str">
        <f>"女"</f>
        <v>女</v>
      </c>
    </row>
    <row r="11" spans="1:5" ht="30" customHeight="1">
      <c r="A11" s="6">
        <v>9</v>
      </c>
      <c r="B11" s="7" t="str">
        <f>"27732020121709205369"</f>
        <v>27732020121709205369</v>
      </c>
      <c r="C11" s="7" t="s">
        <v>6</v>
      </c>
      <c r="D11" s="7" t="str">
        <f>"王冬玲"</f>
        <v>王冬玲</v>
      </c>
      <c r="E11" s="7" t="str">
        <f>"女"</f>
        <v>女</v>
      </c>
    </row>
    <row r="12" spans="1:5" ht="30" customHeight="1">
      <c r="A12" s="6">
        <v>10</v>
      </c>
      <c r="B12" s="7" t="str">
        <f>"27732020121709240676"</f>
        <v>27732020121709240676</v>
      </c>
      <c r="C12" s="7" t="s">
        <v>6</v>
      </c>
      <c r="D12" s="7" t="str">
        <f>"吉兴"</f>
        <v>吉兴</v>
      </c>
      <c r="E12" s="7" t="str">
        <f>"男"</f>
        <v>男</v>
      </c>
    </row>
    <row r="13" spans="1:5" ht="30" customHeight="1">
      <c r="A13" s="6">
        <v>11</v>
      </c>
      <c r="B13" s="7" t="str">
        <f>"27732020121709344897"</f>
        <v>27732020121709344897</v>
      </c>
      <c r="C13" s="7" t="s">
        <v>6</v>
      </c>
      <c r="D13" s="7" t="str">
        <f>"黄珍珠"</f>
        <v>黄珍珠</v>
      </c>
      <c r="E13" s="7" t="str">
        <f aca="true" t="shared" si="0" ref="E13:E18">"女"</f>
        <v>女</v>
      </c>
    </row>
    <row r="14" spans="1:5" ht="30" customHeight="1">
      <c r="A14" s="6">
        <v>12</v>
      </c>
      <c r="B14" s="7" t="str">
        <f>"277320201217094829129"</f>
        <v>277320201217094829129</v>
      </c>
      <c r="C14" s="7" t="s">
        <v>6</v>
      </c>
      <c r="D14" s="7" t="str">
        <f>"符小惠"</f>
        <v>符小惠</v>
      </c>
      <c r="E14" s="7" t="str">
        <f t="shared" si="0"/>
        <v>女</v>
      </c>
    </row>
    <row r="15" spans="1:5" ht="30" customHeight="1">
      <c r="A15" s="6">
        <v>13</v>
      </c>
      <c r="B15" s="7" t="str">
        <f>"277320201217095800152"</f>
        <v>277320201217095800152</v>
      </c>
      <c r="C15" s="7" t="s">
        <v>6</v>
      </c>
      <c r="D15" s="7" t="str">
        <f>"李嘉丽"</f>
        <v>李嘉丽</v>
      </c>
      <c r="E15" s="7" t="str">
        <f t="shared" si="0"/>
        <v>女</v>
      </c>
    </row>
    <row r="16" spans="1:5" ht="30" customHeight="1">
      <c r="A16" s="6">
        <v>14</v>
      </c>
      <c r="B16" s="7" t="str">
        <f>"277320201217100247157"</f>
        <v>277320201217100247157</v>
      </c>
      <c r="C16" s="7" t="s">
        <v>6</v>
      </c>
      <c r="D16" s="7" t="str">
        <f>"罗娟"</f>
        <v>罗娟</v>
      </c>
      <c r="E16" s="7" t="str">
        <f t="shared" si="0"/>
        <v>女</v>
      </c>
    </row>
    <row r="17" spans="1:5" ht="30" customHeight="1">
      <c r="A17" s="6">
        <v>15</v>
      </c>
      <c r="B17" s="7" t="str">
        <f>"277320201217100546165"</f>
        <v>277320201217100546165</v>
      </c>
      <c r="C17" s="7" t="s">
        <v>6</v>
      </c>
      <c r="D17" s="7" t="str">
        <f>"王楠"</f>
        <v>王楠</v>
      </c>
      <c r="E17" s="7" t="str">
        <f t="shared" si="0"/>
        <v>女</v>
      </c>
    </row>
    <row r="18" spans="1:5" ht="30" customHeight="1">
      <c r="A18" s="6">
        <v>16</v>
      </c>
      <c r="B18" s="7" t="str">
        <f>"277320201217101001172"</f>
        <v>277320201217101001172</v>
      </c>
      <c r="C18" s="7" t="s">
        <v>6</v>
      </c>
      <c r="D18" s="7" t="str">
        <f>"唐皭琪"</f>
        <v>唐皭琪</v>
      </c>
      <c r="E18" s="7" t="str">
        <f t="shared" si="0"/>
        <v>女</v>
      </c>
    </row>
    <row r="19" spans="1:5" ht="30" customHeight="1">
      <c r="A19" s="6">
        <v>17</v>
      </c>
      <c r="B19" s="7" t="str">
        <f>"277320201217101134179"</f>
        <v>277320201217101134179</v>
      </c>
      <c r="C19" s="7" t="s">
        <v>6</v>
      </c>
      <c r="D19" s="7" t="str">
        <f>"熊章胜"</f>
        <v>熊章胜</v>
      </c>
      <c r="E19" s="7" t="str">
        <f>"男"</f>
        <v>男</v>
      </c>
    </row>
    <row r="20" spans="1:5" ht="30" customHeight="1">
      <c r="A20" s="6">
        <v>18</v>
      </c>
      <c r="B20" s="7" t="str">
        <f>"277320201217101147180"</f>
        <v>277320201217101147180</v>
      </c>
      <c r="C20" s="7" t="s">
        <v>6</v>
      </c>
      <c r="D20" s="7" t="str">
        <f>"何才丁"</f>
        <v>何才丁</v>
      </c>
      <c r="E20" s="7" t="str">
        <f>"女"</f>
        <v>女</v>
      </c>
    </row>
    <row r="21" spans="1:5" ht="30" customHeight="1">
      <c r="A21" s="6">
        <v>19</v>
      </c>
      <c r="B21" s="7" t="str">
        <f>"277320201217101235184"</f>
        <v>277320201217101235184</v>
      </c>
      <c r="C21" s="7" t="s">
        <v>6</v>
      </c>
      <c r="D21" s="7" t="str">
        <f>"吴爱丽"</f>
        <v>吴爱丽</v>
      </c>
      <c r="E21" s="7" t="str">
        <f>"女"</f>
        <v>女</v>
      </c>
    </row>
    <row r="22" spans="1:5" ht="30" customHeight="1">
      <c r="A22" s="6">
        <v>20</v>
      </c>
      <c r="B22" s="7" t="str">
        <f>"277320201217101818197"</f>
        <v>277320201217101818197</v>
      </c>
      <c r="C22" s="7" t="s">
        <v>6</v>
      </c>
      <c r="D22" s="7" t="str">
        <f>"符赞威"</f>
        <v>符赞威</v>
      </c>
      <c r="E22" s="7" t="str">
        <f>"男"</f>
        <v>男</v>
      </c>
    </row>
    <row r="23" spans="1:5" ht="30" customHeight="1">
      <c r="A23" s="6">
        <v>21</v>
      </c>
      <c r="B23" s="7" t="str">
        <f>"277320201217101925202"</f>
        <v>277320201217101925202</v>
      </c>
      <c r="C23" s="7" t="s">
        <v>6</v>
      </c>
      <c r="D23" s="7" t="str">
        <f>"王巧霖"</f>
        <v>王巧霖</v>
      </c>
      <c r="E23" s="7" t="str">
        <f>"女"</f>
        <v>女</v>
      </c>
    </row>
    <row r="24" spans="1:5" ht="30" customHeight="1">
      <c r="A24" s="6">
        <v>22</v>
      </c>
      <c r="B24" s="7" t="str">
        <f>"277320201217102349209"</f>
        <v>277320201217102349209</v>
      </c>
      <c r="C24" s="7" t="s">
        <v>6</v>
      </c>
      <c r="D24" s="7" t="str">
        <f>"殷礼报"</f>
        <v>殷礼报</v>
      </c>
      <c r="E24" s="7" t="str">
        <f>"男"</f>
        <v>男</v>
      </c>
    </row>
    <row r="25" spans="1:5" ht="30" customHeight="1">
      <c r="A25" s="6">
        <v>23</v>
      </c>
      <c r="B25" s="7" t="str">
        <f>"277320201217102735215"</f>
        <v>277320201217102735215</v>
      </c>
      <c r="C25" s="7" t="s">
        <v>6</v>
      </c>
      <c r="D25" s="7" t="str">
        <f>"李喜兰"</f>
        <v>李喜兰</v>
      </c>
      <c r="E25" s="7" t="str">
        <f>"女"</f>
        <v>女</v>
      </c>
    </row>
    <row r="26" spans="1:5" ht="30" customHeight="1">
      <c r="A26" s="6">
        <v>24</v>
      </c>
      <c r="B26" s="7" t="str">
        <f>"277320201217102900219"</f>
        <v>277320201217102900219</v>
      </c>
      <c r="C26" s="7" t="s">
        <v>6</v>
      </c>
      <c r="D26" s="7" t="str">
        <f>"黄扬恋"</f>
        <v>黄扬恋</v>
      </c>
      <c r="E26" s="7" t="str">
        <f>"女"</f>
        <v>女</v>
      </c>
    </row>
    <row r="27" spans="1:5" ht="30" customHeight="1">
      <c r="A27" s="6">
        <v>25</v>
      </c>
      <c r="B27" s="7" t="str">
        <f>"277320201217103532231"</f>
        <v>277320201217103532231</v>
      </c>
      <c r="C27" s="7" t="s">
        <v>6</v>
      </c>
      <c r="D27" s="7" t="str">
        <f>"文宠斌"</f>
        <v>文宠斌</v>
      </c>
      <c r="E27" s="7" t="str">
        <f>"男"</f>
        <v>男</v>
      </c>
    </row>
    <row r="28" spans="1:5" ht="30" customHeight="1">
      <c r="A28" s="6">
        <v>26</v>
      </c>
      <c r="B28" s="7" t="str">
        <f>"277320201217103802238"</f>
        <v>277320201217103802238</v>
      </c>
      <c r="C28" s="7" t="s">
        <v>6</v>
      </c>
      <c r="D28" s="7" t="str">
        <f>"黄恺迪"</f>
        <v>黄恺迪</v>
      </c>
      <c r="E28" s="7" t="str">
        <f>"男"</f>
        <v>男</v>
      </c>
    </row>
    <row r="29" spans="1:5" ht="30" customHeight="1">
      <c r="A29" s="6">
        <v>27</v>
      </c>
      <c r="B29" s="7" t="str">
        <f>"277320201217103951241"</f>
        <v>277320201217103951241</v>
      </c>
      <c r="C29" s="7" t="s">
        <v>6</v>
      </c>
      <c r="D29" s="7" t="str">
        <f>"文凤环"</f>
        <v>文凤环</v>
      </c>
      <c r="E29" s="7" t="str">
        <f>"女"</f>
        <v>女</v>
      </c>
    </row>
    <row r="30" spans="1:5" ht="30" customHeight="1">
      <c r="A30" s="6">
        <v>28</v>
      </c>
      <c r="B30" s="7" t="str">
        <f>"277320201217104920258"</f>
        <v>277320201217104920258</v>
      </c>
      <c r="C30" s="7" t="s">
        <v>6</v>
      </c>
      <c r="D30" s="7" t="str">
        <f>"李霜"</f>
        <v>李霜</v>
      </c>
      <c r="E30" s="7" t="str">
        <f>"女"</f>
        <v>女</v>
      </c>
    </row>
    <row r="31" spans="1:5" ht="30" customHeight="1">
      <c r="A31" s="6">
        <v>29</v>
      </c>
      <c r="B31" s="7" t="str">
        <f>"277320201217105925279"</f>
        <v>277320201217105925279</v>
      </c>
      <c r="C31" s="7" t="s">
        <v>6</v>
      </c>
      <c r="D31" s="7" t="str">
        <f>"吴丽金"</f>
        <v>吴丽金</v>
      </c>
      <c r="E31" s="7" t="str">
        <f>"女"</f>
        <v>女</v>
      </c>
    </row>
    <row r="32" spans="1:5" ht="30" customHeight="1">
      <c r="A32" s="6">
        <v>30</v>
      </c>
      <c r="B32" s="7" t="str">
        <f>"277320201217110028282"</f>
        <v>277320201217110028282</v>
      </c>
      <c r="C32" s="7" t="s">
        <v>6</v>
      </c>
      <c r="D32" s="7" t="str">
        <f>"王娟"</f>
        <v>王娟</v>
      </c>
      <c r="E32" s="7" t="str">
        <f>"女"</f>
        <v>女</v>
      </c>
    </row>
    <row r="33" spans="1:5" ht="30" customHeight="1">
      <c r="A33" s="6">
        <v>31</v>
      </c>
      <c r="B33" s="7" t="str">
        <f>"277320201217110645291"</f>
        <v>277320201217110645291</v>
      </c>
      <c r="C33" s="7" t="s">
        <v>6</v>
      </c>
      <c r="D33" s="7" t="str">
        <f>"赵文立"</f>
        <v>赵文立</v>
      </c>
      <c r="E33" s="7" t="str">
        <f>"男"</f>
        <v>男</v>
      </c>
    </row>
    <row r="34" spans="1:5" ht="30" customHeight="1">
      <c r="A34" s="6">
        <v>32</v>
      </c>
      <c r="B34" s="7" t="str">
        <f>"277320201217111239296"</f>
        <v>277320201217111239296</v>
      </c>
      <c r="C34" s="7" t="s">
        <v>6</v>
      </c>
      <c r="D34" s="7" t="str">
        <f>"吴晓婉"</f>
        <v>吴晓婉</v>
      </c>
      <c r="E34" s="7" t="str">
        <f>"女"</f>
        <v>女</v>
      </c>
    </row>
    <row r="35" spans="1:5" ht="30" customHeight="1">
      <c r="A35" s="6">
        <v>33</v>
      </c>
      <c r="B35" s="7" t="str">
        <f>"277320201217111618300"</f>
        <v>277320201217111618300</v>
      </c>
      <c r="C35" s="7" t="s">
        <v>6</v>
      </c>
      <c r="D35" s="7" t="str">
        <f>"连小婕"</f>
        <v>连小婕</v>
      </c>
      <c r="E35" s="7" t="str">
        <f>"女"</f>
        <v>女</v>
      </c>
    </row>
    <row r="36" spans="1:5" ht="30" customHeight="1">
      <c r="A36" s="6">
        <v>34</v>
      </c>
      <c r="B36" s="7" t="str">
        <f>"277320201217112234310"</f>
        <v>277320201217112234310</v>
      </c>
      <c r="C36" s="7" t="s">
        <v>6</v>
      </c>
      <c r="D36" s="7" t="str">
        <f>"刘金莲"</f>
        <v>刘金莲</v>
      </c>
      <c r="E36" s="7" t="str">
        <f>"女"</f>
        <v>女</v>
      </c>
    </row>
    <row r="37" spans="1:5" ht="30" customHeight="1">
      <c r="A37" s="6">
        <v>35</v>
      </c>
      <c r="B37" s="7" t="str">
        <f>"277320201217112733314"</f>
        <v>277320201217112733314</v>
      </c>
      <c r="C37" s="7" t="s">
        <v>6</v>
      </c>
      <c r="D37" s="7" t="str">
        <f>"符可"</f>
        <v>符可</v>
      </c>
      <c r="E37" s="7" t="str">
        <f>"男"</f>
        <v>男</v>
      </c>
    </row>
    <row r="38" spans="1:5" ht="30" customHeight="1">
      <c r="A38" s="6">
        <v>36</v>
      </c>
      <c r="B38" s="7" t="str">
        <f>"277320201217112918317"</f>
        <v>277320201217112918317</v>
      </c>
      <c r="C38" s="7" t="s">
        <v>6</v>
      </c>
      <c r="D38" s="7" t="str">
        <f>"吴晓婷"</f>
        <v>吴晓婷</v>
      </c>
      <c r="E38" s="7" t="str">
        <f>"女"</f>
        <v>女</v>
      </c>
    </row>
    <row r="39" spans="1:5" ht="30" customHeight="1">
      <c r="A39" s="6">
        <v>37</v>
      </c>
      <c r="B39" s="7" t="str">
        <f>"277320201217113115318"</f>
        <v>277320201217113115318</v>
      </c>
      <c r="C39" s="7" t="s">
        <v>6</v>
      </c>
      <c r="D39" s="7" t="str">
        <f>"卢慧"</f>
        <v>卢慧</v>
      </c>
      <c r="E39" s="7" t="str">
        <f>"女"</f>
        <v>女</v>
      </c>
    </row>
    <row r="40" spans="1:5" ht="30" customHeight="1">
      <c r="A40" s="6">
        <v>38</v>
      </c>
      <c r="B40" s="7" t="str">
        <f>"277320201217113707323"</f>
        <v>277320201217113707323</v>
      </c>
      <c r="C40" s="7" t="s">
        <v>6</v>
      </c>
      <c r="D40" s="7" t="str">
        <f>"张曼"</f>
        <v>张曼</v>
      </c>
      <c r="E40" s="7" t="str">
        <f>"女"</f>
        <v>女</v>
      </c>
    </row>
    <row r="41" spans="1:5" ht="30" customHeight="1">
      <c r="A41" s="6">
        <v>39</v>
      </c>
      <c r="B41" s="7" t="str">
        <f>"277320201217114030327"</f>
        <v>277320201217114030327</v>
      </c>
      <c r="C41" s="7" t="s">
        <v>6</v>
      </c>
      <c r="D41" s="7" t="str">
        <f>"王虹"</f>
        <v>王虹</v>
      </c>
      <c r="E41" s="7" t="str">
        <f>"女"</f>
        <v>女</v>
      </c>
    </row>
    <row r="42" spans="1:5" ht="30" customHeight="1">
      <c r="A42" s="6">
        <v>40</v>
      </c>
      <c r="B42" s="7" t="str">
        <f>"277320201217114457331"</f>
        <v>277320201217114457331</v>
      </c>
      <c r="C42" s="7" t="s">
        <v>6</v>
      </c>
      <c r="D42" s="7" t="str">
        <f>"刘秋菊"</f>
        <v>刘秋菊</v>
      </c>
      <c r="E42" s="7" t="str">
        <f>"女"</f>
        <v>女</v>
      </c>
    </row>
    <row r="43" spans="1:5" ht="30" customHeight="1">
      <c r="A43" s="6">
        <v>41</v>
      </c>
      <c r="B43" s="7" t="str">
        <f>"277320201217115617347"</f>
        <v>277320201217115617347</v>
      </c>
      <c r="C43" s="7" t="s">
        <v>6</v>
      </c>
      <c r="D43" s="7" t="str">
        <f>"陈永奇"</f>
        <v>陈永奇</v>
      </c>
      <c r="E43" s="7" t="str">
        <f>"男"</f>
        <v>男</v>
      </c>
    </row>
    <row r="44" spans="1:5" ht="30" customHeight="1">
      <c r="A44" s="6">
        <v>42</v>
      </c>
      <c r="B44" s="7" t="str">
        <f>"277320201217120530356"</f>
        <v>277320201217120530356</v>
      </c>
      <c r="C44" s="7" t="s">
        <v>6</v>
      </c>
      <c r="D44" s="7" t="str">
        <f>"王子芯"</f>
        <v>王子芯</v>
      </c>
      <c r="E44" s="7" t="str">
        <f>"女"</f>
        <v>女</v>
      </c>
    </row>
    <row r="45" spans="1:5" ht="30" customHeight="1">
      <c r="A45" s="6">
        <v>43</v>
      </c>
      <c r="B45" s="7" t="str">
        <f>"277320201217120657359"</f>
        <v>277320201217120657359</v>
      </c>
      <c r="C45" s="7" t="s">
        <v>6</v>
      </c>
      <c r="D45" s="7" t="str">
        <f>"羊科丽"</f>
        <v>羊科丽</v>
      </c>
      <c r="E45" s="7" t="str">
        <f>"女"</f>
        <v>女</v>
      </c>
    </row>
    <row r="46" spans="1:5" ht="30" customHeight="1">
      <c r="A46" s="6">
        <v>44</v>
      </c>
      <c r="B46" s="7" t="str">
        <f>"277320201217120818361"</f>
        <v>277320201217120818361</v>
      </c>
      <c r="C46" s="7" t="s">
        <v>6</v>
      </c>
      <c r="D46" s="7" t="str">
        <f>"唐佳敏"</f>
        <v>唐佳敏</v>
      </c>
      <c r="E46" s="7" t="str">
        <f>"女"</f>
        <v>女</v>
      </c>
    </row>
    <row r="47" spans="1:5" ht="30" customHeight="1">
      <c r="A47" s="6">
        <v>45</v>
      </c>
      <c r="B47" s="7" t="str">
        <f>"277320201217120821362"</f>
        <v>277320201217120821362</v>
      </c>
      <c r="C47" s="7" t="s">
        <v>6</v>
      </c>
      <c r="D47" s="7" t="str">
        <f>"蔡小滨"</f>
        <v>蔡小滨</v>
      </c>
      <c r="E47" s="7" t="str">
        <f>"男"</f>
        <v>男</v>
      </c>
    </row>
    <row r="48" spans="1:5" ht="30" customHeight="1">
      <c r="A48" s="6">
        <v>46</v>
      </c>
      <c r="B48" s="7" t="str">
        <f>"277320201217121148365"</f>
        <v>277320201217121148365</v>
      </c>
      <c r="C48" s="7" t="s">
        <v>6</v>
      </c>
      <c r="D48" s="7" t="str">
        <f>"石慧雅"</f>
        <v>石慧雅</v>
      </c>
      <c r="E48" s="7" t="str">
        <f aca="true" t="shared" si="1" ref="E48:E57">"女"</f>
        <v>女</v>
      </c>
    </row>
    <row r="49" spans="1:5" ht="30" customHeight="1">
      <c r="A49" s="6">
        <v>47</v>
      </c>
      <c r="B49" s="7" t="str">
        <f>"277320201217121915375"</f>
        <v>277320201217121915375</v>
      </c>
      <c r="C49" s="7" t="s">
        <v>6</v>
      </c>
      <c r="D49" s="7" t="str">
        <f>"林珍"</f>
        <v>林珍</v>
      </c>
      <c r="E49" s="7" t="str">
        <f t="shared" si="1"/>
        <v>女</v>
      </c>
    </row>
    <row r="50" spans="1:5" ht="30" customHeight="1">
      <c r="A50" s="6">
        <v>48</v>
      </c>
      <c r="B50" s="7" t="str">
        <f>"277320201217123121384"</f>
        <v>277320201217123121384</v>
      </c>
      <c r="C50" s="7" t="s">
        <v>6</v>
      </c>
      <c r="D50" s="7" t="str">
        <f>"蔡丽娟"</f>
        <v>蔡丽娟</v>
      </c>
      <c r="E50" s="7" t="str">
        <f t="shared" si="1"/>
        <v>女</v>
      </c>
    </row>
    <row r="51" spans="1:5" ht="30" customHeight="1">
      <c r="A51" s="6">
        <v>49</v>
      </c>
      <c r="B51" s="7" t="str">
        <f>"277320201217125343402"</f>
        <v>277320201217125343402</v>
      </c>
      <c r="C51" s="7" t="s">
        <v>6</v>
      </c>
      <c r="D51" s="7" t="str">
        <f>"张峥"</f>
        <v>张峥</v>
      </c>
      <c r="E51" s="7" t="str">
        <f t="shared" si="1"/>
        <v>女</v>
      </c>
    </row>
    <row r="52" spans="1:5" ht="30" customHeight="1">
      <c r="A52" s="6">
        <v>50</v>
      </c>
      <c r="B52" s="7" t="str">
        <f>"277320201217130223409"</f>
        <v>277320201217130223409</v>
      </c>
      <c r="C52" s="7" t="s">
        <v>6</v>
      </c>
      <c r="D52" s="7" t="str">
        <f>"胡芬红"</f>
        <v>胡芬红</v>
      </c>
      <c r="E52" s="7" t="str">
        <f t="shared" si="1"/>
        <v>女</v>
      </c>
    </row>
    <row r="53" spans="1:5" ht="30" customHeight="1">
      <c r="A53" s="6">
        <v>51</v>
      </c>
      <c r="B53" s="7" t="str">
        <f>"277320201217131024417"</f>
        <v>277320201217131024417</v>
      </c>
      <c r="C53" s="7" t="s">
        <v>6</v>
      </c>
      <c r="D53" s="7" t="str">
        <f>"何秋仙"</f>
        <v>何秋仙</v>
      </c>
      <c r="E53" s="7" t="str">
        <f t="shared" si="1"/>
        <v>女</v>
      </c>
    </row>
    <row r="54" spans="1:5" ht="30" customHeight="1">
      <c r="A54" s="6">
        <v>52</v>
      </c>
      <c r="B54" s="7" t="str">
        <f>"277320201217131112419"</f>
        <v>277320201217131112419</v>
      </c>
      <c r="C54" s="7" t="s">
        <v>6</v>
      </c>
      <c r="D54" s="7" t="str">
        <f>"钟金彩"</f>
        <v>钟金彩</v>
      </c>
      <c r="E54" s="7" t="str">
        <f t="shared" si="1"/>
        <v>女</v>
      </c>
    </row>
    <row r="55" spans="1:5" ht="30" customHeight="1">
      <c r="A55" s="6">
        <v>53</v>
      </c>
      <c r="B55" s="7" t="str">
        <f>"277320201217133910429"</f>
        <v>277320201217133910429</v>
      </c>
      <c r="C55" s="7" t="s">
        <v>6</v>
      </c>
      <c r="D55" s="7" t="str">
        <f>"张彬雅"</f>
        <v>张彬雅</v>
      </c>
      <c r="E55" s="7" t="str">
        <f t="shared" si="1"/>
        <v>女</v>
      </c>
    </row>
    <row r="56" spans="1:5" ht="30" customHeight="1">
      <c r="A56" s="6">
        <v>54</v>
      </c>
      <c r="B56" s="7" t="str">
        <f>"277320201217135103434"</f>
        <v>277320201217135103434</v>
      </c>
      <c r="C56" s="7" t="s">
        <v>6</v>
      </c>
      <c r="D56" s="7" t="str">
        <f>"陈亚男"</f>
        <v>陈亚男</v>
      </c>
      <c r="E56" s="7" t="str">
        <f t="shared" si="1"/>
        <v>女</v>
      </c>
    </row>
    <row r="57" spans="1:5" ht="30" customHeight="1">
      <c r="A57" s="6">
        <v>55</v>
      </c>
      <c r="B57" s="7" t="str">
        <f>"277320201217141336442"</f>
        <v>277320201217141336442</v>
      </c>
      <c r="C57" s="7" t="s">
        <v>6</v>
      </c>
      <c r="D57" s="7" t="str">
        <f>"许海花"</f>
        <v>许海花</v>
      </c>
      <c r="E57" s="7" t="str">
        <f t="shared" si="1"/>
        <v>女</v>
      </c>
    </row>
    <row r="58" spans="1:5" ht="30" customHeight="1">
      <c r="A58" s="6">
        <v>56</v>
      </c>
      <c r="B58" s="7" t="str">
        <f>"277320201217144347457"</f>
        <v>277320201217144347457</v>
      </c>
      <c r="C58" s="7" t="s">
        <v>6</v>
      </c>
      <c r="D58" s="7" t="str">
        <f>"何步刚"</f>
        <v>何步刚</v>
      </c>
      <c r="E58" s="7" t="str">
        <f>"男"</f>
        <v>男</v>
      </c>
    </row>
    <row r="59" spans="1:5" ht="30" customHeight="1">
      <c r="A59" s="6">
        <v>57</v>
      </c>
      <c r="B59" s="7" t="str">
        <f>"277320201217145516463"</f>
        <v>277320201217145516463</v>
      </c>
      <c r="C59" s="7" t="s">
        <v>6</v>
      </c>
      <c r="D59" s="7" t="str">
        <f>"林彬琪"</f>
        <v>林彬琪</v>
      </c>
      <c r="E59" s="7" t="str">
        <f>"女"</f>
        <v>女</v>
      </c>
    </row>
    <row r="60" spans="1:5" ht="30" customHeight="1">
      <c r="A60" s="6">
        <v>58</v>
      </c>
      <c r="B60" s="7" t="str">
        <f>"277320201217150143468"</f>
        <v>277320201217150143468</v>
      </c>
      <c r="C60" s="7" t="s">
        <v>6</v>
      </c>
      <c r="D60" s="7" t="str">
        <f>"林志雅"</f>
        <v>林志雅</v>
      </c>
      <c r="E60" s="7" t="str">
        <f>"女"</f>
        <v>女</v>
      </c>
    </row>
    <row r="61" spans="1:5" ht="30" customHeight="1">
      <c r="A61" s="6">
        <v>59</v>
      </c>
      <c r="B61" s="7" t="str">
        <f>"277320201217150928479"</f>
        <v>277320201217150928479</v>
      </c>
      <c r="C61" s="7" t="s">
        <v>6</v>
      </c>
      <c r="D61" s="7" t="str">
        <f>"林欣媛"</f>
        <v>林欣媛</v>
      </c>
      <c r="E61" s="7" t="str">
        <f>"女"</f>
        <v>女</v>
      </c>
    </row>
    <row r="62" spans="1:5" ht="30" customHeight="1">
      <c r="A62" s="6">
        <v>60</v>
      </c>
      <c r="B62" s="7" t="str">
        <f>"277320201217151102480"</f>
        <v>277320201217151102480</v>
      </c>
      <c r="C62" s="7" t="s">
        <v>6</v>
      </c>
      <c r="D62" s="7" t="str">
        <f>"梁如士"</f>
        <v>梁如士</v>
      </c>
      <c r="E62" s="7" t="str">
        <f>"男"</f>
        <v>男</v>
      </c>
    </row>
    <row r="63" spans="1:5" ht="30" customHeight="1">
      <c r="A63" s="6">
        <v>61</v>
      </c>
      <c r="B63" s="7" t="str">
        <f>"277320201217151729484"</f>
        <v>277320201217151729484</v>
      </c>
      <c r="C63" s="7" t="s">
        <v>6</v>
      </c>
      <c r="D63" s="7" t="str">
        <f>"符俊彬"</f>
        <v>符俊彬</v>
      </c>
      <c r="E63" s="7" t="str">
        <f>"男"</f>
        <v>男</v>
      </c>
    </row>
    <row r="64" spans="1:5" ht="30" customHeight="1">
      <c r="A64" s="6">
        <v>62</v>
      </c>
      <c r="B64" s="7" t="str">
        <f>"277320201217152307494"</f>
        <v>277320201217152307494</v>
      </c>
      <c r="C64" s="7" t="s">
        <v>6</v>
      </c>
      <c r="D64" s="7" t="str">
        <f>"钟妮"</f>
        <v>钟妮</v>
      </c>
      <c r="E64" s="7" t="str">
        <f>"女"</f>
        <v>女</v>
      </c>
    </row>
    <row r="65" spans="1:5" ht="30" customHeight="1">
      <c r="A65" s="6">
        <v>63</v>
      </c>
      <c r="B65" s="7" t="str">
        <f>"277320201217154507516"</f>
        <v>277320201217154507516</v>
      </c>
      <c r="C65" s="7" t="s">
        <v>6</v>
      </c>
      <c r="D65" s="7" t="str">
        <f>"梁学仕"</f>
        <v>梁学仕</v>
      </c>
      <c r="E65" s="7" t="str">
        <f>"男"</f>
        <v>男</v>
      </c>
    </row>
    <row r="66" spans="1:5" ht="30" customHeight="1">
      <c r="A66" s="6">
        <v>64</v>
      </c>
      <c r="B66" s="7" t="str">
        <f>"277320201217154618517"</f>
        <v>277320201217154618517</v>
      </c>
      <c r="C66" s="7" t="s">
        <v>6</v>
      </c>
      <c r="D66" s="7" t="str">
        <f>"李尾莲"</f>
        <v>李尾莲</v>
      </c>
      <c r="E66" s="7" t="str">
        <f>"女"</f>
        <v>女</v>
      </c>
    </row>
    <row r="67" spans="1:5" ht="30" customHeight="1">
      <c r="A67" s="6">
        <v>65</v>
      </c>
      <c r="B67" s="7" t="str">
        <f>"277320201217155643524"</f>
        <v>277320201217155643524</v>
      </c>
      <c r="C67" s="7" t="s">
        <v>6</v>
      </c>
      <c r="D67" s="7" t="str">
        <f>"梁春桃"</f>
        <v>梁春桃</v>
      </c>
      <c r="E67" s="7" t="str">
        <f>"女"</f>
        <v>女</v>
      </c>
    </row>
    <row r="68" spans="1:5" ht="30" customHeight="1">
      <c r="A68" s="6">
        <v>66</v>
      </c>
      <c r="B68" s="7" t="str">
        <f>"277320201217160537535"</f>
        <v>277320201217160537535</v>
      </c>
      <c r="C68" s="7" t="s">
        <v>6</v>
      </c>
      <c r="D68" s="7" t="str">
        <f>"罗玉"</f>
        <v>罗玉</v>
      </c>
      <c r="E68" s="7" t="str">
        <f>"女"</f>
        <v>女</v>
      </c>
    </row>
    <row r="69" spans="1:5" ht="30" customHeight="1">
      <c r="A69" s="6">
        <v>67</v>
      </c>
      <c r="B69" s="7" t="str">
        <f>"277320201217160646537"</f>
        <v>277320201217160646537</v>
      </c>
      <c r="C69" s="7" t="s">
        <v>6</v>
      </c>
      <c r="D69" s="7" t="str">
        <f>"李妹"</f>
        <v>李妹</v>
      </c>
      <c r="E69" s="7" t="str">
        <f>"女"</f>
        <v>女</v>
      </c>
    </row>
    <row r="70" spans="1:5" ht="30" customHeight="1">
      <c r="A70" s="6">
        <v>68</v>
      </c>
      <c r="B70" s="7" t="str">
        <f>"277320201217161044545"</f>
        <v>277320201217161044545</v>
      </c>
      <c r="C70" s="7" t="s">
        <v>6</v>
      </c>
      <c r="D70" s="7" t="str">
        <f>"许炳甜"</f>
        <v>许炳甜</v>
      </c>
      <c r="E70" s="7" t="str">
        <f>"男"</f>
        <v>男</v>
      </c>
    </row>
    <row r="71" spans="1:5" ht="30" customHeight="1">
      <c r="A71" s="6">
        <v>69</v>
      </c>
      <c r="B71" s="7" t="str">
        <f>"277320201217164226566"</f>
        <v>277320201217164226566</v>
      </c>
      <c r="C71" s="7" t="s">
        <v>6</v>
      </c>
      <c r="D71" s="7" t="str">
        <f>"冯匡崎"</f>
        <v>冯匡崎</v>
      </c>
      <c r="E71" s="7" t="str">
        <f>"男"</f>
        <v>男</v>
      </c>
    </row>
    <row r="72" spans="1:5" ht="30" customHeight="1">
      <c r="A72" s="6">
        <v>70</v>
      </c>
      <c r="B72" s="7" t="str">
        <f>"277320201217165449576"</f>
        <v>277320201217165449576</v>
      </c>
      <c r="C72" s="7" t="s">
        <v>6</v>
      </c>
      <c r="D72" s="7" t="str">
        <f>"郑倩钰"</f>
        <v>郑倩钰</v>
      </c>
      <c r="E72" s="7" t="str">
        <f aca="true" t="shared" si="2" ref="E72:E80">"女"</f>
        <v>女</v>
      </c>
    </row>
    <row r="73" spans="1:5" ht="30" customHeight="1">
      <c r="A73" s="6">
        <v>71</v>
      </c>
      <c r="B73" s="7" t="str">
        <f>"277320201217165500577"</f>
        <v>277320201217165500577</v>
      </c>
      <c r="C73" s="7" t="s">
        <v>6</v>
      </c>
      <c r="D73" s="7" t="str">
        <f>"符会蕊"</f>
        <v>符会蕊</v>
      </c>
      <c r="E73" s="7" t="str">
        <f t="shared" si="2"/>
        <v>女</v>
      </c>
    </row>
    <row r="74" spans="1:5" ht="30" customHeight="1">
      <c r="A74" s="6">
        <v>72</v>
      </c>
      <c r="B74" s="7" t="str">
        <f>"277320201217165921579"</f>
        <v>277320201217165921579</v>
      </c>
      <c r="C74" s="7" t="s">
        <v>6</v>
      </c>
      <c r="D74" s="7" t="str">
        <f>"蓝畅"</f>
        <v>蓝畅</v>
      </c>
      <c r="E74" s="7" t="str">
        <f t="shared" si="2"/>
        <v>女</v>
      </c>
    </row>
    <row r="75" spans="1:5" ht="30" customHeight="1">
      <c r="A75" s="6">
        <v>73</v>
      </c>
      <c r="B75" s="7" t="str">
        <f>"277320201217171802589"</f>
        <v>277320201217171802589</v>
      </c>
      <c r="C75" s="7" t="s">
        <v>6</v>
      </c>
      <c r="D75" s="7" t="str">
        <f>"陈婷婷"</f>
        <v>陈婷婷</v>
      </c>
      <c r="E75" s="7" t="str">
        <f t="shared" si="2"/>
        <v>女</v>
      </c>
    </row>
    <row r="76" spans="1:5" ht="30" customHeight="1">
      <c r="A76" s="6">
        <v>74</v>
      </c>
      <c r="B76" s="7" t="str">
        <f>"277320201217173350594"</f>
        <v>277320201217173350594</v>
      </c>
      <c r="C76" s="7" t="s">
        <v>6</v>
      </c>
      <c r="D76" s="7" t="str">
        <f>"符朝霜"</f>
        <v>符朝霜</v>
      </c>
      <c r="E76" s="7" t="str">
        <f t="shared" si="2"/>
        <v>女</v>
      </c>
    </row>
    <row r="77" spans="1:5" ht="30" customHeight="1">
      <c r="A77" s="6">
        <v>75</v>
      </c>
      <c r="B77" s="7" t="str">
        <f>"277320201217173627599"</f>
        <v>277320201217173627599</v>
      </c>
      <c r="C77" s="7" t="s">
        <v>6</v>
      </c>
      <c r="D77" s="7" t="str">
        <f>"王琪"</f>
        <v>王琪</v>
      </c>
      <c r="E77" s="7" t="str">
        <f t="shared" si="2"/>
        <v>女</v>
      </c>
    </row>
    <row r="78" spans="1:5" ht="30" customHeight="1">
      <c r="A78" s="6">
        <v>76</v>
      </c>
      <c r="B78" s="7" t="str">
        <f>"277320201217175403606"</f>
        <v>277320201217175403606</v>
      </c>
      <c r="C78" s="7" t="s">
        <v>6</v>
      </c>
      <c r="D78" s="7" t="str">
        <f>"刘晓莉"</f>
        <v>刘晓莉</v>
      </c>
      <c r="E78" s="7" t="str">
        <f t="shared" si="2"/>
        <v>女</v>
      </c>
    </row>
    <row r="79" spans="1:5" ht="30" customHeight="1">
      <c r="A79" s="6">
        <v>77</v>
      </c>
      <c r="B79" s="7" t="str">
        <f>"277320201217175413607"</f>
        <v>277320201217175413607</v>
      </c>
      <c r="C79" s="7" t="s">
        <v>6</v>
      </c>
      <c r="D79" s="7" t="str">
        <f>"黄娇娇"</f>
        <v>黄娇娇</v>
      </c>
      <c r="E79" s="7" t="str">
        <f t="shared" si="2"/>
        <v>女</v>
      </c>
    </row>
    <row r="80" spans="1:5" ht="30" customHeight="1">
      <c r="A80" s="6">
        <v>78</v>
      </c>
      <c r="B80" s="7" t="str">
        <f>"277320201217180340613"</f>
        <v>277320201217180340613</v>
      </c>
      <c r="C80" s="7" t="s">
        <v>6</v>
      </c>
      <c r="D80" s="7" t="str">
        <f>"唐桃湘"</f>
        <v>唐桃湘</v>
      </c>
      <c r="E80" s="7" t="str">
        <f t="shared" si="2"/>
        <v>女</v>
      </c>
    </row>
    <row r="81" spans="1:5" ht="30" customHeight="1">
      <c r="A81" s="6">
        <v>79</v>
      </c>
      <c r="B81" s="7" t="str">
        <f>"277320201217180734617"</f>
        <v>277320201217180734617</v>
      </c>
      <c r="C81" s="7" t="s">
        <v>6</v>
      </c>
      <c r="D81" s="7" t="str">
        <f>"石正儒"</f>
        <v>石正儒</v>
      </c>
      <c r="E81" s="7" t="str">
        <f>"男"</f>
        <v>男</v>
      </c>
    </row>
    <row r="82" spans="1:5" ht="30" customHeight="1">
      <c r="A82" s="6">
        <v>80</v>
      </c>
      <c r="B82" s="7" t="str">
        <f>"277320201217182138629"</f>
        <v>277320201217182138629</v>
      </c>
      <c r="C82" s="7" t="s">
        <v>6</v>
      </c>
      <c r="D82" s="7" t="str">
        <f>"蔡美惠"</f>
        <v>蔡美惠</v>
      </c>
      <c r="E82" s="7" t="str">
        <f>"女"</f>
        <v>女</v>
      </c>
    </row>
    <row r="83" spans="1:5" ht="30" customHeight="1">
      <c r="A83" s="6">
        <v>81</v>
      </c>
      <c r="B83" s="7" t="str">
        <f>"277320201217183902638"</f>
        <v>277320201217183902638</v>
      </c>
      <c r="C83" s="7" t="s">
        <v>6</v>
      </c>
      <c r="D83" s="7" t="str">
        <f>"钟海洁"</f>
        <v>钟海洁</v>
      </c>
      <c r="E83" s="7" t="str">
        <f>"女"</f>
        <v>女</v>
      </c>
    </row>
    <row r="84" spans="1:5" ht="30" customHeight="1">
      <c r="A84" s="6">
        <v>82</v>
      </c>
      <c r="B84" s="7" t="str">
        <f>"277320201217191645660"</f>
        <v>277320201217191645660</v>
      </c>
      <c r="C84" s="7" t="s">
        <v>6</v>
      </c>
      <c r="D84" s="7" t="str">
        <f>"符杰贤"</f>
        <v>符杰贤</v>
      </c>
      <c r="E84" s="7" t="str">
        <f>"男"</f>
        <v>男</v>
      </c>
    </row>
    <row r="85" spans="1:5" ht="30" customHeight="1">
      <c r="A85" s="6">
        <v>83</v>
      </c>
      <c r="B85" s="7" t="str">
        <f>"277320201217191928662"</f>
        <v>277320201217191928662</v>
      </c>
      <c r="C85" s="7" t="s">
        <v>6</v>
      </c>
      <c r="D85" s="7" t="str">
        <f>"符白利"</f>
        <v>符白利</v>
      </c>
      <c r="E85" s="7" t="str">
        <f>"女"</f>
        <v>女</v>
      </c>
    </row>
    <row r="86" spans="1:5" ht="30" customHeight="1">
      <c r="A86" s="6">
        <v>84</v>
      </c>
      <c r="B86" s="7" t="str">
        <f>"277320201217192952668"</f>
        <v>277320201217192952668</v>
      </c>
      <c r="C86" s="7" t="s">
        <v>6</v>
      </c>
      <c r="D86" s="7" t="str">
        <f>"符秋玲"</f>
        <v>符秋玲</v>
      </c>
      <c r="E86" s="7" t="str">
        <f>"女"</f>
        <v>女</v>
      </c>
    </row>
    <row r="87" spans="1:5" ht="30" customHeight="1">
      <c r="A87" s="6">
        <v>85</v>
      </c>
      <c r="B87" s="7" t="str">
        <f>"277320201217201740691"</f>
        <v>277320201217201740691</v>
      </c>
      <c r="C87" s="7" t="s">
        <v>6</v>
      </c>
      <c r="D87" s="7" t="str">
        <f>"吴乾青"</f>
        <v>吴乾青</v>
      </c>
      <c r="E87" s="7" t="str">
        <f>"女"</f>
        <v>女</v>
      </c>
    </row>
    <row r="88" spans="1:5" ht="30" customHeight="1">
      <c r="A88" s="6">
        <v>86</v>
      </c>
      <c r="B88" s="7" t="str">
        <f>"277320201217202425697"</f>
        <v>277320201217202425697</v>
      </c>
      <c r="C88" s="7" t="s">
        <v>6</v>
      </c>
      <c r="D88" s="7" t="str">
        <f>"邝继玲"</f>
        <v>邝继玲</v>
      </c>
      <c r="E88" s="7" t="str">
        <f>"男"</f>
        <v>男</v>
      </c>
    </row>
    <row r="89" spans="1:5" ht="30" customHeight="1">
      <c r="A89" s="6">
        <v>87</v>
      </c>
      <c r="B89" s="7" t="str">
        <f>"277320201217202542698"</f>
        <v>277320201217202542698</v>
      </c>
      <c r="C89" s="7" t="s">
        <v>6</v>
      </c>
      <c r="D89" s="7" t="str">
        <f>"王琴"</f>
        <v>王琴</v>
      </c>
      <c r="E89" s="7" t="str">
        <f>"女"</f>
        <v>女</v>
      </c>
    </row>
    <row r="90" spans="1:5" ht="30" customHeight="1">
      <c r="A90" s="6">
        <v>88</v>
      </c>
      <c r="B90" s="7" t="str">
        <f>"277320201217204553711"</f>
        <v>277320201217204553711</v>
      </c>
      <c r="C90" s="7" t="s">
        <v>6</v>
      </c>
      <c r="D90" s="7" t="str">
        <f>"吴小镜"</f>
        <v>吴小镜</v>
      </c>
      <c r="E90" s="7" t="str">
        <f>"女"</f>
        <v>女</v>
      </c>
    </row>
    <row r="91" spans="1:5" ht="30" customHeight="1">
      <c r="A91" s="6">
        <v>89</v>
      </c>
      <c r="B91" s="7" t="str">
        <f>"277320201217204858715"</f>
        <v>277320201217204858715</v>
      </c>
      <c r="C91" s="7" t="s">
        <v>6</v>
      </c>
      <c r="D91" s="7" t="str">
        <f>"陈丽丽"</f>
        <v>陈丽丽</v>
      </c>
      <c r="E91" s="7" t="str">
        <f>"女"</f>
        <v>女</v>
      </c>
    </row>
    <row r="92" spans="1:5" ht="30" customHeight="1">
      <c r="A92" s="6">
        <v>90</v>
      </c>
      <c r="B92" s="7" t="str">
        <f>"277320201217205042716"</f>
        <v>277320201217205042716</v>
      </c>
      <c r="C92" s="7" t="s">
        <v>6</v>
      </c>
      <c r="D92" s="7" t="str">
        <f>"王慧梅"</f>
        <v>王慧梅</v>
      </c>
      <c r="E92" s="7" t="str">
        <f>"女"</f>
        <v>女</v>
      </c>
    </row>
    <row r="93" spans="1:5" ht="30" customHeight="1">
      <c r="A93" s="6">
        <v>91</v>
      </c>
      <c r="B93" s="7" t="str">
        <f>"277320201217213404737"</f>
        <v>277320201217213404737</v>
      </c>
      <c r="C93" s="7" t="s">
        <v>6</v>
      </c>
      <c r="D93" s="7" t="str">
        <f>"邢璐璐"</f>
        <v>邢璐璐</v>
      </c>
      <c r="E93" s="7" t="str">
        <f>"女"</f>
        <v>女</v>
      </c>
    </row>
    <row r="94" spans="1:5" ht="30" customHeight="1">
      <c r="A94" s="6">
        <v>92</v>
      </c>
      <c r="B94" s="7" t="str">
        <f>"277320201217214701747"</f>
        <v>277320201217214701747</v>
      </c>
      <c r="C94" s="7" t="s">
        <v>6</v>
      </c>
      <c r="D94" s="7" t="str">
        <f>"陈桂根"</f>
        <v>陈桂根</v>
      </c>
      <c r="E94" s="7" t="str">
        <f>"男"</f>
        <v>男</v>
      </c>
    </row>
    <row r="95" spans="1:5" ht="30" customHeight="1">
      <c r="A95" s="6">
        <v>93</v>
      </c>
      <c r="B95" s="7" t="str">
        <f>"277320201217215027749"</f>
        <v>277320201217215027749</v>
      </c>
      <c r="C95" s="7" t="s">
        <v>6</v>
      </c>
      <c r="D95" s="7" t="str">
        <f>"陈开美"</f>
        <v>陈开美</v>
      </c>
      <c r="E95" s="7" t="str">
        <f>"女"</f>
        <v>女</v>
      </c>
    </row>
    <row r="96" spans="1:5" ht="30" customHeight="1">
      <c r="A96" s="6">
        <v>94</v>
      </c>
      <c r="B96" s="7" t="str">
        <f>"277320201217215309752"</f>
        <v>277320201217215309752</v>
      </c>
      <c r="C96" s="7" t="s">
        <v>6</v>
      </c>
      <c r="D96" s="7" t="str">
        <f>"赖广静"</f>
        <v>赖广静</v>
      </c>
      <c r="E96" s="7" t="str">
        <f>"女"</f>
        <v>女</v>
      </c>
    </row>
    <row r="97" spans="1:5" ht="30" customHeight="1">
      <c r="A97" s="6">
        <v>95</v>
      </c>
      <c r="B97" s="7" t="str">
        <f>"277320201217221640765"</f>
        <v>277320201217221640765</v>
      </c>
      <c r="C97" s="7" t="s">
        <v>6</v>
      </c>
      <c r="D97" s="7" t="str">
        <f>"林芳"</f>
        <v>林芳</v>
      </c>
      <c r="E97" s="7" t="str">
        <f>"女"</f>
        <v>女</v>
      </c>
    </row>
    <row r="98" spans="1:5" ht="30" customHeight="1">
      <c r="A98" s="6">
        <v>96</v>
      </c>
      <c r="B98" s="7" t="str">
        <f>"277320201217222514770"</f>
        <v>277320201217222514770</v>
      </c>
      <c r="C98" s="7" t="s">
        <v>6</v>
      </c>
      <c r="D98" s="7" t="str">
        <f>"余佳敏"</f>
        <v>余佳敏</v>
      </c>
      <c r="E98" s="7" t="str">
        <f>"女"</f>
        <v>女</v>
      </c>
    </row>
    <row r="99" spans="1:5" ht="30" customHeight="1">
      <c r="A99" s="6">
        <v>97</v>
      </c>
      <c r="B99" s="7" t="str">
        <f>"277320201217223356777"</f>
        <v>277320201217223356777</v>
      </c>
      <c r="C99" s="7" t="s">
        <v>6</v>
      </c>
      <c r="D99" s="7" t="str">
        <f>"周奠海"</f>
        <v>周奠海</v>
      </c>
      <c r="E99" s="7" t="str">
        <f>"男"</f>
        <v>男</v>
      </c>
    </row>
    <row r="100" spans="1:5" ht="30" customHeight="1">
      <c r="A100" s="6">
        <v>98</v>
      </c>
      <c r="B100" s="7" t="str">
        <f>"277320201217223651778"</f>
        <v>277320201217223651778</v>
      </c>
      <c r="C100" s="7" t="s">
        <v>6</v>
      </c>
      <c r="D100" s="7" t="str">
        <f>"甘小玉"</f>
        <v>甘小玉</v>
      </c>
      <c r="E100" s="7" t="str">
        <f>"女"</f>
        <v>女</v>
      </c>
    </row>
    <row r="101" spans="1:5" ht="30" customHeight="1">
      <c r="A101" s="6">
        <v>99</v>
      </c>
      <c r="B101" s="7" t="str">
        <f>"277320201217224939781"</f>
        <v>277320201217224939781</v>
      </c>
      <c r="C101" s="7" t="s">
        <v>6</v>
      </c>
      <c r="D101" s="7" t="str">
        <f>"陈铭蔚"</f>
        <v>陈铭蔚</v>
      </c>
      <c r="E101" s="7" t="str">
        <f>"女"</f>
        <v>女</v>
      </c>
    </row>
    <row r="102" spans="1:5" ht="30" customHeight="1">
      <c r="A102" s="6">
        <v>100</v>
      </c>
      <c r="B102" s="7" t="str">
        <f>"277320201217235429796"</f>
        <v>277320201217235429796</v>
      </c>
      <c r="C102" s="7" t="s">
        <v>6</v>
      </c>
      <c r="D102" s="7" t="str">
        <f>"杨春燕"</f>
        <v>杨春燕</v>
      </c>
      <c r="E102" s="7" t="str">
        <f>"女"</f>
        <v>女</v>
      </c>
    </row>
    <row r="103" spans="1:5" ht="30" customHeight="1">
      <c r="A103" s="6">
        <v>101</v>
      </c>
      <c r="B103" s="7" t="str">
        <f>"277320201218024928804"</f>
        <v>277320201218024928804</v>
      </c>
      <c r="C103" s="7" t="s">
        <v>6</v>
      </c>
      <c r="D103" s="7" t="str">
        <f>"陈南青"</f>
        <v>陈南青</v>
      </c>
      <c r="E103" s="7" t="str">
        <f>"男"</f>
        <v>男</v>
      </c>
    </row>
    <row r="104" spans="1:5" ht="30" customHeight="1">
      <c r="A104" s="6">
        <v>102</v>
      </c>
      <c r="B104" s="7" t="str">
        <f>"277320201218065633806"</f>
        <v>277320201218065633806</v>
      </c>
      <c r="C104" s="7" t="s">
        <v>6</v>
      </c>
      <c r="D104" s="7" t="str">
        <f>"蔡汝豪"</f>
        <v>蔡汝豪</v>
      </c>
      <c r="E104" s="7" t="str">
        <f>"男"</f>
        <v>男</v>
      </c>
    </row>
    <row r="105" spans="1:5" ht="30" customHeight="1">
      <c r="A105" s="6">
        <v>103</v>
      </c>
      <c r="B105" s="7" t="str">
        <f>"277320201218081153809"</f>
        <v>277320201218081153809</v>
      </c>
      <c r="C105" s="7" t="s">
        <v>6</v>
      </c>
      <c r="D105" s="7" t="str">
        <f>"周丹丹"</f>
        <v>周丹丹</v>
      </c>
      <c r="E105" s="7" t="str">
        <f>"女"</f>
        <v>女</v>
      </c>
    </row>
    <row r="106" spans="1:5" ht="30" customHeight="1">
      <c r="A106" s="6">
        <v>104</v>
      </c>
      <c r="B106" s="7" t="str">
        <f>"277320201218083502814"</f>
        <v>277320201218083502814</v>
      </c>
      <c r="C106" s="7" t="s">
        <v>6</v>
      </c>
      <c r="D106" s="7" t="str">
        <f>"周琼秀"</f>
        <v>周琼秀</v>
      </c>
      <c r="E106" s="7" t="str">
        <f>"女"</f>
        <v>女</v>
      </c>
    </row>
    <row r="107" spans="1:5" ht="30" customHeight="1">
      <c r="A107" s="6">
        <v>105</v>
      </c>
      <c r="B107" s="7" t="str">
        <f>"277320201218085557822"</f>
        <v>277320201218085557822</v>
      </c>
      <c r="C107" s="7" t="s">
        <v>6</v>
      </c>
      <c r="D107" s="7" t="str">
        <f>"卓冬萍"</f>
        <v>卓冬萍</v>
      </c>
      <c r="E107" s="7" t="str">
        <f>"女"</f>
        <v>女</v>
      </c>
    </row>
    <row r="108" spans="1:5" ht="30" customHeight="1">
      <c r="A108" s="6">
        <v>106</v>
      </c>
      <c r="B108" s="7" t="str">
        <f>"277320201218085848826"</f>
        <v>277320201218085848826</v>
      </c>
      <c r="C108" s="7" t="s">
        <v>6</v>
      </c>
      <c r="D108" s="7" t="str">
        <f>"刘铭帅"</f>
        <v>刘铭帅</v>
      </c>
      <c r="E108" s="7" t="str">
        <f aca="true" t="shared" si="3" ref="E108:E113">"男"</f>
        <v>男</v>
      </c>
    </row>
    <row r="109" spans="1:5" ht="30" customHeight="1">
      <c r="A109" s="6">
        <v>107</v>
      </c>
      <c r="B109" s="7" t="str">
        <f>"277320201218090551830"</f>
        <v>277320201218090551830</v>
      </c>
      <c r="C109" s="7" t="s">
        <v>6</v>
      </c>
      <c r="D109" s="7" t="str">
        <f>"卓毛朝"</f>
        <v>卓毛朝</v>
      </c>
      <c r="E109" s="7" t="str">
        <f t="shared" si="3"/>
        <v>男</v>
      </c>
    </row>
    <row r="110" spans="1:5" ht="30" customHeight="1">
      <c r="A110" s="6">
        <v>108</v>
      </c>
      <c r="B110" s="7" t="str">
        <f>"277320201218090605831"</f>
        <v>277320201218090605831</v>
      </c>
      <c r="C110" s="7" t="s">
        <v>6</v>
      </c>
      <c r="D110" s="7" t="str">
        <f>"裴永越"</f>
        <v>裴永越</v>
      </c>
      <c r="E110" s="7" t="str">
        <f t="shared" si="3"/>
        <v>男</v>
      </c>
    </row>
    <row r="111" spans="1:5" ht="30" customHeight="1">
      <c r="A111" s="6">
        <v>109</v>
      </c>
      <c r="B111" s="7" t="str">
        <f>"277320201218091920838"</f>
        <v>277320201218091920838</v>
      </c>
      <c r="C111" s="7" t="s">
        <v>6</v>
      </c>
      <c r="D111" s="7" t="str">
        <f>"廖厚庄"</f>
        <v>廖厚庄</v>
      </c>
      <c r="E111" s="7" t="str">
        <f t="shared" si="3"/>
        <v>男</v>
      </c>
    </row>
    <row r="112" spans="1:5" ht="30" customHeight="1">
      <c r="A112" s="6">
        <v>110</v>
      </c>
      <c r="B112" s="7" t="str">
        <f>"277320201218093246846"</f>
        <v>277320201218093246846</v>
      </c>
      <c r="C112" s="7" t="s">
        <v>6</v>
      </c>
      <c r="D112" s="7" t="str">
        <f>"吴体海"</f>
        <v>吴体海</v>
      </c>
      <c r="E112" s="7" t="str">
        <f t="shared" si="3"/>
        <v>男</v>
      </c>
    </row>
    <row r="113" spans="1:5" ht="30" customHeight="1">
      <c r="A113" s="6">
        <v>111</v>
      </c>
      <c r="B113" s="7" t="str">
        <f>"277320201218101408866"</f>
        <v>277320201218101408866</v>
      </c>
      <c r="C113" s="7" t="s">
        <v>6</v>
      </c>
      <c r="D113" s="7" t="str">
        <f>"吴浩东"</f>
        <v>吴浩东</v>
      </c>
      <c r="E113" s="7" t="str">
        <f t="shared" si="3"/>
        <v>男</v>
      </c>
    </row>
    <row r="114" spans="1:5" ht="30" customHeight="1">
      <c r="A114" s="6">
        <v>112</v>
      </c>
      <c r="B114" s="7" t="str">
        <f>"277320201218105054884"</f>
        <v>277320201218105054884</v>
      </c>
      <c r="C114" s="7" t="s">
        <v>6</v>
      </c>
      <c r="D114" s="7" t="str">
        <f>"黎俊希"</f>
        <v>黎俊希</v>
      </c>
      <c r="E114" s="7" t="str">
        <f>"女"</f>
        <v>女</v>
      </c>
    </row>
    <row r="115" spans="1:5" ht="30" customHeight="1">
      <c r="A115" s="6">
        <v>113</v>
      </c>
      <c r="B115" s="7" t="str">
        <f>"277320201218105632889"</f>
        <v>277320201218105632889</v>
      </c>
      <c r="C115" s="7" t="s">
        <v>6</v>
      </c>
      <c r="D115" s="7" t="str">
        <f>"符红茹"</f>
        <v>符红茹</v>
      </c>
      <c r="E115" s="7" t="str">
        <f>"女"</f>
        <v>女</v>
      </c>
    </row>
    <row r="116" spans="1:5" ht="30" customHeight="1">
      <c r="A116" s="6">
        <v>114</v>
      </c>
      <c r="B116" s="7" t="str">
        <f>"277320201218110413894"</f>
        <v>277320201218110413894</v>
      </c>
      <c r="C116" s="7" t="s">
        <v>6</v>
      </c>
      <c r="D116" s="7" t="str">
        <f>"李源"</f>
        <v>李源</v>
      </c>
      <c r="E116" s="7" t="str">
        <f>"女"</f>
        <v>女</v>
      </c>
    </row>
    <row r="117" spans="1:5" ht="30" customHeight="1">
      <c r="A117" s="6">
        <v>115</v>
      </c>
      <c r="B117" s="7" t="str">
        <f>"277320201218110502895"</f>
        <v>277320201218110502895</v>
      </c>
      <c r="C117" s="7" t="s">
        <v>6</v>
      </c>
      <c r="D117" s="7" t="str">
        <f>"钟世琴"</f>
        <v>钟世琴</v>
      </c>
      <c r="E117" s="7" t="str">
        <f>"女"</f>
        <v>女</v>
      </c>
    </row>
    <row r="118" spans="1:5" ht="30" customHeight="1">
      <c r="A118" s="6">
        <v>116</v>
      </c>
      <c r="B118" s="7" t="str">
        <f>"277320201218110929899"</f>
        <v>277320201218110929899</v>
      </c>
      <c r="C118" s="7" t="s">
        <v>6</v>
      </c>
      <c r="D118" s="7" t="str">
        <f>"黄康情"</f>
        <v>黄康情</v>
      </c>
      <c r="E118" s="7" t="str">
        <f>"女"</f>
        <v>女</v>
      </c>
    </row>
    <row r="119" spans="1:5" ht="30" customHeight="1">
      <c r="A119" s="6">
        <v>117</v>
      </c>
      <c r="B119" s="7" t="str">
        <f>"277320201218114519910"</f>
        <v>277320201218114519910</v>
      </c>
      <c r="C119" s="7" t="s">
        <v>6</v>
      </c>
      <c r="D119" s="7" t="str">
        <f>"王树奇"</f>
        <v>王树奇</v>
      </c>
      <c r="E119" s="7" t="str">
        <f>"男"</f>
        <v>男</v>
      </c>
    </row>
    <row r="120" spans="1:5" ht="30" customHeight="1">
      <c r="A120" s="6">
        <v>118</v>
      </c>
      <c r="B120" s="7" t="str">
        <f>"277320201218121852922"</f>
        <v>277320201218121852922</v>
      </c>
      <c r="C120" s="7" t="s">
        <v>6</v>
      </c>
      <c r="D120" s="7" t="str">
        <f>"陈小慧"</f>
        <v>陈小慧</v>
      </c>
      <c r="E120" s="7" t="str">
        <f>"女"</f>
        <v>女</v>
      </c>
    </row>
    <row r="121" spans="1:5" ht="30" customHeight="1">
      <c r="A121" s="6">
        <v>119</v>
      </c>
      <c r="B121" s="7" t="str">
        <f>"277320201218125820931"</f>
        <v>277320201218125820931</v>
      </c>
      <c r="C121" s="7" t="s">
        <v>6</v>
      </c>
      <c r="D121" s="7" t="str">
        <f>"陈宇"</f>
        <v>陈宇</v>
      </c>
      <c r="E121" s="7" t="str">
        <f>"男"</f>
        <v>男</v>
      </c>
    </row>
    <row r="122" spans="1:5" ht="30" customHeight="1">
      <c r="A122" s="6">
        <v>120</v>
      </c>
      <c r="B122" s="7" t="str">
        <f>"277320201218145853969"</f>
        <v>277320201218145853969</v>
      </c>
      <c r="C122" s="7" t="s">
        <v>6</v>
      </c>
      <c r="D122" s="7" t="str">
        <f>"吴艳皎"</f>
        <v>吴艳皎</v>
      </c>
      <c r="E122" s="7" t="str">
        <f>"女"</f>
        <v>女</v>
      </c>
    </row>
    <row r="123" spans="1:5" ht="30" customHeight="1">
      <c r="A123" s="6">
        <v>121</v>
      </c>
      <c r="B123" s="7" t="str">
        <f>"277320201218152009978"</f>
        <v>277320201218152009978</v>
      </c>
      <c r="C123" s="7" t="s">
        <v>6</v>
      </c>
      <c r="D123" s="7" t="str">
        <f>"梁英花"</f>
        <v>梁英花</v>
      </c>
      <c r="E123" s="7" t="str">
        <f>"女"</f>
        <v>女</v>
      </c>
    </row>
    <row r="124" spans="1:5" ht="30" customHeight="1">
      <c r="A124" s="6">
        <v>122</v>
      </c>
      <c r="B124" s="7" t="str">
        <f>"2773202012181612371004"</f>
        <v>2773202012181612371004</v>
      </c>
      <c r="C124" s="7" t="s">
        <v>6</v>
      </c>
      <c r="D124" s="7" t="str">
        <f>"莫绪钟"</f>
        <v>莫绪钟</v>
      </c>
      <c r="E124" s="7" t="str">
        <f>"男"</f>
        <v>男</v>
      </c>
    </row>
    <row r="125" spans="1:5" ht="30" customHeight="1">
      <c r="A125" s="6">
        <v>123</v>
      </c>
      <c r="B125" s="7" t="str">
        <f>"2773202012181615231007"</f>
        <v>2773202012181615231007</v>
      </c>
      <c r="C125" s="7" t="s">
        <v>6</v>
      </c>
      <c r="D125" s="7" t="str">
        <f>"曾婷娜"</f>
        <v>曾婷娜</v>
      </c>
      <c r="E125" s="7" t="str">
        <f>"女"</f>
        <v>女</v>
      </c>
    </row>
    <row r="126" spans="1:5" ht="30" customHeight="1">
      <c r="A126" s="6">
        <v>124</v>
      </c>
      <c r="B126" s="7" t="str">
        <f>"2773202012181713541038"</f>
        <v>2773202012181713541038</v>
      </c>
      <c r="C126" s="7" t="s">
        <v>6</v>
      </c>
      <c r="D126" s="7" t="str">
        <f>"何巧思"</f>
        <v>何巧思</v>
      </c>
      <c r="E126" s="7" t="str">
        <f>"女"</f>
        <v>女</v>
      </c>
    </row>
    <row r="127" spans="1:5" ht="30" customHeight="1">
      <c r="A127" s="6">
        <v>125</v>
      </c>
      <c r="B127" s="7" t="str">
        <f>"2773202012181730381045"</f>
        <v>2773202012181730381045</v>
      </c>
      <c r="C127" s="7" t="s">
        <v>6</v>
      </c>
      <c r="D127" s="7" t="str">
        <f>"吴泽权"</f>
        <v>吴泽权</v>
      </c>
      <c r="E127" s="7" t="str">
        <f>"男"</f>
        <v>男</v>
      </c>
    </row>
    <row r="128" spans="1:5" ht="30" customHeight="1">
      <c r="A128" s="6">
        <v>126</v>
      </c>
      <c r="B128" s="7" t="str">
        <f>"2773202012181737161047"</f>
        <v>2773202012181737161047</v>
      </c>
      <c r="C128" s="7" t="s">
        <v>6</v>
      </c>
      <c r="D128" s="7" t="str">
        <f>"陈芳洁"</f>
        <v>陈芳洁</v>
      </c>
      <c r="E128" s="7" t="str">
        <f>"女"</f>
        <v>女</v>
      </c>
    </row>
    <row r="129" spans="1:5" ht="30" customHeight="1">
      <c r="A129" s="6">
        <v>127</v>
      </c>
      <c r="B129" s="7" t="str">
        <f>"2773202012181832471058"</f>
        <v>2773202012181832471058</v>
      </c>
      <c r="C129" s="7" t="s">
        <v>6</v>
      </c>
      <c r="D129" s="7" t="str">
        <f>"邢浩"</f>
        <v>邢浩</v>
      </c>
      <c r="E129" s="7" t="str">
        <f>"男"</f>
        <v>男</v>
      </c>
    </row>
    <row r="130" spans="1:5" ht="30" customHeight="1">
      <c r="A130" s="6">
        <v>128</v>
      </c>
      <c r="B130" s="7" t="str">
        <f>"2773202012181843551063"</f>
        <v>2773202012181843551063</v>
      </c>
      <c r="C130" s="7" t="s">
        <v>6</v>
      </c>
      <c r="D130" s="7" t="str">
        <f>"王爱霞"</f>
        <v>王爱霞</v>
      </c>
      <c r="E130" s="7" t="str">
        <f>"女"</f>
        <v>女</v>
      </c>
    </row>
    <row r="131" spans="1:5" ht="30" customHeight="1">
      <c r="A131" s="6">
        <v>129</v>
      </c>
      <c r="B131" s="7" t="str">
        <f>"2773202012181849341064"</f>
        <v>2773202012181849341064</v>
      </c>
      <c r="C131" s="7" t="s">
        <v>6</v>
      </c>
      <c r="D131" s="7" t="str">
        <f>"符丽丹"</f>
        <v>符丽丹</v>
      </c>
      <c r="E131" s="7" t="str">
        <f>"女"</f>
        <v>女</v>
      </c>
    </row>
    <row r="132" spans="1:5" ht="30" customHeight="1">
      <c r="A132" s="6">
        <v>130</v>
      </c>
      <c r="B132" s="7" t="str">
        <f>"2773202012181920081069"</f>
        <v>2773202012181920081069</v>
      </c>
      <c r="C132" s="7" t="s">
        <v>6</v>
      </c>
      <c r="D132" s="7" t="str">
        <f>"吴小托"</f>
        <v>吴小托</v>
      </c>
      <c r="E132" s="7" t="str">
        <f>"女"</f>
        <v>女</v>
      </c>
    </row>
    <row r="133" spans="1:5" ht="30" customHeight="1">
      <c r="A133" s="6">
        <v>131</v>
      </c>
      <c r="B133" s="7" t="str">
        <f>"2773202012181921521071"</f>
        <v>2773202012181921521071</v>
      </c>
      <c r="C133" s="7" t="s">
        <v>6</v>
      </c>
      <c r="D133" s="7" t="str">
        <f>"黎隆茂"</f>
        <v>黎隆茂</v>
      </c>
      <c r="E133" s="7" t="str">
        <f>"男"</f>
        <v>男</v>
      </c>
    </row>
    <row r="134" spans="1:5" ht="30" customHeight="1">
      <c r="A134" s="6">
        <v>132</v>
      </c>
      <c r="B134" s="7" t="str">
        <f>"2773202012181925351072"</f>
        <v>2773202012181925351072</v>
      </c>
      <c r="C134" s="7" t="s">
        <v>6</v>
      </c>
      <c r="D134" s="7" t="str">
        <f>"黄小阳"</f>
        <v>黄小阳</v>
      </c>
      <c r="E134" s="7" t="str">
        <f>"女"</f>
        <v>女</v>
      </c>
    </row>
    <row r="135" spans="1:5" ht="30" customHeight="1">
      <c r="A135" s="6">
        <v>133</v>
      </c>
      <c r="B135" s="7" t="str">
        <f>"2773202012181933391074"</f>
        <v>2773202012181933391074</v>
      </c>
      <c r="C135" s="7" t="s">
        <v>6</v>
      </c>
      <c r="D135" s="7" t="str">
        <f>"符龙剑"</f>
        <v>符龙剑</v>
      </c>
      <c r="E135" s="7" t="str">
        <f>"男"</f>
        <v>男</v>
      </c>
    </row>
    <row r="136" spans="1:5" ht="30" customHeight="1">
      <c r="A136" s="6">
        <v>134</v>
      </c>
      <c r="B136" s="7" t="str">
        <f>"2773202012182008341082"</f>
        <v>2773202012182008341082</v>
      </c>
      <c r="C136" s="7" t="s">
        <v>6</v>
      </c>
      <c r="D136" s="7" t="str">
        <f>"吉秋妍"</f>
        <v>吉秋妍</v>
      </c>
      <c r="E136" s="7" t="str">
        <f>"女"</f>
        <v>女</v>
      </c>
    </row>
    <row r="137" spans="1:5" ht="30" customHeight="1">
      <c r="A137" s="6">
        <v>135</v>
      </c>
      <c r="B137" s="7" t="str">
        <f>"2773202012182013121084"</f>
        <v>2773202012182013121084</v>
      </c>
      <c r="C137" s="7" t="s">
        <v>6</v>
      </c>
      <c r="D137" s="7" t="str">
        <f>"杨武"</f>
        <v>杨武</v>
      </c>
      <c r="E137" s="7" t="str">
        <f>"男"</f>
        <v>男</v>
      </c>
    </row>
    <row r="138" spans="1:5" ht="30" customHeight="1">
      <c r="A138" s="6">
        <v>136</v>
      </c>
      <c r="B138" s="7" t="str">
        <f>"2773202012182044031092"</f>
        <v>2773202012182044031092</v>
      </c>
      <c r="C138" s="7" t="s">
        <v>6</v>
      </c>
      <c r="D138" s="7" t="str">
        <f>"黄聪天"</f>
        <v>黄聪天</v>
      </c>
      <c r="E138" s="7" t="str">
        <f>"男"</f>
        <v>男</v>
      </c>
    </row>
    <row r="139" spans="1:5" ht="30" customHeight="1">
      <c r="A139" s="6">
        <v>137</v>
      </c>
      <c r="B139" s="7" t="str">
        <f>"2773202012182120271106"</f>
        <v>2773202012182120271106</v>
      </c>
      <c r="C139" s="7" t="s">
        <v>6</v>
      </c>
      <c r="D139" s="7" t="str">
        <f>"方伟涛"</f>
        <v>方伟涛</v>
      </c>
      <c r="E139" s="7" t="str">
        <f>"男"</f>
        <v>男</v>
      </c>
    </row>
    <row r="140" spans="1:5" ht="30" customHeight="1">
      <c r="A140" s="6">
        <v>138</v>
      </c>
      <c r="B140" s="7" t="str">
        <f>"2773202012182203571115"</f>
        <v>2773202012182203571115</v>
      </c>
      <c r="C140" s="7" t="s">
        <v>6</v>
      </c>
      <c r="D140" s="7" t="str">
        <f>"李惠"</f>
        <v>李惠</v>
      </c>
      <c r="E140" s="7" t="str">
        <f>"女"</f>
        <v>女</v>
      </c>
    </row>
    <row r="141" spans="1:5" ht="30" customHeight="1">
      <c r="A141" s="6">
        <v>139</v>
      </c>
      <c r="B141" s="7" t="str">
        <f>"2773202012182223081117"</f>
        <v>2773202012182223081117</v>
      </c>
      <c r="C141" s="7" t="s">
        <v>6</v>
      </c>
      <c r="D141" s="7" t="str">
        <f>"羊晓颖"</f>
        <v>羊晓颖</v>
      </c>
      <c r="E141" s="7" t="str">
        <f>"女"</f>
        <v>女</v>
      </c>
    </row>
    <row r="142" spans="1:5" ht="30" customHeight="1">
      <c r="A142" s="6">
        <v>140</v>
      </c>
      <c r="B142" s="7" t="str">
        <f>"2773202012182241571122"</f>
        <v>2773202012182241571122</v>
      </c>
      <c r="C142" s="7" t="s">
        <v>6</v>
      </c>
      <c r="D142" s="7" t="str">
        <f>"周亚贞"</f>
        <v>周亚贞</v>
      </c>
      <c r="E142" s="7" t="str">
        <f>"女"</f>
        <v>女</v>
      </c>
    </row>
    <row r="143" spans="1:5" ht="30" customHeight="1">
      <c r="A143" s="6">
        <v>141</v>
      </c>
      <c r="B143" s="7" t="str">
        <f>"2773202012182303211124"</f>
        <v>2773202012182303211124</v>
      </c>
      <c r="C143" s="7" t="s">
        <v>6</v>
      </c>
      <c r="D143" s="7" t="str">
        <f>"黄冠宇"</f>
        <v>黄冠宇</v>
      </c>
      <c r="E143" s="7" t="str">
        <f>"男"</f>
        <v>男</v>
      </c>
    </row>
    <row r="144" spans="1:5" ht="30" customHeight="1">
      <c r="A144" s="6">
        <v>142</v>
      </c>
      <c r="B144" s="7" t="str">
        <f>"2773202012190002521131"</f>
        <v>2773202012190002521131</v>
      </c>
      <c r="C144" s="7" t="s">
        <v>6</v>
      </c>
      <c r="D144" s="7" t="str">
        <f>"曾虹"</f>
        <v>曾虹</v>
      </c>
      <c r="E144" s="7" t="str">
        <f>"女"</f>
        <v>女</v>
      </c>
    </row>
    <row r="145" spans="1:5" ht="30" customHeight="1">
      <c r="A145" s="6">
        <v>143</v>
      </c>
      <c r="B145" s="7" t="str">
        <f>"2773202012190005131132"</f>
        <v>2773202012190005131132</v>
      </c>
      <c r="C145" s="7" t="s">
        <v>6</v>
      </c>
      <c r="D145" s="7" t="str">
        <f>"王宸杰"</f>
        <v>王宸杰</v>
      </c>
      <c r="E145" s="7" t="str">
        <f>"男"</f>
        <v>男</v>
      </c>
    </row>
    <row r="146" spans="1:5" ht="30" customHeight="1">
      <c r="A146" s="6">
        <v>144</v>
      </c>
      <c r="B146" s="7" t="str">
        <f>"2773202012190007071133"</f>
        <v>2773202012190007071133</v>
      </c>
      <c r="C146" s="7" t="s">
        <v>6</v>
      </c>
      <c r="D146" s="7" t="str">
        <f>"伍显明"</f>
        <v>伍显明</v>
      </c>
      <c r="E146" s="7" t="str">
        <f>"男"</f>
        <v>男</v>
      </c>
    </row>
    <row r="147" spans="1:5" ht="30" customHeight="1">
      <c r="A147" s="6">
        <v>145</v>
      </c>
      <c r="B147" s="7" t="str">
        <f>"2773202012190039531139"</f>
        <v>2773202012190039531139</v>
      </c>
      <c r="C147" s="7" t="s">
        <v>6</v>
      </c>
      <c r="D147" s="7" t="str">
        <f>"李瑞荣"</f>
        <v>李瑞荣</v>
      </c>
      <c r="E147" s="7" t="str">
        <f>"女"</f>
        <v>女</v>
      </c>
    </row>
    <row r="148" spans="1:5" ht="30" customHeight="1">
      <c r="A148" s="6">
        <v>146</v>
      </c>
      <c r="B148" s="7" t="str">
        <f>"2773202012190826041144"</f>
        <v>2773202012190826041144</v>
      </c>
      <c r="C148" s="7" t="s">
        <v>6</v>
      </c>
      <c r="D148" s="7" t="str">
        <f>"陈媛菲"</f>
        <v>陈媛菲</v>
      </c>
      <c r="E148" s="7" t="str">
        <f>"女"</f>
        <v>女</v>
      </c>
    </row>
    <row r="149" spans="1:5" ht="30" customHeight="1">
      <c r="A149" s="6">
        <v>147</v>
      </c>
      <c r="B149" s="7" t="str">
        <f>"2773202012190947071149"</f>
        <v>2773202012190947071149</v>
      </c>
      <c r="C149" s="7" t="s">
        <v>6</v>
      </c>
      <c r="D149" s="7" t="str">
        <f>"云晓蕾"</f>
        <v>云晓蕾</v>
      </c>
      <c r="E149" s="7" t="str">
        <f>"女"</f>
        <v>女</v>
      </c>
    </row>
    <row r="150" spans="1:5" ht="30" customHeight="1">
      <c r="A150" s="6">
        <v>148</v>
      </c>
      <c r="B150" s="7" t="str">
        <f>"2773202012191139511164"</f>
        <v>2773202012191139511164</v>
      </c>
      <c r="C150" s="7" t="s">
        <v>6</v>
      </c>
      <c r="D150" s="7" t="str">
        <f>"符金珺"</f>
        <v>符金珺</v>
      </c>
      <c r="E150" s="7" t="str">
        <f>"女"</f>
        <v>女</v>
      </c>
    </row>
    <row r="151" spans="1:5" ht="30" customHeight="1">
      <c r="A151" s="6">
        <v>149</v>
      </c>
      <c r="B151" s="7" t="str">
        <f>"2773202012191359291184"</f>
        <v>2773202012191359291184</v>
      </c>
      <c r="C151" s="7" t="s">
        <v>6</v>
      </c>
      <c r="D151" s="7" t="str">
        <f>"曾蔚玲"</f>
        <v>曾蔚玲</v>
      </c>
      <c r="E151" s="7" t="str">
        <f>"女"</f>
        <v>女</v>
      </c>
    </row>
    <row r="152" spans="1:5" ht="30" customHeight="1">
      <c r="A152" s="6">
        <v>150</v>
      </c>
      <c r="B152" s="7" t="str">
        <f>"2773202012191437211189"</f>
        <v>2773202012191437211189</v>
      </c>
      <c r="C152" s="7" t="s">
        <v>6</v>
      </c>
      <c r="D152" s="7" t="str">
        <f>"张运平"</f>
        <v>张运平</v>
      </c>
      <c r="E152" s="7" t="str">
        <f>"男"</f>
        <v>男</v>
      </c>
    </row>
    <row r="153" spans="1:5" ht="30" customHeight="1">
      <c r="A153" s="6">
        <v>151</v>
      </c>
      <c r="B153" s="7" t="str">
        <f>"2773202012191523351193"</f>
        <v>2773202012191523351193</v>
      </c>
      <c r="C153" s="7" t="s">
        <v>6</v>
      </c>
      <c r="D153" s="7" t="str">
        <f>"桂为鹏"</f>
        <v>桂为鹏</v>
      </c>
      <c r="E153" s="7" t="str">
        <f>"男"</f>
        <v>男</v>
      </c>
    </row>
    <row r="154" spans="1:5" ht="30" customHeight="1">
      <c r="A154" s="6">
        <v>152</v>
      </c>
      <c r="B154" s="7" t="str">
        <f>"2773202012191546291197"</f>
        <v>2773202012191546291197</v>
      </c>
      <c r="C154" s="7" t="s">
        <v>6</v>
      </c>
      <c r="D154" s="7" t="str">
        <f>"李婧"</f>
        <v>李婧</v>
      </c>
      <c r="E154" s="7" t="str">
        <f>"女"</f>
        <v>女</v>
      </c>
    </row>
    <row r="155" spans="1:5" ht="30" customHeight="1">
      <c r="A155" s="6">
        <v>153</v>
      </c>
      <c r="B155" s="7" t="str">
        <f>"2773202012191602101201"</f>
        <v>2773202012191602101201</v>
      </c>
      <c r="C155" s="7" t="s">
        <v>6</v>
      </c>
      <c r="D155" s="7" t="str">
        <f>"黄微"</f>
        <v>黄微</v>
      </c>
      <c r="E155" s="7" t="str">
        <f>"女"</f>
        <v>女</v>
      </c>
    </row>
    <row r="156" spans="1:5" ht="30" customHeight="1">
      <c r="A156" s="6">
        <v>154</v>
      </c>
      <c r="B156" s="7" t="str">
        <f>"2773202012191640481208"</f>
        <v>2773202012191640481208</v>
      </c>
      <c r="C156" s="7" t="s">
        <v>6</v>
      </c>
      <c r="D156" s="7" t="str">
        <f>"杨滨涯"</f>
        <v>杨滨涯</v>
      </c>
      <c r="E156" s="7" t="str">
        <f>"女"</f>
        <v>女</v>
      </c>
    </row>
    <row r="157" spans="1:5" ht="30" customHeight="1">
      <c r="A157" s="6">
        <v>155</v>
      </c>
      <c r="B157" s="7" t="str">
        <f>"2773202012191644531210"</f>
        <v>2773202012191644531210</v>
      </c>
      <c r="C157" s="7" t="s">
        <v>6</v>
      </c>
      <c r="D157" s="7" t="str">
        <f>"吴娇琴"</f>
        <v>吴娇琴</v>
      </c>
      <c r="E157" s="7" t="str">
        <f>"女"</f>
        <v>女</v>
      </c>
    </row>
    <row r="158" spans="1:5" ht="30" customHeight="1">
      <c r="A158" s="6">
        <v>156</v>
      </c>
      <c r="B158" s="7" t="str">
        <f>"2773202012191718121213"</f>
        <v>2773202012191718121213</v>
      </c>
      <c r="C158" s="7" t="s">
        <v>6</v>
      </c>
      <c r="D158" s="7" t="str">
        <f>"陈代炼"</f>
        <v>陈代炼</v>
      </c>
      <c r="E158" s="7" t="str">
        <f>"女"</f>
        <v>女</v>
      </c>
    </row>
    <row r="159" spans="1:5" ht="30" customHeight="1">
      <c r="A159" s="6">
        <v>157</v>
      </c>
      <c r="B159" s="7" t="str">
        <f>"2773202012191727311215"</f>
        <v>2773202012191727311215</v>
      </c>
      <c r="C159" s="7" t="s">
        <v>6</v>
      </c>
      <c r="D159" s="7" t="str">
        <f>"郑在恒"</f>
        <v>郑在恒</v>
      </c>
      <c r="E159" s="7" t="str">
        <f>"男"</f>
        <v>男</v>
      </c>
    </row>
    <row r="160" spans="1:5" ht="30" customHeight="1">
      <c r="A160" s="6">
        <v>158</v>
      </c>
      <c r="B160" s="7" t="str">
        <f>"2773202012191741291218"</f>
        <v>2773202012191741291218</v>
      </c>
      <c r="C160" s="7" t="s">
        <v>6</v>
      </c>
      <c r="D160" s="7" t="str">
        <f>"郭美带"</f>
        <v>郭美带</v>
      </c>
      <c r="E160" s="7" t="str">
        <f>"女"</f>
        <v>女</v>
      </c>
    </row>
    <row r="161" spans="1:5" ht="30" customHeight="1">
      <c r="A161" s="6">
        <v>159</v>
      </c>
      <c r="B161" s="7" t="str">
        <f>"2773202012191748431223"</f>
        <v>2773202012191748431223</v>
      </c>
      <c r="C161" s="7" t="s">
        <v>6</v>
      </c>
      <c r="D161" s="7" t="str">
        <f>"黄威威"</f>
        <v>黄威威</v>
      </c>
      <c r="E161" s="7" t="str">
        <f>"男"</f>
        <v>男</v>
      </c>
    </row>
    <row r="162" spans="1:5" ht="30" customHeight="1">
      <c r="A162" s="6">
        <v>160</v>
      </c>
      <c r="B162" s="7" t="str">
        <f>"2773202012191933371232"</f>
        <v>2773202012191933371232</v>
      </c>
      <c r="C162" s="7" t="s">
        <v>6</v>
      </c>
      <c r="D162" s="7" t="str">
        <f>"韦子芊"</f>
        <v>韦子芊</v>
      </c>
      <c r="E162" s="7" t="str">
        <f>"女"</f>
        <v>女</v>
      </c>
    </row>
    <row r="163" spans="1:5" ht="30" customHeight="1">
      <c r="A163" s="6">
        <v>161</v>
      </c>
      <c r="B163" s="7" t="str">
        <f>"2773202012192045091249"</f>
        <v>2773202012192045091249</v>
      </c>
      <c r="C163" s="7" t="s">
        <v>6</v>
      </c>
      <c r="D163" s="7" t="str">
        <f>"符万森"</f>
        <v>符万森</v>
      </c>
      <c r="E163" s="7" t="str">
        <f>"男"</f>
        <v>男</v>
      </c>
    </row>
    <row r="164" spans="1:5" ht="30" customHeight="1">
      <c r="A164" s="6">
        <v>162</v>
      </c>
      <c r="B164" s="7" t="str">
        <f>"2773202012192101281252"</f>
        <v>2773202012192101281252</v>
      </c>
      <c r="C164" s="7" t="s">
        <v>6</v>
      </c>
      <c r="D164" s="7" t="str">
        <f>"周颖"</f>
        <v>周颖</v>
      </c>
      <c r="E164" s="7" t="str">
        <f>"女"</f>
        <v>女</v>
      </c>
    </row>
    <row r="165" spans="1:5" ht="30" customHeight="1">
      <c r="A165" s="6">
        <v>163</v>
      </c>
      <c r="B165" s="7" t="str">
        <f>"2773202012192110181253"</f>
        <v>2773202012192110181253</v>
      </c>
      <c r="C165" s="7" t="s">
        <v>6</v>
      </c>
      <c r="D165" s="7" t="str">
        <f>"陈飞"</f>
        <v>陈飞</v>
      </c>
      <c r="E165" s="7" t="str">
        <f>"男"</f>
        <v>男</v>
      </c>
    </row>
    <row r="166" spans="1:5" ht="30" customHeight="1">
      <c r="A166" s="6">
        <v>164</v>
      </c>
      <c r="B166" s="7" t="str">
        <f>"2773202012192125331256"</f>
        <v>2773202012192125331256</v>
      </c>
      <c r="C166" s="7" t="s">
        <v>6</v>
      </c>
      <c r="D166" s="7" t="str">
        <f>"孙三凤"</f>
        <v>孙三凤</v>
      </c>
      <c r="E166" s="7" t="str">
        <f>"女"</f>
        <v>女</v>
      </c>
    </row>
    <row r="167" spans="1:5" ht="30" customHeight="1">
      <c r="A167" s="6">
        <v>165</v>
      </c>
      <c r="B167" s="7" t="str">
        <f>"2773202012192136131262"</f>
        <v>2773202012192136131262</v>
      </c>
      <c r="C167" s="7" t="s">
        <v>6</v>
      </c>
      <c r="D167" s="7" t="str">
        <f>"许玉婷"</f>
        <v>许玉婷</v>
      </c>
      <c r="E167" s="7" t="str">
        <f>"女"</f>
        <v>女</v>
      </c>
    </row>
    <row r="168" spans="1:5" ht="30" customHeight="1">
      <c r="A168" s="6">
        <v>166</v>
      </c>
      <c r="B168" s="7" t="str">
        <f>"2773202012192207081269"</f>
        <v>2773202012192207081269</v>
      </c>
      <c r="C168" s="7" t="s">
        <v>6</v>
      </c>
      <c r="D168" s="7" t="str">
        <f>"刘仲杰"</f>
        <v>刘仲杰</v>
      </c>
      <c r="E168" s="7" t="str">
        <f>"男"</f>
        <v>男</v>
      </c>
    </row>
    <row r="169" spans="1:5" ht="30" customHeight="1">
      <c r="A169" s="6">
        <v>167</v>
      </c>
      <c r="B169" s="7" t="str">
        <f>"2773202012192221411271"</f>
        <v>2773202012192221411271</v>
      </c>
      <c r="C169" s="7" t="s">
        <v>6</v>
      </c>
      <c r="D169" s="7" t="str">
        <f>"黎金丽"</f>
        <v>黎金丽</v>
      </c>
      <c r="E169" s="7" t="str">
        <f>"女"</f>
        <v>女</v>
      </c>
    </row>
    <row r="170" spans="1:5" ht="30" customHeight="1">
      <c r="A170" s="6">
        <v>168</v>
      </c>
      <c r="B170" s="7" t="str">
        <f>"2773202012192240091273"</f>
        <v>2773202012192240091273</v>
      </c>
      <c r="C170" s="7" t="s">
        <v>6</v>
      </c>
      <c r="D170" s="7" t="str">
        <f>"张磊"</f>
        <v>张磊</v>
      </c>
      <c r="E170" s="7" t="str">
        <f>"男"</f>
        <v>男</v>
      </c>
    </row>
    <row r="171" spans="1:5" ht="30" customHeight="1">
      <c r="A171" s="6">
        <v>169</v>
      </c>
      <c r="B171" s="7" t="str">
        <f>"2773202012200034141289"</f>
        <v>2773202012200034141289</v>
      </c>
      <c r="C171" s="7" t="s">
        <v>6</v>
      </c>
      <c r="D171" s="7" t="str">
        <f>"刘为智"</f>
        <v>刘为智</v>
      </c>
      <c r="E171" s="7" t="str">
        <f>"男"</f>
        <v>男</v>
      </c>
    </row>
    <row r="172" spans="1:5" ht="30" customHeight="1">
      <c r="A172" s="6">
        <v>170</v>
      </c>
      <c r="B172" s="7" t="str">
        <f>"2773202012201000551299"</f>
        <v>2773202012201000551299</v>
      </c>
      <c r="C172" s="7" t="s">
        <v>6</v>
      </c>
      <c r="D172" s="7" t="str">
        <f>"谢定环"</f>
        <v>谢定环</v>
      </c>
      <c r="E172" s="7" t="str">
        <f>"男"</f>
        <v>男</v>
      </c>
    </row>
    <row r="173" spans="1:5" ht="30" customHeight="1">
      <c r="A173" s="6">
        <v>171</v>
      </c>
      <c r="B173" s="7" t="str">
        <f>"2773202012201131581311"</f>
        <v>2773202012201131581311</v>
      </c>
      <c r="C173" s="7" t="s">
        <v>6</v>
      </c>
      <c r="D173" s="7" t="str">
        <f>"胡丹妮"</f>
        <v>胡丹妮</v>
      </c>
      <c r="E173" s="7" t="str">
        <f>"女"</f>
        <v>女</v>
      </c>
    </row>
    <row r="174" spans="1:5" ht="30" customHeight="1">
      <c r="A174" s="6">
        <v>172</v>
      </c>
      <c r="B174" s="7" t="str">
        <f>"2773202012201415041342"</f>
        <v>2773202012201415041342</v>
      </c>
      <c r="C174" s="7" t="s">
        <v>6</v>
      </c>
      <c r="D174" s="7" t="str">
        <f>"羊逸春"</f>
        <v>羊逸春</v>
      </c>
      <c r="E174" s="7" t="str">
        <f>"男"</f>
        <v>男</v>
      </c>
    </row>
    <row r="175" spans="1:5" ht="30" customHeight="1">
      <c r="A175" s="6">
        <v>173</v>
      </c>
      <c r="B175" s="7" t="str">
        <f>"2773202012201510021352"</f>
        <v>2773202012201510021352</v>
      </c>
      <c r="C175" s="7" t="s">
        <v>6</v>
      </c>
      <c r="D175" s="7" t="str">
        <f>"冯秀萍"</f>
        <v>冯秀萍</v>
      </c>
      <c r="E175" s="7" t="str">
        <f>"女"</f>
        <v>女</v>
      </c>
    </row>
    <row r="176" spans="1:5" ht="30" customHeight="1">
      <c r="A176" s="6">
        <v>174</v>
      </c>
      <c r="B176" s="7" t="str">
        <f>"2773202012201513471354"</f>
        <v>2773202012201513471354</v>
      </c>
      <c r="C176" s="7" t="s">
        <v>6</v>
      </c>
      <c r="D176" s="7" t="str">
        <f>"蔡於良"</f>
        <v>蔡於良</v>
      </c>
      <c r="E176" s="7" t="str">
        <f>"男"</f>
        <v>男</v>
      </c>
    </row>
    <row r="177" spans="1:5" ht="30" customHeight="1">
      <c r="A177" s="6">
        <v>175</v>
      </c>
      <c r="B177" s="7" t="str">
        <f>"2773202012201616231361"</f>
        <v>2773202012201616231361</v>
      </c>
      <c r="C177" s="7" t="s">
        <v>6</v>
      </c>
      <c r="D177" s="7" t="str">
        <f>"韩明辰"</f>
        <v>韩明辰</v>
      </c>
      <c r="E177" s="7" t="str">
        <f>"男"</f>
        <v>男</v>
      </c>
    </row>
    <row r="178" spans="1:5" ht="30" customHeight="1">
      <c r="A178" s="6">
        <v>176</v>
      </c>
      <c r="B178" s="7" t="str">
        <f>"2773202012201647321366"</f>
        <v>2773202012201647321366</v>
      </c>
      <c r="C178" s="7" t="s">
        <v>6</v>
      </c>
      <c r="D178" s="7" t="str">
        <f>"蒲丽霞"</f>
        <v>蒲丽霞</v>
      </c>
      <c r="E178" s="7" t="str">
        <f>"女"</f>
        <v>女</v>
      </c>
    </row>
    <row r="179" spans="1:5" ht="30" customHeight="1">
      <c r="A179" s="6">
        <v>177</v>
      </c>
      <c r="B179" s="7" t="str">
        <f>"2773202012201747021379"</f>
        <v>2773202012201747021379</v>
      </c>
      <c r="C179" s="7" t="s">
        <v>6</v>
      </c>
      <c r="D179" s="7" t="str">
        <f>"张少澎"</f>
        <v>张少澎</v>
      </c>
      <c r="E179" s="7" t="str">
        <f>"男"</f>
        <v>男</v>
      </c>
    </row>
    <row r="180" spans="1:5" ht="30" customHeight="1">
      <c r="A180" s="6">
        <v>178</v>
      </c>
      <c r="B180" s="7" t="str">
        <f>"2773202012202130431415"</f>
        <v>2773202012202130431415</v>
      </c>
      <c r="C180" s="7" t="s">
        <v>6</v>
      </c>
      <c r="D180" s="7" t="str">
        <f>"张汉丰"</f>
        <v>张汉丰</v>
      </c>
      <c r="E180" s="7" t="str">
        <f>"男"</f>
        <v>男</v>
      </c>
    </row>
    <row r="181" spans="1:5" ht="30" customHeight="1">
      <c r="A181" s="6">
        <v>179</v>
      </c>
      <c r="B181" s="7" t="str">
        <f>"2773202012202206091422"</f>
        <v>2773202012202206091422</v>
      </c>
      <c r="C181" s="7" t="s">
        <v>6</v>
      </c>
      <c r="D181" s="7" t="str">
        <f>"符玫"</f>
        <v>符玫</v>
      </c>
      <c r="E181" s="7" t="str">
        <f>"女"</f>
        <v>女</v>
      </c>
    </row>
    <row r="182" spans="1:5" ht="30" customHeight="1">
      <c r="A182" s="6">
        <v>180</v>
      </c>
      <c r="B182" s="7" t="str">
        <f>"2773202012202227461426"</f>
        <v>2773202012202227461426</v>
      </c>
      <c r="C182" s="7" t="s">
        <v>6</v>
      </c>
      <c r="D182" s="7" t="str">
        <f>"王新发"</f>
        <v>王新发</v>
      </c>
      <c r="E182" s="7" t="str">
        <f>"男"</f>
        <v>男</v>
      </c>
    </row>
    <row r="183" spans="1:5" ht="30" customHeight="1">
      <c r="A183" s="6">
        <v>181</v>
      </c>
      <c r="B183" s="7" t="str">
        <f>"2773202012202232281427"</f>
        <v>2773202012202232281427</v>
      </c>
      <c r="C183" s="7" t="s">
        <v>6</v>
      </c>
      <c r="D183" s="7" t="str">
        <f>"陈旭"</f>
        <v>陈旭</v>
      </c>
      <c r="E183" s="7" t="str">
        <f>"女"</f>
        <v>女</v>
      </c>
    </row>
    <row r="184" spans="1:5" ht="30" customHeight="1">
      <c r="A184" s="6">
        <v>182</v>
      </c>
      <c r="B184" s="7" t="str">
        <f>"2773202012202248191429"</f>
        <v>2773202012202248191429</v>
      </c>
      <c r="C184" s="7" t="s">
        <v>6</v>
      </c>
      <c r="D184" s="7" t="str">
        <f>"黄阿燕"</f>
        <v>黄阿燕</v>
      </c>
      <c r="E184" s="7" t="str">
        <f>"女"</f>
        <v>女</v>
      </c>
    </row>
    <row r="185" spans="1:5" ht="30" customHeight="1">
      <c r="A185" s="6">
        <v>183</v>
      </c>
      <c r="B185" s="7" t="str">
        <f>"2773202012210822301456"</f>
        <v>2773202012210822301456</v>
      </c>
      <c r="C185" s="7" t="s">
        <v>6</v>
      </c>
      <c r="D185" s="7" t="str">
        <f>"林小兰"</f>
        <v>林小兰</v>
      </c>
      <c r="E185" s="7" t="str">
        <f>"女"</f>
        <v>女</v>
      </c>
    </row>
    <row r="186" spans="1:5" ht="30" customHeight="1">
      <c r="A186" s="6">
        <v>184</v>
      </c>
      <c r="B186" s="7" t="str">
        <f>"2773202012210845021460"</f>
        <v>2773202012210845021460</v>
      </c>
      <c r="C186" s="7" t="s">
        <v>6</v>
      </c>
      <c r="D186" s="7" t="str">
        <f>"王发机"</f>
        <v>王发机</v>
      </c>
      <c r="E186" s="7" t="str">
        <f>"男"</f>
        <v>男</v>
      </c>
    </row>
    <row r="187" spans="1:5" ht="30" customHeight="1">
      <c r="A187" s="6">
        <v>185</v>
      </c>
      <c r="B187" s="7" t="str">
        <f>"2773202012210920481473"</f>
        <v>2773202012210920481473</v>
      </c>
      <c r="C187" s="7" t="s">
        <v>6</v>
      </c>
      <c r="D187" s="7" t="str">
        <f>"周诗琪"</f>
        <v>周诗琪</v>
      </c>
      <c r="E187" s="7" t="str">
        <f>"女"</f>
        <v>女</v>
      </c>
    </row>
    <row r="188" spans="1:5" ht="30" customHeight="1">
      <c r="A188" s="6">
        <v>186</v>
      </c>
      <c r="B188" s="7" t="str">
        <f>"2773202012210947591483"</f>
        <v>2773202012210947591483</v>
      </c>
      <c r="C188" s="7" t="s">
        <v>6</v>
      </c>
      <c r="D188" s="7" t="str">
        <f>"张继清"</f>
        <v>张继清</v>
      </c>
      <c r="E188" s="7" t="str">
        <f>"男"</f>
        <v>男</v>
      </c>
    </row>
    <row r="189" spans="1:5" ht="30" customHeight="1">
      <c r="A189" s="6">
        <v>187</v>
      </c>
      <c r="B189" s="7" t="str">
        <f>"2773202012211050141511"</f>
        <v>2773202012211050141511</v>
      </c>
      <c r="C189" s="7" t="s">
        <v>6</v>
      </c>
      <c r="D189" s="7" t="str">
        <f>"邓溢柃"</f>
        <v>邓溢柃</v>
      </c>
      <c r="E189" s="7" t="str">
        <f>"女"</f>
        <v>女</v>
      </c>
    </row>
    <row r="190" spans="1:5" ht="30" customHeight="1">
      <c r="A190" s="6">
        <v>188</v>
      </c>
      <c r="B190" s="7" t="str">
        <f>"2773202012211103361514"</f>
        <v>2773202012211103361514</v>
      </c>
      <c r="C190" s="7" t="s">
        <v>6</v>
      </c>
      <c r="D190" s="7" t="str">
        <f>"郭海娜"</f>
        <v>郭海娜</v>
      </c>
      <c r="E190" s="7" t="str">
        <f>"女"</f>
        <v>女</v>
      </c>
    </row>
    <row r="191" spans="1:5" ht="30" customHeight="1">
      <c r="A191" s="6">
        <v>189</v>
      </c>
      <c r="B191" s="7" t="str">
        <f>"2773202012211123191525"</f>
        <v>2773202012211123191525</v>
      </c>
      <c r="C191" s="7" t="s">
        <v>6</v>
      </c>
      <c r="D191" s="7" t="str">
        <f>"麦汉壁"</f>
        <v>麦汉壁</v>
      </c>
      <c r="E191" s="7" t="str">
        <f>"男"</f>
        <v>男</v>
      </c>
    </row>
    <row r="192" spans="1:5" ht="30" customHeight="1">
      <c r="A192" s="6">
        <v>190</v>
      </c>
      <c r="B192" s="7" t="str">
        <f>"2773202012211124081526"</f>
        <v>2773202012211124081526</v>
      </c>
      <c r="C192" s="7" t="s">
        <v>6</v>
      </c>
      <c r="D192" s="7" t="str">
        <f>"盘玥"</f>
        <v>盘玥</v>
      </c>
      <c r="E192" s="7" t="str">
        <f aca="true" t="shared" si="4" ref="E192:E198">"女"</f>
        <v>女</v>
      </c>
    </row>
    <row r="193" spans="1:5" ht="30" customHeight="1">
      <c r="A193" s="6">
        <v>191</v>
      </c>
      <c r="B193" s="7" t="str">
        <f>"2773202012211142201532"</f>
        <v>2773202012211142201532</v>
      </c>
      <c r="C193" s="7" t="s">
        <v>6</v>
      </c>
      <c r="D193" s="7" t="str">
        <f>"张燕慧"</f>
        <v>张燕慧</v>
      </c>
      <c r="E193" s="7" t="str">
        <f t="shared" si="4"/>
        <v>女</v>
      </c>
    </row>
    <row r="194" spans="1:5" ht="30" customHeight="1">
      <c r="A194" s="6">
        <v>192</v>
      </c>
      <c r="B194" s="7" t="str">
        <f>"2773202012211149551535"</f>
        <v>2773202012211149551535</v>
      </c>
      <c r="C194" s="7" t="s">
        <v>6</v>
      </c>
      <c r="D194" s="7" t="str">
        <f>"符克真"</f>
        <v>符克真</v>
      </c>
      <c r="E194" s="7" t="str">
        <f t="shared" si="4"/>
        <v>女</v>
      </c>
    </row>
    <row r="195" spans="1:5" ht="30" customHeight="1">
      <c r="A195" s="6">
        <v>193</v>
      </c>
      <c r="B195" s="7" t="str">
        <f>"2773202012211210531539"</f>
        <v>2773202012211210531539</v>
      </c>
      <c r="C195" s="7" t="s">
        <v>6</v>
      </c>
      <c r="D195" s="7" t="str">
        <f>"曾小仙"</f>
        <v>曾小仙</v>
      </c>
      <c r="E195" s="7" t="str">
        <f t="shared" si="4"/>
        <v>女</v>
      </c>
    </row>
    <row r="196" spans="1:5" ht="30" customHeight="1">
      <c r="A196" s="6">
        <v>194</v>
      </c>
      <c r="B196" s="7" t="str">
        <f>"2773202012211325501554"</f>
        <v>2773202012211325501554</v>
      </c>
      <c r="C196" s="7" t="s">
        <v>6</v>
      </c>
      <c r="D196" s="7" t="str">
        <f>"李香"</f>
        <v>李香</v>
      </c>
      <c r="E196" s="7" t="str">
        <f t="shared" si="4"/>
        <v>女</v>
      </c>
    </row>
    <row r="197" spans="1:5" ht="30" customHeight="1">
      <c r="A197" s="6">
        <v>195</v>
      </c>
      <c r="B197" s="7" t="str">
        <f>"2773202012211512511577"</f>
        <v>2773202012211512511577</v>
      </c>
      <c r="C197" s="7" t="s">
        <v>6</v>
      </c>
      <c r="D197" s="7" t="str">
        <f>"冯青青"</f>
        <v>冯青青</v>
      </c>
      <c r="E197" s="7" t="str">
        <f t="shared" si="4"/>
        <v>女</v>
      </c>
    </row>
    <row r="198" spans="1:5" ht="30" customHeight="1">
      <c r="A198" s="6">
        <v>196</v>
      </c>
      <c r="B198" s="7" t="str">
        <f>"2773202012211518311580"</f>
        <v>2773202012211518311580</v>
      </c>
      <c r="C198" s="7" t="s">
        <v>6</v>
      </c>
      <c r="D198" s="7" t="str">
        <f>"符蕾"</f>
        <v>符蕾</v>
      </c>
      <c r="E198" s="7" t="str">
        <f t="shared" si="4"/>
        <v>女</v>
      </c>
    </row>
    <row r="199" spans="1:5" ht="30" customHeight="1">
      <c r="A199" s="6">
        <v>197</v>
      </c>
      <c r="B199" s="7" t="str">
        <f>"2773202012211525561581"</f>
        <v>2773202012211525561581</v>
      </c>
      <c r="C199" s="7" t="s">
        <v>6</v>
      </c>
      <c r="D199" s="7" t="str">
        <f>"符绵泮"</f>
        <v>符绵泮</v>
      </c>
      <c r="E199" s="7" t="str">
        <f>"男"</f>
        <v>男</v>
      </c>
    </row>
    <row r="200" spans="1:5" ht="30" customHeight="1">
      <c r="A200" s="6">
        <v>198</v>
      </c>
      <c r="B200" s="7" t="str">
        <f>"2773202012211548151590"</f>
        <v>2773202012211548151590</v>
      </c>
      <c r="C200" s="7" t="s">
        <v>6</v>
      </c>
      <c r="D200" s="7" t="str">
        <f>"吴兴美"</f>
        <v>吴兴美</v>
      </c>
      <c r="E200" s="7" t="str">
        <f>"女"</f>
        <v>女</v>
      </c>
    </row>
    <row r="201" spans="1:5" ht="30" customHeight="1">
      <c r="A201" s="6">
        <v>199</v>
      </c>
      <c r="B201" s="7" t="str">
        <f>"2773202012211551361593"</f>
        <v>2773202012211551361593</v>
      </c>
      <c r="C201" s="7" t="s">
        <v>6</v>
      </c>
      <c r="D201" s="7" t="str">
        <f>"王伯文"</f>
        <v>王伯文</v>
      </c>
      <c r="E201" s="7" t="str">
        <f>"男"</f>
        <v>男</v>
      </c>
    </row>
    <row r="202" spans="1:5" ht="30" customHeight="1">
      <c r="A202" s="6">
        <v>200</v>
      </c>
      <c r="B202" s="7" t="str">
        <f>"2773202012211558451594"</f>
        <v>2773202012211558451594</v>
      </c>
      <c r="C202" s="7" t="s">
        <v>6</v>
      </c>
      <c r="D202" s="7" t="str">
        <f>"吴晓慧"</f>
        <v>吴晓慧</v>
      </c>
      <c r="E202" s="7" t="str">
        <f>"女"</f>
        <v>女</v>
      </c>
    </row>
    <row r="203" spans="1:5" ht="30" customHeight="1">
      <c r="A203" s="6">
        <v>201</v>
      </c>
      <c r="B203" s="7" t="str">
        <f>"2773202012211624031603"</f>
        <v>2773202012211624031603</v>
      </c>
      <c r="C203" s="7" t="s">
        <v>6</v>
      </c>
      <c r="D203" s="7" t="str">
        <f>"吴卓文"</f>
        <v>吴卓文</v>
      </c>
      <c r="E203" s="7" t="str">
        <f>"男"</f>
        <v>男</v>
      </c>
    </row>
    <row r="204" spans="1:5" ht="30" customHeight="1">
      <c r="A204" s="6">
        <v>202</v>
      </c>
      <c r="B204" s="7" t="str">
        <f>"2773202012211648551609"</f>
        <v>2773202012211648551609</v>
      </c>
      <c r="C204" s="7" t="s">
        <v>6</v>
      </c>
      <c r="D204" s="7" t="str">
        <f>"王紫韵"</f>
        <v>王紫韵</v>
      </c>
      <c r="E204" s="7" t="str">
        <f>"女"</f>
        <v>女</v>
      </c>
    </row>
    <row r="205" spans="1:5" ht="30" customHeight="1">
      <c r="A205" s="6">
        <v>203</v>
      </c>
      <c r="B205" s="7" t="str">
        <f>"2773202012211652031610"</f>
        <v>2773202012211652031610</v>
      </c>
      <c r="C205" s="7" t="s">
        <v>6</v>
      </c>
      <c r="D205" s="7" t="str">
        <f>"杨联进"</f>
        <v>杨联进</v>
      </c>
      <c r="E205" s="7" t="str">
        <f>"男"</f>
        <v>男</v>
      </c>
    </row>
    <row r="206" spans="1:5" ht="30" customHeight="1">
      <c r="A206" s="6">
        <v>204</v>
      </c>
      <c r="B206" s="7" t="str">
        <f>"2773202012211653411611"</f>
        <v>2773202012211653411611</v>
      </c>
      <c r="C206" s="7" t="s">
        <v>6</v>
      </c>
      <c r="D206" s="7" t="str">
        <f>"王石香"</f>
        <v>王石香</v>
      </c>
      <c r="E206" s="7" t="str">
        <f>"女"</f>
        <v>女</v>
      </c>
    </row>
    <row r="207" spans="1:5" ht="30" customHeight="1">
      <c r="A207" s="6">
        <v>205</v>
      </c>
      <c r="B207" s="7" t="str">
        <f>"2773202012211720461616"</f>
        <v>2773202012211720461616</v>
      </c>
      <c r="C207" s="7" t="s">
        <v>6</v>
      </c>
      <c r="D207" s="7" t="str">
        <f>"符克播"</f>
        <v>符克播</v>
      </c>
      <c r="E207" s="7" t="str">
        <f>"男"</f>
        <v>男</v>
      </c>
    </row>
    <row r="208" spans="1:5" ht="30" customHeight="1">
      <c r="A208" s="6">
        <v>206</v>
      </c>
      <c r="B208" s="7" t="str">
        <f>"2773202012211754091621"</f>
        <v>2773202012211754091621</v>
      </c>
      <c r="C208" s="7" t="s">
        <v>6</v>
      </c>
      <c r="D208" s="7" t="str">
        <f>"杨丽云"</f>
        <v>杨丽云</v>
      </c>
      <c r="E208" s="7" t="str">
        <f aca="true" t="shared" si="5" ref="E208:E213">"女"</f>
        <v>女</v>
      </c>
    </row>
    <row r="209" spans="1:5" ht="30" customHeight="1">
      <c r="A209" s="6">
        <v>207</v>
      </c>
      <c r="B209" s="7" t="str">
        <f>"2773202012211813411627"</f>
        <v>2773202012211813411627</v>
      </c>
      <c r="C209" s="7" t="s">
        <v>6</v>
      </c>
      <c r="D209" s="7" t="str">
        <f>"陈尼"</f>
        <v>陈尼</v>
      </c>
      <c r="E209" s="7" t="str">
        <f t="shared" si="5"/>
        <v>女</v>
      </c>
    </row>
    <row r="210" spans="1:5" ht="30" customHeight="1">
      <c r="A210" s="6">
        <v>208</v>
      </c>
      <c r="B210" s="7" t="str">
        <f>"2773202012211939511639"</f>
        <v>2773202012211939511639</v>
      </c>
      <c r="C210" s="7" t="s">
        <v>6</v>
      </c>
      <c r="D210" s="7" t="str">
        <f>"郭小娜"</f>
        <v>郭小娜</v>
      </c>
      <c r="E210" s="7" t="str">
        <f t="shared" si="5"/>
        <v>女</v>
      </c>
    </row>
    <row r="211" spans="1:5" ht="30" customHeight="1">
      <c r="A211" s="6">
        <v>209</v>
      </c>
      <c r="B211" s="7" t="str">
        <f>"2773202012211948491643"</f>
        <v>2773202012211948491643</v>
      </c>
      <c r="C211" s="7" t="s">
        <v>6</v>
      </c>
      <c r="D211" s="7" t="str">
        <f>"吴雨倩"</f>
        <v>吴雨倩</v>
      </c>
      <c r="E211" s="7" t="str">
        <f t="shared" si="5"/>
        <v>女</v>
      </c>
    </row>
    <row r="212" spans="1:5" ht="30" customHeight="1">
      <c r="A212" s="6">
        <v>210</v>
      </c>
      <c r="B212" s="7" t="str">
        <f>"2773202012212015221646"</f>
        <v>2773202012212015221646</v>
      </c>
      <c r="C212" s="7" t="s">
        <v>6</v>
      </c>
      <c r="D212" s="7" t="str">
        <f>"林冰花"</f>
        <v>林冰花</v>
      </c>
      <c r="E212" s="7" t="str">
        <f t="shared" si="5"/>
        <v>女</v>
      </c>
    </row>
    <row r="213" spans="1:5" ht="30" customHeight="1">
      <c r="A213" s="6">
        <v>211</v>
      </c>
      <c r="B213" s="7" t="str">
        <f>"2773202012212023311648"</f>
        <v>2773202012212023311648</v>
      </c>
      <c r="C213" s="7" t="s">
        <v>6</v>
      </c>
      <c r="D213" s="7" t="str">
        <f>"李俊桦"</f>
        <v>李俊桦</v>
      </c>
      <c r="E213" s="7" t="str">
        <f t="shared" si="5"/>
        <v>女</v>
      </c>
    </row>
    <row r="214" spans="1:5" ht="30" customHeight="1">
      <c r="A214" s="6">
        <v>212</v>
      </c>
      <c r="B214" s="7" t="str">
        <f>"2773202012212026591649"</f>
        <v>2773202012212026591649</v>
      </c>
      <c r="C214" s="7" t="s">
        <v>6</v>
      </c>
      <c r="D214" s="7" t="str">
        <f>"钟林鹏"</f>
        <v>钟林鹏</v>
      </c>
      <c r="E214" s="7" t="str">
        <f>"男"</f>
        <v>男</v>
      </c>
    </row>
    <row r="215" spans="1:5" ht="30" customHeight="1">
      <c r="A215" s="6">
        <v>213</v>
      </c>
      <c r="B215" s="7" t="str">
        <f>"2773202012212050261653"</f>
        <v>2773202012212050261653</v>
      </c>
      <c r="C215" s="7" t="s">
        <v>6</v>
      </c>
      <c r="D215" s="7" t="str">
        <f>"邓严峻"</f>
        <v>邓严峻</v>
      </c>
      <c r="E215" s="7" t="str">
        <f>"男"</f>
        <v>男</v>
      </c>
    </row>
    <row r="216" spans="1:5" ht="30" customHeight="1">
      <c r="A216" s="6">
        <v>214</v>
      </c>
      <c r="B216" s="7" t="str">
        <f>"2773202012212101581656"</f>
        <v>2773202012212101581656</v>
      </c>
      <c r="C216" s="7" t="s">
        <v>6</v>
      </c>
      <c r="D216" s="7" t="str">
        <f>"陈文博"</f>
        <v>陈文博</v>
      </c>
      <c r="E216" s="7" t="str">
        <f>"男"</f>
        <v>男</v>
      </c>
    </row>
    <row r="217" spans="1:5" ht="30" customHeight="1">
      <c r="A217" s="6">
        <v>215</v>
      </c>
      <c r="B217" s="7" t="str">
        <f>"2773202012212146341661"</f>
        <v>2773202012212146341661</v>
      </c>
      <c r="C217" s="7" t="s">
        <v>6</v>
      </c>
      <c r="D217" s="7" t="str">
        <f>"卓丽娟"</f>
        <v>卓丽娟</v>
      </c>
      <c r="E217" s="7" t="str">
        <f>"女"</f>
        <v>女</v>
      </c>
    </row>
    <row r="218" spans="1:5" ht="30" customHeight="1">
      <c r="A218" s="6">
        <v>216</v>
      </c>
      <c r="B218" s="7" t="str">
        <f>"2773202012212159181665"</f>
        <v>2773202012212159181665</v>
      </c>
      <c r="C218" s="7" t="s">
        <v>6</v>
      </c>
      <c r="D218" s="7" t="str">
        <f>"王哲培"</f>
        <v>王哲培</v>
      </c>
      <c r="E218" s="7" t="str">
        <f>"男"</f>
        <v>男</v>
      </c>
    </row>
    <row r="219" spans="1:5" ht="30" customHeight="1">
      <c r="A219" s="6">
        <v>217</v>
      </c>
      <c r="B219" s="7" t="str">
        <f>"2773202012212216201667"</f>
        <v>2773202012212216201667</v>
      </c>
      <c r="C219" s="7" t="s">
        <v>6</v>
      </c>
      <c r="D219" s="7" t="str">
        <f>"林小娜"</f>
        <v>林小娜</v>
      </c>
      <c r="E219" s="7" t="str">
        <f>"女"</f>
        <v>女</v>
      </c>
    </row>
    <row r="220" spans="1:5" ht="30" customHeight="1">
      <c r="A220" s="6">
        <v>218</v>
      </c>
      <c r="B220" s="7" t="str">
        <f>"2773202012212258071675"</f>
        <v>2773202012212258071675</v>
      </c>
      <c r="C220" s="7" t="s">
        <v>6</v>
      </c>
      <c r="D220" s="7" t="str">
        <f>"吴来馨"</f>
        <v>吴来馨</v>
      </c>
      <c r="E220" s="7" t="str">
        <f>"女"</f>
        <v>女</v>
      </c>
    </row>
    <row r="221" spans="1:5" ht="30" customHeight="1">
      <c r="A221" s="6">
        <v>219</v>
      </c>
      <c r="B221" s="7" t="str">
        <f>"2773202012220048011685"</f>
        <v>2773202012220048011685</v>
      </c>
      <c r="C221" s="7" t="s">
        <v>6</v>
      </c>
      <c r="D221" s="7" t="str">
        <f>"符才花"</f>
        <v>符才花</v>
      </c>
      <c r="E221" s="7" t="str">
        <f>"女"</f>
        <v>女</v>
      </c>
    </row>
    <row r="222" spans="1:5" ht="30" customHeight="1">
      <c r="A222" s="6">
        <v>220</v>
      </c>
      <c r="B222" s="7" t="str">
        <f>"2773202012220816011690"</f>
        <v>2773202012220816011690</v>
      </c>
      <c r="C222" s="7" t="s">
        <v>6</v>
      </c>
      <c r="D222" s="7" t="str">
        <f>"黎太华"</f>
        <v>黎太华</v>
      </c>
      <c r="E222" s="7" t="str">
        <f>"男"</f>
        <v>男</v>
      </c>
    </row>
    <row r="223" spans="1:5" ht="30" customHeight="1">
      <c r="A223" s="6">
        <v>221</v>
      </c>
      <c r="B223" s="7" t="str">
        <f>"2773202012221001551707"</f>
        <v>2773202012221001551707</v>
      </c>
      <c r="C223" s="7" t="s">
        <v>6</v>
      </c>
      <c r="D223" s="7" t="str">
        <f>"冯林"</f>
        <v>冯林</v>
      </c>
      <c r="E223" s="7" t="str">
        <f>"女"</f>
        <v>女</v>
      </c>
    </row>
    <row r="224" spans="1:5" ht="30" customHeight="1">
      <c r="A224" s="6">
        <v>222</v>
      </c>
      <c r="B224" s="7" t="str">
        <f>"2773202012221006101708"</f>
        <v>2773202012221006101708</v>
      </c>
      <c r="C224" s="7" t="s">
        <v>6</v>
      </c>
      <c r="D224" s="7" t="str">
        <f>"甘昌阳"</f>
        <v>甘昌阳</v>
      </c>
      <c r="E224" s="7" t="str">
        <f>"男"</f>
        <v>男</v>
      </c>
    </row>
    <row r="225" spans="1:5" ht="30" customHeight="1">
      <c r="A225" s="6">
        <v>223</v>
      </c>
      <c r="B225" s="7" t="str">
        <f>"2773202012221031311712"</f>
        <v>2773202012221031311712</v>
      </c>
      <c r="C225" s="7" t="s">
        <v>6</v>
      </c>
      <c r="D225" s="7" t="str">
        <f>"蒲海英"</f>
        <v>蒲海英</v>
      </c>
      <c r="E225" s="7" t="str">
        <f>"女"</f>
        <v>女</v>
      </c>
    </row>
    <row r="226" spans="1:5" ht="30" customHeight="1">
      <c r="A226" s="6">
        <v>224</v>
      </c>
      <c r="B226" s="7" t="str">
        <f>"2773202012221042251713"</f>
        <v>2773202012221042251713</v>
      </c>
      <c r="C226" s="7" t="s">
        <v>6</v>
      </c>
      <c r="D226" s="7" t="str">
        <f>"李汶桓"</f>
        <v>李汶桓</v>
      </c>
      <c r="E226" s="7" t="str">
        <f>"男"</f>
        <v>男</v>
      </c>
    </row>
    <row r="227" spans="1:5" ht="30" customHeight="1">
      <c r="A227" s="6">
        <v>225</v>
      </c>
      <c r="B227" s="7" t="str">
        <f>"2773202012221142371729"</f>
        <v>2773202012221142371729</v>
      </c>
      <c r="C227" s="7" t="s">
        <v>6</v>
      </c>
      <c r="D227" s="7" t="str">
        <f>"梁湘菲"</f>
        <v>梁湘菲</v>
      </c>
      <c r="E227" s="7" t="str">
        <f>"女"</f>
        <v>女</v>
      </c>
    </row>
    <row r="228" spans="1:5" ht="30" customHeight="1">
      <c r="A228" s="6">
        <v>226</v>
      </c>
      <c r="B228" s="7" t="str">
        <f>"2773202012221153271734"</f>
        <v>2773202012221153271734</v>
      </c>
      <c r="C228" s="7" t="s">
        <v>6</v>
      </c>
      <c r="D228" s="7" t="str">
        <f>"陈曼丽"</f>
        <v>陈曼丽</v>
      </c>
      <c r="E228" s="7" t="str">
        <f>"女"</f>
        <v>女</v>
      </c>
    </row>
    <row r="229" spans="1:5" ht="30" customHeight="1">
      <c r="A229" s="6">
        <v>227</v>
      </c>
      <c r="B229" s="7" t="str">
        <f>"2773202012221316381747"</f>
        <v>2773202012221316381747</v>
      </c>
      <c r="C229" s="7" t="s">
        <v>6</v>
      </c>
      <c r="D229" s="7" t="str">
        <f>"崔传招"</f>
        <v>崔传招</v>
      </c>
      <c r="E229" s="7" t="str">
        <f>"男"</f>
        <v>男</v>
      </c>
    </row>
    <row r="230" spans="1:5" ht="30" customHeight="1">
      <c r="A230" s="6">
        <v>228</v>
      </c>
      <c r="B230" s="7" t="str">
        <f>"2773202012221514221764"</f>
        <v>2773202012221514221764</v>
      </c>
      <c r="C230" s="7" t="s">
        <v>6</v>
      </c>
      <c r="D230" s="7" t="str">
        <f>"曾莹颖"</f>
        <v>曾莹颖</v>
      </c>
      <c r="E230" s="7" t="str">
        <f>"女"</f>
        <v>女</v>
      </c>
    </row>
    <row r="231" spans="1:5" ht="30" customHeight="1">
      <c r="A231" s="6">
        <v>229</v>
      </c>
      <c r="B231" s="7" t="str">
        <f>"2773202012221541071771"</f>
        <v>2773202012221541071771</v>
      </c>
      <c r="C231" s="7" t="s">
        <v>6</v>
      </c>
      <c r="D231" s="7" t="str">
        <f>"蔡浪"</f>
        <v>蔡浪</v>
      </c>
      <c r="E231" s="7" t="str">
        <f>"女"</f>
        <v>女</v>
      </c>
    </row>
    <row r="232" spans="1:5" ht="30" customHeight="1">
      <c r="A232" s="6">
        <v>230</v>
      </c>
      <c r="B232" s="7" t="str">
        <f>"2773202012221555191777"</f>
        <v>2773202012221555191777</v>
      </c>
      <c r="C232" s="7" t="s">
        <v>6</v>
      </c>
      <c r="D232" s="7" t="str">
        <f>"邓明生"</f>
        <v>邓明生</v>
      </c>
      <c r="E232" s="7" t="str">
        <f>"男"</f>
        <v>男</v>
      </c>
    </row>
    <row r="233" spans="1:5" ht="30" customHeight="1">
      <c r="A233" s="6">
        <v>231</v>
      </c>
      <c r="B233" s="7" t="str">
        <f>"2773202012221624441785"</f>
        <v>2773202012221624441785</v>
      </c>
      <c r="C233" s="7" t="s">
        <v>6</v>
      </c>
      <c r="D233" s="7" t="str">
        <f>"赵毓炎"</f>
        <v>赵毓炎</v>
      </c>
      <c r="E233" s="7" t="str">
        <f>"女"</f>
        <v>女</v>
      </c>
    </row>
    <row r="234" spans="1:5" ht="30" customHeight="1">
      <c r="A234" s="6">
        <v>232</v>
      </c>
      <c r="B234" s="7" t="str">
        <f>"2773202012221704591797"</f>
        <v>2773202012221704591797</v>
      </c>
      <c r="C234" s="7" t="s">
        <v>6</v>
      </c>
      <c r="D234" s="7" t="str">
        <f>"麦名慧"</f>
        <v>麦名慧</v>
      </c>
      <c r="E234" s="7" t="str">
        <f>"女"</f>
        <v>女</v>
      </c>
    </row>
    <row r="235" spans="1:5" ht="30" customHeight="1">
      <c r="A235" s="6">
        <v>233</v>
      </c>
      <c r="B235" s="7" t="str">
        <f>"2773202012221755401806"</f>
        <v>2773202012221755401806</v>
      </c>
      <c r="C235" s="7" t="s">
        <v>6</v>
      </c>
      <c r="D235" s="7" t="str">
        <f>"李果"</f>
        <v>李果</v>
      </c>
      <c r="E235" s="7" t="str">
        <f>"男"</f>
        <v>男</v>
      </c>
    </row>
    <row r="236" spans="1:5" ht="30" customHeight="1">
      <c r="A236" s="6">
        <v>234</v>
      </c>
      <c r="B236" s="7" t="str">
        <f>"2773202012221913181820"</f>
        <v>2773202012221913181820</v>
      </c>
      <c r="C236" s="7" t="s">
        <v>6</v>
      </c>
      <c r="D236" s="7" t="str">
        <f>"李帆"</f>
        <v>李帆</v>
      </c>
      <c r="E236" s="7" t="str">
        <f>"男"</f>
        <v>男</v>
      </c>
    </row>
    <row r="237" spans="1:5" ht="30" customHeight="1">
      <c r="A237" s="6">
        <v>235</v>
      </c>
      <c r="B237" s="7" t="str">
        <f>"2773202012221944031824"</f>
        <v>2773202012221944031824</v>
      </c>
      <c r="C237" s="7" t="s">
        <v>6</v>
      </c>
      <c r="D237" s="7" t="str">
        <f>"郭力菁"</f>
        <v>郭力菁</v>
      </c>
      <c r="E237" s="7" t="str">
        <f>"女"</f>
        <v>女</v>
      </c>
    </row>
    <row r="238" spans="1:5" ht="30" customHeight="1">
      <c r="A238" s="6">
        <v>236</v>
      </c>
      <c r="B238" s="7" t="str">
        <f>"2773202012222105101840"</f>
        <v>2773202012222105101840</v>
      </c>
      <c r="C238" s="7" t="s">
        <v>6</v>
      </c>
      <c r="D238" s="7" t="str">
        <f>"钟尊卓"</f>
        <v>钟尊卓</v>
      </c>
      <c r="E238" s="7" t="str">
        <f>"男"</f>
        <v>男</v>
      </c>
    </row>
    <row r="239" spans="1:5" ht="30" customHeight="1">
      <c r="A239" s="6">
        <v>237</v>
      </c>
      <c r="B239" s="7" t="str">
        <f>"2773202012222134151846"</f>
        <v>2773202012222134151846</v>
      </c>
      <c r="C239" s="7" t="s">
        <v>6</v>
      </c>
      <c r="D239" s="7" t="str">
        <f>"吴丽丽"</f>
        <v>吴丽丽</v>
      </c>
      <c r="E239" s="7" t="str">
        <f>"女"</f>
        <v>女</v>
      </c>
    </row>
    <row r="240" spans="1:5" ht="30" customHeight="1">
      <c r="A240" s="6">
        <v>238</v>
      </c>
      <c r="B240" s="7" t="str">
        <f>"2773202012222255391870"</f>
        <v>2773202012222255391870</v>
      </c>
      <c r="C240" s="7" t="s">
        <v>6</v>
      </c>
      <c r="D240" s="7" t="str">
        <f>"陈玮"</f>
        <v>陈玮</v>
      </c>
      <c r="E240" s="7" t="str">
        <f>"女"</f>
        <v>女</v>
      </c>
    </row>
    <row r="241" spans="1:5" ht="30" customHeight="1">
      <c r="A241" s="6">
        <v>239</v>
      </c>
      <c r="B241" s="7" t="str">
        <f>"2773202012222300311872"</f>
        <v>2773202012222300311872</v>
      </c>
      <c r="C241" s="7" t="s">
        <v>6</v>
      </c>
      <c r="D241" s="7" t="str">
        <f>"黎鹏"</f>
        <v>黎鹏</v>
      </c>
      <c r="E241" s="7" t="str">
        <f>"男"</f>
        <v>男</v>
      </c>
    </row>
    <row r="242" spans="1:5" ht="30" customHeight="1">
      <c r="A242" s="6">
        <v>240</v>
      </c>
      <c r="B242" s="7" t="str">
        <f>"2773202012222340501883"</f>
        <v>2773202012222340501883</v>
      </c>
      <c r="C242" s="7" t="s">
        <v>6</v>
      </c>
      <c r="D242" s="7" t="str">
        <f>"凌明斡"</f>
        <v>凌明斡</v>
      </c>
      <c r="E242" s="7" t="str">
        <f>"男"</f>
        <v>男</v>
      </c>
    </row>
    <row r="243" spans="1:5" ht="30" customHeight="1">
      <c r="A243" s="6">
        <v>241</v>
      </c>
      <c r="B243" s="7" t="str">
        <f>"2773202012230021181885"</f>
        <v>2773202012230021181885</v>
      </c>
      <c r="C243" s="7" t="s">
        <v>6</v>
      </c>
      <c r="D243" s="7" t="str">
        <f>"唐诗敏"</f>
        <v>唐诗敏</v>
      </c>
      <c r="E243" s="7" t="str">
        <f aca="true" t="shared" si="6" ref="E243:E249">"女"</f>
        <v>女</v>
      </c>
    </row>
    <row r="244" spans="1:5" ht="30" customHeight="1">
      <c r="A244" s="6">
        <v>242</v>
      </c>
      <c r="B244" s="7" t="str">
        <f>"2773202012230234431892"</f>
        <v>2773202012230234431892</v>
      </c>
      <c r="C244" s="7" t="s">
        <v>6</v>
      </c>
      <c r="D244" s="7" t="str">
        <f>"李婷"</f>
        <v>李婷</v>
      </c>
      <c r="E244" s="7" t="str">
        <f t="shared" si="6"/>
        <v>女</v>
      </c>
    </row>
    <row r="245" spans="1:5" ht="30" customHeight="1">
      <c r="A245" s="6">
        <v>243</v>
      </c>
      <c r="B245" s="7" t="str">
        <f>"2773202012230836081898"</f>
        <v>2773202012230836081898</v>
      </c>
      <c r="C245" s="7" t="s">
        <v>6</v>
      </c>
      <c r="D245" s="7" t="str">
        <f>"严霞"</f>
        <v>严霞</v>
      </c>
      <c r="E245" s="7" t="str">
        <f t="shared" si="6"/>
        <v>女</v>
      </c>
    </row>
    <row r="246" spans="1:5" ht="30" customHeight="1">
      <c r="A246" s="6">
        <v>244</v>
      </c>
      <c r="B246" s="7" t="str">
        <f>"2773202012230913131907"</f>
        <v>2773202012230913131907</v>
      </c>
      <c r="C246" s="7" t="s">
        <v>6</v>
      </c>
      <c r="D246" s="7" t="str">
        <f>"黄子芳"</f>
        <v>黄子芳</v>
      </c>
      <c r="E246" s="7" t="str">
        <f t="shared" si="6"/>
        <v>女</v>
      </c>
    </row>
    <row r="247" spans="1:5" ht="30" customHeight="1">
      <c r="A247" s="6">
        <v>245</v>
      </c>
      <c r="B247" s="7" t="str">
        <f>"2773202012230953121913"</f>
        <v>2773202012230953121913</v>
      </c>
      <c r="C247" s="7" t="s">
        <v>6</v>
      </c>
      <c r="D247" s="7" t="str">
        <f>"羊妹香"</f>
        <v>羊妹香</v>
      </c>
      <c r="E247" s="7" t="str">
        <f t="shared" si="6"/>
        <v>女</v>
      </c>
    </row>
    <row r="248" spans="1:5" ht="30" customHeight="1">
      <c r="A248" s="6">
        <v>246</v>
      </c>
      <c r="B248" s="7" t="str">
        <f>"2773202012231023401915"</f>
        <v>2773202012231023401915</v>
      </c>
      <c r="C248" s="7" t="s">
        <v>6</v>
      </c>
      <c r="D248" s="7" t="str">
        <f>"王传为"</f>
        <v>王传为</v>
      </c>
      <c r="E248" s="7" t="str">
        <f t="shared" si="6"/>
        <v>女</v>
      </c>
    </row>
    <row r="249" spans="1:5" ht="30" customHeight="1">
      <c r="A249" s="6">
        <v>247</v>
      </c>
      <c r="B249" s="7" t="str">
        <f>"2773202012231051111921"</f>
        <v>2773202012231051111921</v>
      </c>
      <c r="C249" s="7" t="s">
        <v>6</v>
      </c>
      <c r="D249" s="7" t="str">
        <f>"邢馨之"</f>
        <v>邢馨之</v>
      </c>
      <c r="E249" s="7" t="str">
        <f t="shared" si="6"/>
        <v>女</v>
      </c>
    </row>
    <row r="250" spans="1:5" ht="30" customHeight="1">
      <c r="A250" s="6">
        <v>248</v>
      </c>
      <c r="B250" s="7" t="str">
        <f>"2773202012231125041927"</f>
        <v>2773202012231125041927</v>
      </c>
      <c r="C250" s="7" t="s">
        <v>6</v>
      </c>
      <c r="D250" s="7" t="str">
        <f>"陈柏丞"</f>
        <v>陈柏丞</v>
      </c>
      <c r="E250" s="7" t="str">
        <f>"男"</f>
        <v>男</v>
      </c>
    </row>
    <row r="251" spans="1:5" ht="30" customHeight="1">
      <c r="A251" s="6">
        <v>249</v>
      </c>
      <c r="B251" s="7" t="str">
        <f>"2773202012231218291937"</f>
        <v>2773202012231218291937</v>
      </c>
      <c r="C251" s="7" t="s">
        <v>6</v>
      </c>
      <c r="D251" s="7" t="str">
        <f>"谭学晶"</f>
        <v>谭学晶</v>
      </c>
      <c r="E251" s="7" t="str">
        <f>"女"</f>
        <v>女</v>
      </c>
    </row>
    <row r="252" spans="1:5" ht="30" customHeight="1">
      <c r="A252" s="6">
        <v>250</v>
      </c>
      <c r="B252" s="7" t="str">
        <f>"2773202012231441591956"</f>
        <v>2773202012231441591956</v>
      </c>
      <c r="C252" s="7" t="s">
        <v>6</v>
      </c>
      <c r="D252" s="7" t="str">
        <f>"吴立国"</f>
        <v>吴立国</v>
      </c>
      <c r="E252" s="7" t="str">
        <f>"男"</f>
        <v>男</v>
      </c>
    </row>
    <row r="253" spans="1:5" ht="30" customHeight="1">
      <c r="A253" s="6">
        <v>251</v>
      </c>
      <c r="B253" s="7" t="str">
        <f>"2773202012231501101961"</f>
        <v>2773202012231501101961</v>
      </c>
      <c r="C253" s="7" t="s">
        <v>6</v>
      </c>
      <c r="D253" s="7" t="str">
        <f>"栾芮"</f>
        <v>栾芮</v>
      </c>
      <c r="E253" s="7" t="str">
        <f>"男"</f>
        <v>男</v>
      </c>
    </row>
    <row r="254" spans="1:5" ht="30" customHeight="1">
      <c r="A254" s="6">
        <v>252</v>
      </c>
      <c r="B254" s="7" t="str">
        <f>"2773202012231534551972"</f>
        <v>2773202012231534551972</v>
      </c>
      <c r="C254" s="7" t="s">
        <v>6</v>
      </c>
      <c r="D254" s="7" t="str">
        <f>"温冬雁"</f>
        <v>温冬雁</v>
      </c>
      <c r="E254" s="7" t="str">
        <f>"女"</f>
        <v>女</v>
      </c>
    </row>
    <row r="255" spans="1:5" ht="30" customHeight="1">
      <c r="A255" s="6">
        <v>253</v>
      </c>
      <c r="B255" s="6" t="str">
        <f>"277320201218101026863"</f>
        <v>277320201218101026863</v>
      </c>
      <c r="C255" s="6" t="s">
        <v>6</v>
      </c>
      <c r="D255" s="6" t="str">
        <f>"邢玉婷"</f>
        <v>邢玉婷</v>
      </c>
      <c r="E255" s="6" t="str">
        <f>"女"</f>
        <v>女</v>
      </c>
    </row>
    <row r="256" spans="1:5" ht="30" customHeight="1">
      <c r="A256" s="6">
        <v>254</v>
      </c>
      <c r="B256" s="7" t="str">
        <f>"27732020121709094338"</f>
        <v>27732020121709094338</v>
      </c>
      <c r="C256" s="7" t="s">
        <v>7</v>
      </c>
      <c r="D256" s="7" t="str">
        <f>"符永佳"</f>
        <v>符永佳</v>
      </c>
      <c r="E256" s="7" t="str">
        <f aca="true" t="shared" si="7" ref="E256:E262">"女"</f>
        <v>女</v>
      </c>
    </row>
    <row r="257" spans="1:5" ht="30" customHeight="1">
      <c r="A257" s="6">
        <v>255</v>
      </c>
      <c r="B257" s="7" t="str">
        <f>"27732020121709152754"</f>
        <v>27732020121709152754</v>
      </c>
      <c r="C257" s="7" t="s">
        <v>7</v>
      </c>
      <c r="D257" s="7" t="str">
        <f>"谢杏楼"</f>
        <v>谢杏楼</v>
      </c>
      <c r="E257" s="7" t="str">
        <f t="shared" si="7"/>
        <v>女</v>
      </c>
    </row>
    <row r="258" spans="1:5" ht="30" customHeight="1">
      <c r="A258" s="6">
        <v>256</v>
      </c>
      <c r="B258" s="7" t="str">
        <f>"277320201217093621100"</f>
        <v>277320201217093621100</v>
      </c>
      <c r="C258" s="7" t="s">
        <v>7</v>
      </c>
      <c r="D258" s="7" t="str">
        <f>"陈薇夷"</f>
        <v>陈薇夷</v>
      </c>
      <c r="E258" s="7" t="str">
        <f t="shared" si="7"/>
        <v>女</v>
      </c>
    </row>
    <row r="259" spans="1:5" ht="30" customHeight="1">
      <c r="A259" s="6">
        <v>257</v>
      </c>
      <c r="B259" s="7" t="str">
        <f>"277320201217095450144"</f>
        <v>277320201217095450144</v>
      </c>
      <c r="C259" s="7" t="s">
        <v>7</v>
      </c>
      <c r="D259" s="7" t="str">
        <f>"高文霞"</f>
        <v>高文霞</v>
      </c>
      <c r="E259" s="7" t="str">
        <f t="shared" si="7"/>
        <v>女</v>
      </c>
    </row>
    <row r="260" spans="1:5" ht="30" customHeight="1">
      <c r="A260" s="6">
        <v>258</v>
      </c>
      <c r="B260" s="7" t="str">
        <f>"277320201217100450163"</f>
        <v>277320201217100450163</v>
      </c>
      <c r="C260" s="7" t="s">
        <v>7</v>
      </c>
      <c r="D260" s="7" t="str">
        <f>"薛秋梅"</f>
        <v>薛秋梅</v>
      </c>
      <c r="E260" s="7" t="str">
        <f t="shared" si="7"/>
        <v>女</v>
      </c>
    </row>
    <row r="261" spans="1:5" ht="30" customHeight="1">
      <c r="A261" s="6">
        <v>259</v>
      </c>
      <c r="B261" s="7" t="str">
        <f>"277320201217100805168"</f>
        <v>277320201217100805168</v>
      </c>
      <c r="C261" s="7" t="s">
        <v>7</v>
      </c>
      <c r="D261" s="7" t="str">
        <f>"吴儒菊"</f>
        <v>吴儒菊</v>
      </c>
      <c r="E261" s="7" t="str">
        <f t="shared" si="7"/>
        <v>女</v>
      </c>
    </row>
    <row r="262" spans="1:5" ht="30" customHeight="1">
      <c r="A262" s="6">
        <v>260</v>
      </c>
      <c r="B262" s="7" t="str">
        <f>"277320201217110048284"</f>
        <v>277320201217110048284</v>
      </c>
      <c r="C262" s="7" t="s">
        <v>7</v>
      </c>
      <c r="D262" s="7" t="str">
        <f>"符佳慧"</f>
        <v>符佳慧</v>
      </c>
      <c r="E262" s="7" t="str">
        <f t="shared" si="7"/>
        <v>女</v>
      </c>
    </row>
    <row r="263" spans="1:5" ht="30" customHeight="1">
      <c r="A263" s="6">
        <v>261</v>
      </c>
      <c r="B263" s="7" t="str">
        <f>"277320201217110107285"</f>
        <v>277320201217110107285</v>
      </c>
      <c r="C263" s="7" t="s">
        <v>7</v>
      </c>
      <c r="D263" s="7" t="str">
        <f>"梁雷雨"</f>
        <v>梁雷雨</v>
      </c>
      <c r="E263" s="7" t="str">
        <f>"男"</f>
        <v>男</v>
      </c>
    </row>
    <row r="264" spans="1:5" ht="30" customHeight="1">
      <c r="A264" s="6">
        <v>262</v>
      </c>
      <c r="B264" s="7" t="str">
        <f>"277320201217113956326"</f>
        <v>277320201217113956326</v>
      </c>
      <c r="C264" s="7" t="s">
        <v>7</v>
      </c>
      <c r="D264" s="7" t="str">
        <f>" 吴彩惠"</f>
        <v> 吴彩惠</v>
      </c>
      <c r="E264" s="7" t="str">
        <f>"女"</f>
        <v>女</v>
      </c>
    </row>
    <row r="265" spans="1:5" ht="30" customHeight="1">
      <c r="A265" s="6">
        <v>263</v>
      </c>
      <c r="B265" s="7" t="str">
        <f>"277320201217115137341"</f>
        <v>277320201217115137341</v>
      </c>
      <c r="C265" s="7" t="s">
        <v>7</v>
      </c>
      <c r="D265" s="7" t="str">
        <f>"符美美"</f>
        <v>符美美</v>
      </c>
      <c r="E265" s="7" t="str">
        <f>"女"</f>
        <v>女</v>
      </c>
    </row>
    <row r="266" spans="1:5" ht="30" customHeight="1">
      <c r="A266" s="6">
        <v>264</v>
      </c>
      <c r="B266" s="7" t="str">
        <f>"277320201217115510345"</f>
        <v>277320201217115510345</v>
      </c>
      <c r="C266" s="7" t="s">
        <v>7</v>
      </c>
      <c r="D266" s="7" t="str">
        <f>"林圣智"</f>
        <v>林圣智</v>
      </c>
      <c r="E266" s="7" t="str">
        <f>"男"</f>
        <v>男</v>
      </c>
    </row>
    <row r="267" spans="1:5" ht="30" customHeight="1">
      <c r="A267" s="6">
        <v>265</v>
      </c>
      <c r="B267" s="7" t="str">
        <f>"277320201217121356368"</f>
        <v>277320201217121356368</v>
      </c>
      <c r="C267" s="7" t="s">
        <v>7</v>
      </c>
      <c r="D267" s="7" t="str">
        <f>"洪光林"</f>
        <v>洪光林</v>
      </c>
      <c r="E267" s="7" t="str">
        <f>"男"</f>
        <v>男</v>
      </c>
    </row>
    <row r="268" spans="1:5" ht="30" customHeight="1">
      <c r="A268" s="6">
        <v>266</v>
      </c>
      <c r="B268" s="7" t="str">
        <f>"277320201217122959382"</f>
        <v>277320201217122959382</v>
      </c>
      <c r="C268" s="7" t="s">
        <v>7</v>
      </c>
      <c r="D268" s="7" t="str">
        <f>"周潇宇"</f>
        <v>周潇宇</v>
      </c>
      <c r="E268" s="7" t="str">
        <f>"男"</f>
        <v>男</v>
      </c>
    </row>
    <row r="269" spans="1:5" ht="30" customHeight="1">
      <c r="A269" s="6">
        <v>267</v>
      </c>
      <c r="B269" s="7" t="str">
        <f>"277320201217123224385"</f>
        <v>277320201217123224385</v>
      </c>
      <c r="C269" s="7" t="s">
        <v>7</v>
      </c>
      <c r="D269" s="7" t="str">
        <f>"李汝健"</f>
        <v>李汝健</v>
      </c>
      <c r="E269" s="7" t="str">
        <f>"男"</f>
        <v>男</v>
      </c>
    </row>
    <row r="270" spans="1:5" ht="30" customHeight="1">
      <c r="A270" s="6">
        <v>268</v>
      </c>
      <c r="B270" s="7" t="str">
        <f>"277320201217130323410"</f>
        <v>277320201217130323410</v>
      </c>
      <c r="C270" s="7" t="s">
        <v>7</v>
      </c>
      <c r="D270" s="7" t="str">
        <f>"陈福榕"</f>
        <v>陈福榕</v>
      </c>
      <c r="E270" s="7" t="str">
        <f>"男"</f>
        <v>男</v>
      </c>
    </row>
    <row r="271" spans="1:5" ht="30" customHeight="1">
      <c r="A271" s="6">
        <v>269</v>
      </c>
      <c r="B271" s="7" t="str">
        <f>"277320201217130714414"</f>
        <v>277320201217130714414</v>
      </c>
      <c r="C271" s="7" t="s">
        <v>7</v>
      </c>
      <c r="D271" s="7" t="str">
        <f>"羊仙爱"</f>
        <v>羊仙爱</v>
      </c>
      <c r="E271" s="7" t="str">
        <f>"女"</f>
        <v>女</v>
      </c>
    </row>
    <row r="272" spans="1:5" ht="30" customHeight="1">
      <c r="A272" s="6">
        <v>270</v>
      </c>
      <c r="B272" s="7" t="str">
        <f>"277320201217141723443"</f>
        <v>277320201217141723443</v>
      </c>
      <c r="C272" s="7" t="s">
        <v>7</v>
      </c>
      <c r="D272" s="7" t="str">
        <f>"廖小咪"</f>
        <v>廖小咪</v>
      </c>
      <c r="E272" s="7" t="str">
        <f>"女"</f>
        <v>女</v>
      </c>
    </row>
    <row r="273" spans="1:5" ht="30" customHeight="1">
      <c r="A273" s="6">
        <v>271</v>
      </c>
      <c r="B273" s="7" t="str">
        <f>"277320201217143408451"</f>
        <v>277320201217143408451</v>
      </c>
      <c r="C273" s="7" t="s">
        <v>7</v>
      </c>
      <c r="D273" s="7" t="str">
        <f>"李正涛"</f>
        <v>李正涛</v>
      </c>
      <c r="E273" s="7" t="str">
        <f>"男"</f>
        <v>男</v>
      </c>
    </row>
    <row r="274" spans="1:5" ht="30" customHeight="1">
      <c r="A274" s="6">
        <v>272</v>
      </c>
      <c r="B274" s="7" t="str">
        <f>"277320201217143701452"</f>
        <v>277320201217143701452</v>
      </c>
      <c r="C274" s="7" t="s">
        <v>7</v>
      </c>
      <c r="D274" s="7" t="str">
        <f>"陈甜甜"</f>
        <v>陈甜甜</v>
      </c>
      <c r="E274" s="7" t="str">
        <f aca="true" t="shared" si="8" ref="E274:E281">"女"</f>
        <v>女</v>
      </c>
    </row>
    <row r="275" spans="1:5" ht="30" customHeight="1">
      <c r="A275" s="6">
        <v>273</v>
      </c>
      <c r="B275" s="7" t="str">
        <f>"277320201217153638504"</f>
        <v>277320201217153638504</v>
      </c>
      <c r="C275" s="7" t="s">
        <v>7</v>
      </c>
      <c r="D275" s="7" t="str">
        <f>"卢桐"</f>
        <v>卢桐</v>
      </c>
      <c r="E275" s="7" t="str">
        <f t="shared" si="8"/>
        <v>女</v>
      </c>
    </row>
    <row r="276" spans="1:5" ht="30" customHeight="1">
      <c r="A276" s="6">
        <v>274</v>
      </c>
      <c r="B276" s="7" t="str">
        <f>"277320201217154337514"</f>
        <v>277320201217154337514</v>
      </c>
      <c r="C276" s="7" t="s">
        <v>7</v>
      </c>
      <c r="D276" s="7" t="str">
        <f>"林金花"</f>
        <v>林金花</v>
      </c>
      <c r="E276" s="7" t="str">
        <f t="shared" si="8"/>
        <v>女</v>
      </c>
    </row>
    <row r="277" spans="1:5" ht="30" customHeight="1">
      <c r="A277" s="6">
        <v>275</v>
      </c>
      <c r="B277" s="7" t="str">
        <f>"277320201217155503522"</f>
        <v>277320201217155503522</v>
      </c>
      <c r="C277" s="7" t="s">
        <v>7</v>
      </c>
      <c r="D277" s="7" t="str">
        <f>"陈雯"</f>
        <v>陈雯</v>
      </c>
      <c r="E277" s="7" t="str">
        <f t="shared" si="8"/>
        <v>女</v>
      </c>
    </row>
    <row r="278" spans="1:5" ht="30" customHeight="1">
      <c r="A278" s="6">
        <v>276</v>
      </c>
      <c r="B278" s="7" t="str">
        <f>"277320201217161328546"</f>
        <v>277320201217161328546</v>
      </c>
      <c r="C278" s="7" t="s">
        <v>7</v>
      </c>
      <c r="D278" s="7" t="str">
        <f>"邱文青"</f>
        <v>邱文青</v>
      </c>
      <c r="E278" s="7" t="str">
        <f t="shared" si="8"/>
        <v>女</v>
      </c>
    </row>
    <row r="279" spans="1:5" ht="30" customHeight="1">
      <c r="A279" s="6">
        <v>277</v>
      </c>
      <c r="B279" s="7" t="str">
        <f>"277320201217163648561"</f>
        <v>277320201217163648561</v>
      </c>
      <c r="C279" s="7" t="s">
        <v>7</v>
      </c>
      <c r="D279" s="7" t="str">
        <f>"张著桢"</f>
        <v>张著桢</v>
      </c>
      <c r="E279" s="7" t="str">
        <f t="shared" si="8"/>
        <v>女</v>
      </c>
    </row>
    <row r="280" spans="1:5" ht="30" customHeight="1">
      <c r="A280" s="6">
        <v>278</v>
      </c>
      <c r="B280" s="7" t="str">
        <f>"277320201217174431602"</f>
        <v>277320201217174431602</v>
      </c>
      <c r="C280" s="7" t="s">
        <v>7</v>
      </c>
      <c r="D280" s="7" t="str">
        <f>"徐恒"</f>
        <v>徐恒</v>
      </c>
      <c r="E280" s="7" t="str">
        <f t="shared" si="8"/>
        <v>女</v>
      </c>
    </row>
    <row r="281" spans="1:5" ht="30" customHeight="1">
      <c r="A281" s="6">
        <v>279</v>
      </c>
      <c r="B281" s="7" t="str">
        <f>"277320201217174754603"</f>
        <v>277320201217174754603</v>
      </c>
      <c r="C281" s="7" t="s">
        <v>7</v>
      </c>
      <c r="D281" s="7" t="str">
        <f>"梁亚团"</f>
        <v>梁亚团</v>
      </c>
      <c r="E281" s="7" t="str">
        <f t="shared" si="8"/>
        <v>女</v>
      </c>
    </row>
    <row r="282" spans="1:5" ht="30" customHeight="1">
      <c r="A282" s="6">
        <v>280</v>
      </c>
      <c r="B282" s="7" t="str">
        <f>"277320201217190203653"</f>
        <v>277320201217190203653</v>
      </c>
      <c r="C282" s="7" t="s">
        <v>7</v>
      </c>
      <c r="D282" s="7" t="str">
        <f>"冯国鑫"</f>
        <v>冯国鑫</v>
      </c>
      <c r="E282" s="7" t="str">
        <f>"男"</f>
        <v>男</v>
      </c>
    </row>
    <row r="283" spans="1:5" ht="30" customHeight="1">
      <c r="A283" s="6">
        <v>281</v>
      </c>
      <c r="B283" s="7" t="str">
        <f>"277320201217203245700"</f>
        <v>277320201217203245700</v>
      </c>
      <c r="C283" s="7" t="s">
        <v>7</v>
      </c>
      <c r="D283" s="7" t="str">
        <f>"陈亦阳"</f>
        <v>陈亦阳</v>
      </c>
      <c r="E283" s="7" t="str">
        <f>"男"</f>
        <v>男</v>
      </c>
    </row>
    <row r="284" spans="1:5" ht="30" customHeight="1">
      <c r="A284" s="6">
        <v>282</v>
      </c>
      <c r="B284" s="7" t="str">
        <f>"277320201217205356717"</f>
        <v>277320201217205356717</v>
      </c>
      <c r="C284" s="7" t="s">
        <v>7</v>
      </c>
      <c r="D284" s="7" t="str">
        <f>"刘乐曦"</f>
        <v>刘乐曦</v>
      </c>
      <c r="E284" s="7" t="str">
        <f>"女"</f>
        <v>女</v>
      </c>
    </row>
    <row r="285" spans="1:5" ht="30" customHeight="1">
      <c r="A285" s="6">
        <v>283</v>
      </c>
      <c r="B285" s="7" t="str">
        <f>"277320201217205836722"</f>
        <v>277320201217205836722</v>
      </c>
      <c r="C285" s="7" t="s">
        <v>7</v>
      </c>
      <c r="D285" s="7" t="str">
        <f>"王剑辉"</f>
        <v>王剑辉</v>
      </c>
      <c r="E285" s="7" t="str">
        <f>"男"</f>
        <v>男</v>
      </c>
    </row>
    <row r="286" spans="1:5" ht="30" customHeight="1">
      <c r="A286" s="6">
        <v>284</v>
      </c>
      <c r="B286" s="7" t="str">
        <f>"277320201217224121779"</f>
        <v>277320201217224121779</v>
      </c>
      <c r="C286" s="7" t="s">
        <v>7</v>
      </c>
      <c r="D286" s="7" t="str">
        <f>"唐以婵"</f>
        <v>唐以婵</v>
      </c>
      <c r="E286" s="7" t="str">
        <f aca="true" t="shared" si="9" ref="E286:E293">"女"</f>
        <v>女</v>
      </c>
    </row>
    <row r="287" spans="1:5" ht="30" customHeight="1">
      <c r="A287" s="6">
        <v>285</v>
      </c>
      <c r="B287" s="7" t="str">
        <f>"277320201218093902847"</f>
        <v>277320201218093902847</v>
      </c>
      <c r="C287" s="7" t="s">
        <v>7</v>
      </c>
      <c r="D287" s="7" t="str">
        <f>"符秀凤"</f>
        <v>符秀凤</v>
      </c>
      <c r="E287" s="7" t="str">
        <f t="shared" si="9"/>
        <v>女</v>
      </c>
    </row>
    <row r="288" spans="1:5" ht="30" customHeight="1">
      <c r="A288" s="6">
        <v>286</v>
      </c>
      <c r="B288" s="7" t="str">
        <f>"277320201218104713881"</f>
        <v>277320201218104713881</v>
      </c>
      <c r="C288" s="7" t="s">
        <v>7</v>
      </c>
      <c r="D288" s="7" t="str">
        <f>"符文婷"</f>
        <v>符文婷</v>
      </c>
      <c r="E288" s="7" t="str">
        <f t="shared" si="9"/>
        <v>女</v>
      </c>
    </row>
    <row r="289" spans="1:5" ht="30" customHeight="1">
      <c r="A289" s="6">
        <v>287</v>
      </c>
      <c r="B289" s="7" t="str">
        <f>"277320201218132650942"</f>
        <v>277320201218132650942</v>
      </c>
      <c r="C289" s="7" t="s">
        <v>7</v>
      </c>
      <c r="D289" s="7" t="str">
        <f>"陈慧卿"</f>
        <v>陈慧卿</v>
      </c>
      <c r="E289" s="7" t="str">
        <f t="shared" si="9"/>
        <v>女</v>
      </c>
    </row>
    <row r="290" spans="1:5" ht="30" customHeight="1">
      <c r="A290" s="6">
        <v>288</v>
      </c>
      <c r="B290" s="7" t="str">
        <f>"277320201218151544977"</f>
        <v>277320201218151544977</v>
      </c>
      <c r="C290" s="7" t="s">
        <v>7</v>
      </c>
      <c r="D290" s="7" t="str">
        <f>"王为彩"</f>
        <v>王为彩</v>
      </c>
      <c r="E290" s="7" t="str">
        <f t="shared" si="9"/>
        <v>女</v>
      </c>
    </row>
    <row r="291" spans="1:5" ht="30" customHeight="1">
      <c r="A291" s="6">
        <v>289</v>
      </c>
      <c r="B291" s="7" t="str">
        <f>"277320201218155508996"</f>
        <v>277320201218155508996</v>
      </c>
      <c r="C291" s="7" t="s">
        <v>7</v>
      </c>
      <c r="D291" s="7" t="str">
        <f>"文倩"</f>
        <v>文倩</v>
      </c>
      <c r="E291" s="7" t="str">
        <f t="shared" si="9"/>
        <v>女</v>
      </c>
    </row>
    <row r="292" spans="1:5" ht="30" customHeight="1">
      <c r="A292" s="6">
        <v>290</v>
      </c>
      <c r="B292" s="7" t="str">
        <f>"2773202012181615181006"</f>
        <v>2773202012181615181006</v>
      </c>
      <c r="C292" s="7" t="s">
        <v>7</v>
      </c>
      <c r="D292" s="7" t="str">
        <f>"符凤岑"</f>
        <v>符凤岑</v>
      </c>
      <c r="E292" s="7" t="str">
        <f t="shared" si="9"/>
        <v>女</v>
      </c>
    </row>
    <row r="293" spans="1:5" ht="30" customHeight="1">
      <c r="A293" s="6">
        <v>291</v>
      </c>
      <c r="B293" s="7" t="str">
        <f>"2773202012181639411017"</f>
        <v>2773202012181639411017</v>
      </c>
      <c r="C293" s="7" t="s">
        <v>7</v>
      </c>
      <c r="D293" s="7" t="str">
        <f>"刘菲菲"</f>
        <v>刘菲菲</v>
      </c>
      <c r="E293" s="7" t="str">
        <f t="shared" si="9"/>
        <v>女</v>
      </c>
    </row>
    <row r="294" spans="1:5" ht="30" customHeight="1">
      <c r="A294" s="6">
        <v>292</v>
      </c>
      <c r="B294" s="7" t="str">
        <f>"2773202012181639441018"</f>
        <v>2773202012181639441018</v>
      </c>
      <c r="C294" s="7" t="s">
        <v>7</v>
      </c>
      <c r="D294" s="7" t="str">
        <f>"王安众"</f>
        <v>王安众</v>
      </c>
      <c r="E294" s="7" t="str">
        <f>"男"</f>
        <v>男</v>
      </c>
    </row>
    <row r="295" spans="1:5" ht="30" customHeight="1">
      <c r="A295" s="6">
        <v>293</v>
      </c>
      <c r="B295" s="7" t="str">
        <f>"2773202012182020091087"</f>
        <v>2773202012182020091087</v>
      </c>
      <c r="C295" s="7" t="s">
        <v>7</v>
      </c>
      <c r="D295" s="7" t="str">
        <f>"张翠"</f>
        <v>张翠</v>
      </c>
      <c r="E295" s="7" t="str">
        <f>"女"</f>
        <v>女</v>
      </c>
    </row>
    <row r="296" spans="1:5" ht="30" customHeight="1">
      <c r="A296" s="6">
        <v>294</v>
      </c>
      <c r="B296" s="7" t="str">
        <f>"2773202012190007301134"</f>
        <v>2773202012190007301134</v>
      </c>
      <c r="C296" s="7" t="s">
        <v>7</v>
      </c>
      <c r="D296" s="7" t="str">
        <f>"吴桃艳"</f>
        <v>吴桃艳</v>
      </c>
      <c r="E296" s="7" t="str">
        <f>"女"</f>
        <v>女</v>
      </c>
    </row>
    <row r="297" spans="1:5" ht="30" customHeight="1">
      <c r="A297" s="6">
        <v>295</v>
      </c>
      <c r="B297" s="7" t="str">
        <f>"2773202012190022021136"</f>
        <v>2773202012190022021136</v>
      </c>
      <c r="C297" s="7" t="s">
        <v>7</v>
      </c>
      <c r="D297" s="7" t="str">
        <f>"杨珺珏"</f>
        <v>杨珺珏</v>
      </c>
      <c r="E297" s="7" t="str">
        <f>"女"</f>
        <v>女</v>
      </c>
    </row>
    <row r="298" spans="1:5" ht="30" customHeight="1">
      <c r="A298" s="6">
        <v>296</v>
      </c>
      <c r="B298" s="7" t="str">
        <f>"2773202012190303401143"</f>
        <v>2773202012190303401143</v>
      </c>
      <c r="C298" s="7" t="s">
        <v>7</v>
      </c>
      <c r="D298" s="7" t="str">
        <f>"赵元鹏"</f>
        <v>赵元鹏</v>
      </c>
      <c r="E298" s="7" t="str">
        <f>"男"</f>
        <v>男</v>
      </c>
    </row>
    <row r="299" spans="1:5" ht="30" customHeight="1">
      <c r="A299" s="6">
        <v>297</v>
      </c>
      <c r="B299" s="7" t="str">
        <f>"2773202012191046571154"</f>
        <v>2773202012191046571154</v>
      </c>
      <c r="C299" s="7" t="s">
        <v>7</v>
      </c>
      <c r="D299" s="7" t="str">
        <f>"王铭福"</f>
        <v>王铭福</v>
      </c>
      <c r="E299" s="7" t="str">
        <f>"男"</f>
        <v>男</v>
      </c>
    </row>
    <row r="300" spans="1:5" ht="30" customHeight="1">
      <c r="A300" s="6">
        <v>298</v>
      </c>
      <c r="B300" s="7" t="str">
        <f>"2773202012191254441175"</f>
        <v>2773202012191254441175</v>
      </c>
      <c r="C300" s="7" t="s">
        <v>7</v>
      </c>
      <c r="D300" s="7" t="str">
        <f>"卢丹"</f>
        <v>卢丹</v>
      </c>
      <c r="E300" s="7" t="str">
        <f>"女"</f>
        <v>女</v>
      </c>
    </row>
    <row r="301" spans="1:5" ht="30" customHeight="1">
      <c r="A301" s="6">
        <v>299</v>
      </c>
      <c r="B301" s="7" t="str">
        <f>"2773202012191409261186"</f>
        <v>2773202012191409261186</v>
      </c>
      <c r="C301" s="7" t="s">
        <v>7</v>
      </c>
      <c r="D301" s="7" t="str">
        <f>"孙学新"</f>
        <v>孙学新</v>
      </c>
      <c r="E301" s="7" t="str">
        <f>"男"</f>
        <v>男</v>
      </c>
    </row>
    <row r="302" spans="1:5" ht="30" customHeight="1">
      <c r="A302" s="6">
        <v>300</v>
      </c>
      <c r="B302" s="7" t="str">
        <f>"2773202012191635401206"</f>
        <v>2773202012191635401206</v>
      </c>
      <c r="C302" s="7" t="s">
        <v>7</v>
      </c>
      <c r="D302" s="7" t="str">
        <f>"刘欣"</f>
        <v>刘欣</v>
      </c>
      <c r="E302" s="7" t="str">
        <f>"女"</f>
        <v>女</v>
      </c>
    </row>
    <row r="303" spans="1:5" ht="30" customHeight="1">
      <c r="A303" s="6">
        <v>301</v>
      </c>
      <c r="B303" s="7" t="str">
        <f>"2773202012191741461219"</f>
        <v>2773202012191741461219</v>
      </c>
      <c r="C303" s="7" t="s">
        <v>7</v>
      </c>
      <c r="D303" s="7" t="str">
        <f>"钟海花 "</f>
        <v>钟海花 </v>
      </c>
      <c r="E303" s="7" t="str">
        <f>"女"</f>
        <v>女</v>
      </c>
    </row>
    <row r="304" spans="1:5" ht="30" customHeight="1">
      <c r="A304" s="6">
        <v>302</v>
      </c>
      <c r="B304" s="7" t="str">
        <f>"2773202012191919541229"</f>
        <v>2773202012191919541229</v>
      </c>
      <c r="C304" s="7" t="s">
        <v>7</v>
      </c>
      <c r="D304" s="7" t="str">
        <f>"王伟聪"</f>
        <v>王伟聪</v>
      </c>
      <c r="E304" s="7" t="str">
        <f>"男"</f>
        <v>男</v>
      </c>
    </row>
    <row r="305" spans="1:5" ht="30" customHeight="1">
      <c r="A305" s="6">
        <v>303</v>
      </c>
      <c r="B305" s="7" t="str">
        <f>"2773202012192028251246"</f>
        <v>2773202012192028251246</v>
      </c>
      <c r="C305" s="7" t="s">
        <v>7</v>
      </c>
      <c r="D305" s="7" t="str">
        <f>"李佳慧"</f>
        <v>李佳慧</v>
      </c>
      <c r="E305" s="7" t="str">
        <f>"女"</f>
        <v>女</v>
      </c>
    </row>
    <row r="306" spans="1:5" ht="30" customHeight="1">
      <c r="A306" s="6">
        <v>304</v>
      </c>
      <c r="B306" s="7" t="str">
        <f>"2773202012192137371263"</f>
        <v>2773202012192137371263</v>
      </c>
      <c r="C306" s="7" t="s">
        <v>7</v>
      </c>
      <c r="D306" s="7" t="str">
        <f>"符利静"</f>
        <v>符利静</v>
      </c>
      <c r="E306" s="7" t="str">
        <f>"女"</f>
        <v>女</v>
      </c>
    </row>
    <row r="307" spans="1:5" ht="30" customHeight="1">
      <c r="A307" s="6">
        <v>305</v>
      </c>
      <c r="B307" s="7" t="str">
        <f>"2773202012192144571265"</f>
        <v>2773202012192144571265</v>
      </c>
      <c r="C307" s="7" t="s">
        <v>7</v>
      </c>
      <c r="D307" s="7" t="str">
        <f>"羊宝明"</f>
        <v>羊宝明</v>
      </c>
      <c r="E307" s="7" t="str">
        <f>"男"</f>
        <v>男</v>
      </c>
    </row>
    <row r="308" spans="1:5" ht="30" customHeight="1">
      <c r="A308" s="6">
        <v>306</v>
      </c>
      <c r="B308" s="7" t="str">
        <f>"2773202012192252411276"</f>
        <v>2773202012192252411276</v>
      </c>
      <c r="C308" s="7" t="s">
        <v>7</v>
      </c>
      <c r="D308" s="7" t="str">
        <f>"唐庆慧"</f>
        <v>唐庆慧</v>
      </c>
      <c r="E308" s="7" t="str">
        <f>"女"</f>
        <v>女</v>
      </c>
    </row>
    <row r="309" spans="1:5" ht="30" customHeight="1">
      <c r="A309" s="6">
        <v>307</v>
      </c>
      <c r="B309" s="7" t="str">
        <f>"2773202012192252591277"</f>
        <v>2773202012192252591277</v>
      </c>
      <c r="C309" s="7" t="s">
        <v>7</v>
      </c>
      <c r="D309" s="7" t="str">
        <f>"符琪"</f>
        <v>符琪</v>
      </c>
      <c r="E309" s="7" t="str">
        <f>"女"</f>
        <v>女</v>
      </c>
    </row>
    <row r="310" spans="1:5" ht="30" customHeight="1">
      <c r="A310" s="6">
        <v>308</v>
      </c>
      <c r="B310" s="7" t="str">
        <f>"2773202012201112411308"</f>
        <v>2773202012201112411308</v>
      </c>
      <c r="C310" s="7" t="s">
        <v>7</v>
      </c>
      <c r="D310" s="7" t="str">
        <f>"林兴菊"</f>
        <v>林兴菊</v>
      </c>
      <c r="E310" s="7" t="str">
        <f>"女"</f>
        <v>女</v>
      </c>
    </row>
    <row r="311" spans="1:5" ht="30" customHeight="1">
      <c r="A311" s="6">
        <v>309</v>
      </c>
      <c r="B311" s="7" t="str">
        <f>"2773202012201524301355"</f>
        <v>2773202012201524301355</v>
      </c>
      <c r="C311" s="7" t="s">
        <v>7</v>
      </c>
      <c r="D311" s="7" t="str">
        <f>"骆日利"</f>
        <v>骆日利</v>
      </c>
      <c r="E311" s="7" t="str">
        <f>"男"</f>
        <v>男</v>
      </c>
    </row>
    <row r="312" spans="1:5" ht="30" customHeight="1">
      <c r="A312" s="6">
        <v>310</v>
      </c>
      <c r="B312" s="7" t="str">
        <f>"2773202012201814451382"</f>
        <v>2773202012201814451382</v>
      </c>
      <c r="C312" s="7" t="s">
        <v>7</v>
      </c>
      <c r="D312" s="7" t="str">
        <f>"龙彦廷"</f>
        <v>龙彦廷</v>
      </c>
      <c r="E312" s="7" t="str">
        <f>"女"</f>
        <v>女</v>
      </c>
    </row>
    <row r="313" spans="1:5" ht="30" customHeight="1">
      <c r="A313" s="6">
        <v>311</v>
      </c>
      <c r="B313" s="7" t="str">
        <f>"2773202012210103111447"</f>
        <v>2773202012210103111447</v>
      </c>
      <c r="C313" s="7" t="s">
        <v>7</v>
      </c>
      <c r="D313" s="7" t="str">
        <f>"陈兴才"</f>
        <v>陈兴才</v>
      </c>
      <c r="E313" s="7" t="str">
        <f>"男"</f>
        <v>男</v>
      </c>
    </row>
    <row r="314" spans="1:5" ht="30" customHeight="1">
      <c r="A314" s="6">
        <v>312</v>
      </c>
      <c r="B314" s="7" t="str">
        <f>"2773202012210809531452"</f>
        <v>2773202012210809531452</v>
      </c>
      <c r="C314" s="7" t="s">
        <v>7</v>
      </c>
      <c r="D314" s="7" t="str">
        <f>"曾维立"</f>
        <v>曾维立</v>
      </c>
      <c r="E314" s="7" t="str">
        <f>"男"</f>
        <v>男</v>
      </c>
    </row>
    <row r="315" spans="1:5" ht="30" customHeight="1">
      <c r="A315" s="6">
        <v>313</v>
      </c>
      <c r="B315" s="7" t="str">
        <f>"2773202012211001101489"</f>
        <v>2773202012211001101489</v>
      </c>
      <c r="C315" s="7" t="s">
        <v>7</v>
      </c>
      <c r="D315" s="7" t="str">
        <f>"陈琳"</f>
        <v>陈琳</v>
      </c>
      <c r="E315" s="7" t="str">
        <f aca="true" t="shared" si="10" ref="E315:E321">"女"</f>
        <v>女</v>
      </c>
    </row>
    <row r="316" spans="1:5" ht="30" customHeight="1">
      <c r="A316" s="6">
        <v>314</v>
      </c>
      <c r="B316" s="7" t="str">
        <f>"2773202012211146361534"</f>
        <v>2773202012211146361534</v>
      </c>
      <c r="C316" s="7" t="s">
        <v>7</v>
      </c>
      <c r="D316" s="7" t="str">
        <f>"陈梦婷"</f>
        <v>陈梦婷</v>
      </c>
      <c r="E316" s="7" t="str">
        <f t="shared" si="10"/>
        <v>女</v>
      </c>
    </row>
    <row r="317" spans="1:5" ht="30" customHeight="1">
      <c r="A317" s="6">
        <v>315</v>
      </c>
      <c r="B317" s="7" t="str">
        <f>"2773202012211412091558"</f>
        <v>2773202012211412091558</v>
      </c>
      <c r="C317" s="7" t="s">
        <v>7</v>
      </c>
      <c r="D317" s="7" t="str">
        <f>"麦世娜"</f>
        <v>麦世娜</v>
      </c>
      <c r="E317" s="7" t="str">
        <f t="shared" si="10"/>
        <v>女</v>
      </c>
    </row>
    <row r="318" spans="1:5" ht="30" customHeight="1">
      <c r="A318" s="6">
        <v>316</v>
      </c>
      <c r="B318" s="7" t="str">
        <f>"2773202012211738351620"</f>
        <v>2773202012211738351620</v>
      </c>
      <c r="C318" s="7" t="s">
        <v>7</v>
      </c>
      <c r="D318" s="7" t="str">
        <f>"吴钰章"</f>
        <v>吴钰章</v>
      </c>
      <c r="E318" s="7" t="str">
        <f t="shared" si="10"/>
        <v>女</v>
      </c>
    </row>
    <row r="319" spans="1:5" ht="30" customHeight="1">
      <c r="A319" s="6">
        <v>317</v>
      </c>
      <c r="B319" s="7" t="str">
        <f>"2773202012211806171625"</f>
        <v>2773202012211806171625</v>
      </c>
      <c r="C319" s="7" t="s">
        <v>7</v>
      </c>
      <c r="D319" s="7" t="str">
        <f>"邢君丽"</f>
        <v>邢君丽</v>
      </c>
      <c r="E319" s="7" t="str">
        <f t="shared" si="10"/>
        <v>女</v>
      </c>
    </row>
    <row r="320" spans="1:5" ht="30" customHeight="1">
      <c r="A320" s="6">
        <v>318</v>
      </c>
      <c r="B320" s="7" t="str">
        <f>"2773202012212113211657"</f>
        <v>2773202012212113211657</v>
      </c>
      <c r="C320" s="7" t="s">
        <v>7</v>
      </c>
      <c r="D320" s="7" t="str">
        <f>"陈英"</f>
        <v>陈英</v>
      </c>
      <c r="E320" s="7" t="str">
        <f t="shared" si="10"/>
        <v>女</v>
      </c>
    </row>
    <row r="321" spans="1:5" ht="30" customHeight="1">
      <c r="A321" s="6">
        <v>319</v>
      </c>
      <c r="B321" s="7" t="str">
        <f>"2773202012221051431716"</f>
        <v>2773202012221051431716</v>
      </c>
      <c r="C321" s="7" t="s">
        <v>7</v>
      </c>
      <c r="D321" s="7" t="str">
        <f>"董小雪"</f>
        <v>董小雪</v>
      </c>
      <c r="E321" s="7" t="str">
        <f t="shared" si="10"/>
        <v>女</v>
      </c>
    </row>
    <row r="322" spans="1:5" ht="30" customHeight="1">
      <c r="A322" s="6">
        <v>320</v>
      </c>
      <c r="B322" s="7" t="str">
        <f>"2773202012221224461738"</f>
        <v>2773202012221224461738</v>
      </c>
      <c r="C322" s="7" t="s">
        <v>7</v>
      </c>
      <c r="D322" s="7" t="str">
        <f>"莫家阳"</f>
        <v>莫家阳</v>
      </c>
      <c r="E322" s="7" t="str">
        <f>"男"</f>
        <v>男</v>
      </c>
    </row>
    <row r="323" spans="1:5" ht="30" customHeight="1">
      <c r="A323" s="6">
        <v>321</v>
      </c>
      <c r="B323" s="7" t="str">
        <f>"2773202012221624231784"</f>
        <v>2773202012221624231784</v>
      </c>
      <c r="C323" s="7" t="s">
        <v>7</v>
      </c>
      <c r="D323" s="7" t="str">
        <f>"王婷婷"</f>
        <v>王婷婷</v>
      </c>
      <c r="E323" s="7" t="str">
        <f>"女"</f>
        <v>女</v>
      </c>
    </row>
    <row r="324" spans="1:5" ht="30" customHeight="1">
      <c r="A324" s="6">
        <v>322</v>
      </c>
      <c r="B324" s="7" t="str">
        <f>"2773202012221643481793"</f>
        <v>2773202012221643481793</v>
      </c>
      <c r="C324" s="7" t="s">
        <v>7</v>
      </c>
      <c r="D324" s="7" t="str">
        <f>"张慧妹"</f>
        <v>张慧妹</v>
      </c>
      <c r="E324" s="7" t="str">
        <f>"女"</f>
        <v>女</v>
      </c>
    </row>
    <row r="325" spans="1:5" ht="30" customHeight="1">
      <c r="A325" s="6">
        <v>323</v>
      </c>
      <c r="B325" s="7" t="str">
        <f>"2773202012221708171798"</f>
        <v>2773202012221708171798</v>
      </c>
      <c r="C325" s="7" t="s">
        <v>7</v>
      </c>
      <c r="D325" s="7" t="str">
        <f>"羊玲香"</f>
        <v>羊玲香</v>
      </c>
      <c r="E325" s="7" t="str">
        <f>"女"</f>
        <v>女</v>
      </c>
    </row>
    <row r="326" spans="1:5" ht="30" customHeight="1">
      <c r="A326" s="6">
        <v>324</v>
      </c>
      <c r="B326" s="7" t="str">
        <f>"2773202012231244091939"</f>
        <v>2773202012231244091939</v>
      </c>
      <c r="C326" s="7" t="s">
        <v>7</v>
      </c>
      <c r="D326" s="7" t="str">
        <f>"李杏"</f>
        <v>李杏</v>
      </c>
      <c r="E326" s="7" t="str">
        <f>"女"</f>
        <v>女</v>
      </c>
    </row>
    <row r="327" spans="1:5" ht="30" customHeight="1">
      <c r="A327" s="6">
        <v>325</v>
      </c>
      <c r="B327" s="7" t="str">
        <f>"2773202012231633051985"</f>
        <v>2773202012231633051985</v>
      </c>
      <c r="C327" s="7" t="s">
        <v>7</v>
      </c>
      <c r="D327" s="7" t="str">
        <f>"陈星星"</f>
        <v>陈星星</v>
      </c>
      <c r="E327" s="7" t="str">
        <f>"女"</f>
        <v>女</v>
      </c>
    </row>
    <row r="328" spans="1:5" ht="30" customHeight="1">
      <c r="A328" s="6">
        <v>326</v>
      </c>
      <c r="B328" s="7" t="str">
        <f>"277320201217211907732"</f>
        <v>277320201217211907732</v>
      </c>
      <c r="C328" s="7" t="s">
        <v>8</v>
      </c>
      <c r="D328" s="7" t="str">
        <f>"梁龙坤"</f>
        <v>梁龙坤</v>
      </c>
      <c r="E328" s="7" t="str">
        <f>"男"</f>
        <v>男</v>
      </c>
    </row>
    <row r="329" spans="1:5" ht="30" customHeight="1">
      <c r="A329" s="6">
        <v>327</v>
      </c>
      <c r="B329" s="7" t="str">
        <f>"2773202012200925451293"</f>
        <v>2773202012200925451293</v>
      </c>
      <c r="C329" s="7" t="s">
        <v>8</v>
      </c>
      <c r="D329" s="7" t="str">
        <f>"黎钟荃"</f>
        <v>黎钟荃</v>
      </c>
      <c r="E329" s="7" t="str">
        <f>"男"</f>
        <v>男</v>
      </c>
    </row>
    <row r="330" spans="1:5" ht="30" customHeight="1">
      <c r="A330" s="6">
        <v>328</v>
      </c>
      <c r="B330" s="7" t="str">
        <f>"2773202012211236331544"</f>
        <v>2773202012211236331544</v>
      </c>
      <c r="C330" s="7" t="s">
        <v>8</v>
      </c>
      <c r="D330" s="7" t="str">
        <f>"符谢安"</f>
        <v>符谢安</v>
      </c>
      <c r="E330" s="7" t="str">
        <f>"男"</f>
        <v>男</v>
      </c>
    </row>
    <row r="331" spans="1:5" ht="30" customHeight="1">
      <c r="A331" s="6">
        <v>329</v>
      </c>
      <c r="B331" s="7" t="str">
        <f>"2773202012230901181903"</f>
        <v>2773202012230901181903</v>
      </c>
      <c r="C331" s="7" t="s">
        <v>8</v>
      </c>
      <c r="D331" s="7" t="str">
        <f>"王威"</f>
        <v>王威</v>
      </c>
      <c r="E331" s="7" t="str">
        <f>"男"</f>
        <v>男</v>
      </c>
    </row>
    <row r="332" spans="1:5" ht="30" customHeight="1">
      <c r="A332" s="6">
        <v>330</v>
      </c>
      <c r="B332" s="7" t="str">
        <f>"2773202012170902015"</f>
        <v>2773202012170902015</v>
      </c>
      <c r="C332" s="7" t="s">
        <v>9</v>
      </c>
      <c r="D332" s="7" t="str">
        <f>"王洪景"</f>
        <v>王洪景</v>
      </c>
      <c r="E332" s="7" t="str">
        <f>"女"</f>
        <v>女</v>
      </c>
    </row>
    <row r="333" spans="1:5" ht="30" customHeight="1">
      <c r="A333" s="6">
        <v>331</v>
      </c>
      <c r="B333" s="7" t="str">
        <f>"277320201217093838104"</f>
        <v>277320201217093838104</v>
      </c>
      <c r="C333" s="7" t="s">
        <v>9</v>
      </c>
      <c r="D333" s="7" t="str">
        <f>"何晓进"</f>
        <v>何晓进</v>
      </c>
      <c r="E333" s="7" t="str">
        <f>"男"</f>
        <v>男</v>
      </c>
    </row>
    <row r="334" spans="1:5" ht="30" customHeight="1">
      <c r="A334" s="6">
        <v>332</v>
      </c>
      <c r="B334" s="7" t="str">
        <f>"277320201217093937107"</f>
        <v>277320201217093937107</v>
      </c>
      <c r="C334" s="7" t="s">
        <v>9</v>
      </c>
      <c r="D334" s="7" t="str">
        <f>"李友爱"</f>
        <v>李友爱</v>
      </c>
      <c r="E334" s="7" t="str">
        <f>"女"</f>
        <v>女</v>
      </c>
    </row>
    <row r="335" spans="1:5" ht="30" customHeight="1">
      <c r="A335" s="6">
        <v>333</v>
      </c>
      <c r="B335" s="7" t="str">
        <f>"277320201217094828128"</f>
        <v>277320201217094828128</v>
      </c>
      <c r="C335" s="7" t="s">
        <v>9</v>
      </c>
      <c r="D335" s="7" t="str">
        <f>"王李慧"</f>
        <v>王李慧</v>
      </c>
      <c r="E335" s="7" t="str">
        <f>"女"</f>
        <v>女</v>
      </c>
    </row>
    <row r="336" spans="1:5" ht="30" customHeight="1">
      <c r="A336" s="6">
        <v>334</v>
      </c>
      <c r="B336" s="7" t="str">
        <f>"277320201217101457191"</f>
        <v>277320201217101457191</v>
      </c>
      <c r="C336" s="7" t="s">
        <v>9</v>
      </c>
      <c r="D336" s="7" t="str">
        <f>"廖顺淇"</f>
        <v>廖顺淇</v>
      </c>
      <c r="E336" s="7" t="str">
        <f>"女"</f>
        <v>女</v>
      </c>
    </row>
    <row r="337" spans="1:5" ht="30" customHeight="1">
      <c r="A337" s="6">
        <v>335</v>
      </c>
      <c r="B337" s="7" t="str">
        <f>"277320201217105807276"</f>
        <v>277320201217105807276</v>
      </c>
      <c r="C337" s="7" t="s">
        <v>9</v>
      </c>
      <c r="D337" s="7" t="str">
        <f>"洪秋"</f>
        <v>洪秋</v>
      </c>
      <c r="E337" s="7" t="str">
        <f>"女"</f>
        <v>女</v>
      </c>
    </row>
    <row r="338" spans="1:5" ht="30" customHeight="1">
      <c r="A338" s="6">
        <v>336</v>
      </c>
      <c r="B338" s="7" t="str">
        <f>"277320201217111159295"</f>
        <v>277320201217111159295</v>
      </c>
      <c r="C338" s="7" t="s">
        <v>9</v>
      </c>
      <c r="D338" s="7" t="str">
        <f>"王杰倩"</f>
        <v>王杰倩</v>
      </c>
      <c r="E338" s="7" t="str">
        <f>"女"</f>
        <v>女</v>
      </c>
    </row>
    <row r="339" spans="1:5" ht="30" customHeight="1">
      <c r="A339" s="6">
        <v>337</v>
      </c>
      <c r="B339" s="7" t="str">
        <f>"277320201217111607299"</f>
        <v>277320201217111607299</v>
      </c>
      <c r="C339" s="7" t="s">
        <v>9</v>
      </c>
      <c r="D339" s="7" t="str">
        <f>"符学鹏"</f>
        <v>符学鹏</v>
      </c>
      <c r="E339" s="7" t="str">
        <f>"男"</f>
        <v>男</v>
      </c>
    </row>
    <row r="340" spans="1:5" ht="30" customHeight="1">
      <c r="A340" s="6">
        <v>338</v>
      </c>
      <c r="B340" s="7" t="str">
        <f>"277320201217120922363"</f>
        <v>277320201217120922363</v>
      </c>
      <c r="C340" s="7" t="s">
        <v>9</v>
      </c>
      <c r="D340" s="7" t="str">
        <f>"刘爱建"</f>
        <v>刘爱建</v>
      </c>
      <c r="E340" s="7" t="str">
        <f>"男"</f>
        <v>男</v>
      </c>
    </row>
    <row r="341" spans="1:5" ht="30" customHeight="1">
      <c r="A341" s="6">
        <v>339</v>
      </c>
      <c r="B341" s="7" t="str">
        <f>"277320201217121819374"</f>
        <v>277320201217121819374</v>
      </c>
      <c r="C341" s="7" t="s">
        <v>9</v>
      </c>
      <c r="D341" s="7" t="str">
        <f>"符美景"</f>
        <v>符美景</v>
      </c>
      <c r="E341" s="7" t="str">
        <f>"女"</f>
        <v>女</v>
      </c>
    </row>
    <row r="342" spans="1:5" ht="30" customHeight="1">
      <c r="A342" s="6">
        <v>340</v>
      </c>
      <c r="B342" s="7" t="str">
        <f>"277320201217122951381"</f>
        <v>277320201217122951381</v>
      </c>
      <c r="C342" s="7" t="s">
        <v>9</v>
      </c>
      <c r="D342" s="7" t="str">
        <f>"刘子婷"</f>
        <v>刘子婷</v>
      </c>
      <c r="E342" s="7" t="str">
        <f>"女"</f>
        <v>女</v>
      </c>
    </row>
    <row r="343" spans="1:5" ht="30" customHeight="1">
      <c r="A343" s="6">
        <v>341</v>
      </c>
      <c r="B343" s="7" t="str">
        <f>"277320201217125609405"</f>
        <v>277320201217125609405</v>
      </c>
      <c r="C343" s="7" t="s">
        <v>9</v>
      </c>
      <c r="D343" s="7" t="str">
        <f>"叶峰"</f>
        <v>叶峰</v>
      </c>
      <c r="E343" s="7" t="str">
        <f>"男"</f>
        <v>男</v>
      </c>
    </row>
    <row r="344" spans="1:5" ht="30" customHeight="1">
      <c r="A344" s="6">
        <v>342</v>
      </c>
      <c r="B344" s="7" t="str">
        <f>"277320201217125946406"</f>
        <v>277320201217125946406</v>
      </c>
      <c r="C344" s="7" t="s">
        <v>9</v>
      </c>
      <c r="D344" s="7" t="str">
        <f>"黄芸"</f>
        <v>黄芸</v>
      </c>
      <c r="E344" s="7" t="str">
        <f aca="true" t="shared" si="11" ref="E344:E352">"女"</f>
        <v>女</v>
      </c>
    </row>
    <row r="345" spans="1:5" ht="30" customHeight="1">
      <c r="A345" s="6">
        <v>343</v>
      </c>
      <c r="B345" s="7" t="str">
        <f>"277320201217130334411"</f>
        <v>277320201217130334411</v>
      </c>
      <c r="C345" s="7" t="s">
        <v>9</v>
      </c>
      <c r="D345" s="7" t="str">
        <f>"王艺霞"</f>
        <v>王艺霞</v>
      </c>
      <c r="E345" s="7" t="str">
        <f t="shared" si="11"/>
        <v>女</v>
      </c>
    </row>
    <row r="346" spans="1:5" ht="30" customHeight="1">
      <c r="A346" s="6">
        <v>344</v>
      </c>
      <c r="B346" s="7" t="str">
        <f>"277320201217151936490"</f>
        <v>277320201217151936490</v>
      </c>
      <c r="C346" s="7" t="s">
        <v>9</v>
      </c>
      <c r="D346" s="7" t="str">
        <f>"符创创"</f>
        <v>符创创</v>
      </c>
      <c r="E346" s="7" t="str">
        <f t="shared" si="11"/>
        <v>女</v>
      </c>
    </row>
    <row r="347" spans="1:5" ht="30" customHeight="1">
      <c r="A347" s="6">
        <v>345</v>
      </c>
      <c r="B347" s="7" t="str">
        <f>"277320201217160115529"</f>
        <v>277320201217160115529</v>
      </c>
      <c r="C347" s="7" t="s">
        <v>9</v>
      </c>
      <c r="D347" s="7" t="str">
        <f>"王娟"</f>
        <v>王娟</v>
      </c>
      <c r="E347" s="7" t="str">
        <f t="shared" si="11"/>
        <v>女</v>
      </c>
    </row>
    <row r="348" spans="1:5" ht="30" customHeight="1">
      <c r="A348" s="6">
        <v>346</v>
      </c>
      <c r="B348" s="7" t="str">
        <f>"277320201217161037544"</f>
        <v>277320201217161037544</v>
      </c>
      <c r="C348" s="7" t="s">
        <v>9</v>
      </c>
      <c r="D348" s="7" t="str">
        <f>"刘小娜"</f>
        <v>刘小娜</v>
      </c>
      <c r="E348" s="7" t="str">
        <f t="shared" si="11"/>
        <v>女</v>
      </c>
    </row>
    <row r="349" spans="1:5" ht="30" customHeight="1">
      <c r="A349" s="6">
        <v>347</v>
      </c>
      <c r="B349" s="7" t="str">
        <f>"277320201217170308583"</f>
        <v>277320201217170308583</v>
      </c>
      <c r="C349" s="7" t="s">
        <v>9</v>
      </c>
      <c r="D349" s="7" t="str">
        <f>"韦海珍"</f>
        <v>韦海珍</v>
      </c>
      <c r="E349" s="7" t="str">
        <f t="shared" si="11"/>
        <v>女</v>
      </c>
    </row>
    <row r="350" spans="1:5" ht="30" customHeight="1">
      <c r="A350" s="6">
        <v>348</v>
      </c>
      <c r="B350" s="7" t="str">
        <f>"277320201217185809650"</f>
        <v>277320201217185809650</v>
      </c>
      <c r="C350" s="7" t="s">
        <v>9</v>
      </c>
      <c r="D350" s="7" t="str">
        <f>"刘月云"</f>
        <v>刘月云</v>
      </c>
      <c r="E350" s="7" t="str">
        <f t="shared" si="11"/>
        <v>女</v>
      </c>
    </row>
    <row r="351" spans="1:5" ht="30" customHeight="1">
      <c r="A351" s="6">
        <v>349</v>
      </c>
      <c r="B351" s="7" t="str">
        <f>"277320201217191154655"</f>
        <v>277320201217191154655</v>
      </c>
      <c r="C351" s="7" t="s">
        <v>9</v>
      </c>
      <c r="D351" s="7" t="str">
        <f>"麦伟妮"</f>
        <v>麦伟妮</v>
      </c>
      <c r="E351" s="7" t="str">
        <f t="shared" si="11"/>
        <v>女</v>
      </c>
    </row>
    <row r="352" spans="1:5" ht="30" customHeight="1">
      <c r="A352" s="6">
        <v>350</v>
      </c>
      <c r="B352" s="7" t="str">
        <f>"277320201217201653690"</f>
        <v>277320201217201653690</v>
      </c>
      <c r="C352" s="7" t="s">
        <v>9</v>
      </c>
      <c r="D352" s="7" t="str">
        <f>"陆珍梅"</f>
        <v>陆珍梅</v>
      </c>
      <c r="E352" s="7" t="str">
        <f t="shared" si="11"/>
        <v>女</v>
      </c>
    </row>
    <row r="353" spans="1:5" ht="30" customHeight="1">
      <c r="A353" s="6">
        <v>351</v>
      </c>
      <c r="B353" s="7" t="str">
        <f>"277320201217203512705"</f>
        <v>277320201217203512705</v>
      </c>
      <c r="C353" s="7" t="s">
        <v>9</v>
      </c>
      <c r="D353" s="7" t="str">
        <f>"陈翅洪"</f>
        <v>陈翅洪</v>
      </c>
      <c r="E353" s="7" t="str">
        <f>"男"</f>
        <v>男</v>
      </c>
    </row>
    <row r="354" spans="1:5" ht="30" customHeight="1">
      <c r="A354" s="6">
        <v>352</v>
      </c>
      <c r="B354" s="7" t="str">
        <f>"277320201217204753713"</f>
        <v>277320201217204753713</v>
      </c>
      <c r="C354" s="7" t="s">
        <v>9</v>
      </c>
      <c r="D354" s="7" t="str">
        <f>"何发盛"</f>
        <v>何发盛</v>
      </c>
      <c r="E354" s="7" t="str">
        <f>"男"</f>
        <v>男</v>
      </c>
    </row>
    <row r="355" spans="1:5" ht="30" customHeight="1">
      <c r="A355" s="6">
        <v>353</v>
      </c>
      <c r="B355" s="7" t="str">
        <f>"277320201217211816730"</f>
        <v>277320201217211816730</v>
      </c>
      <c r="C355" s="7" t="s">
        <v>9</v>
      </c>
      <c r="D355" s="7" t="str">
        <f>"符晓艳"</f>
        <v>符晓艳</v>
      </c>
      <c r="E355" s="7" t="str">
        <f>"女"</f>
        <v>女</v>
      </c>
    </row>
    <row r="356" spans="1:5" ht="30" customHeight="1">
      <c r="A356" s="6">
        <v>354</v>
      </c>
      <c r="B356" s="7" t="str">
        <f>"277320201217215237751"</f>
        <v>277320201217215237751</v>
      </c>
      <c r="C356" s="7" t="s">
        <v>9</v>
      </c>
      <c r="D356" s="7" t="str">
        <f>"符玉青"</f>
        <v>符玉青</v>
      </c>
      <c r="E356" s="7" t="str">
        <f>"女"</f>
        <v>女</v>
      </c>
    </row>
    <row r="357" spans="1:5" ht="30" customHeight="1">
      <c r="A357" s="6">
        <v>355</v>
      </c>
      <c r="B357" s="7" t="str">
        <f>"277320201218092123840"</f>
        <v>277320201218092123840</v>
      </c>
      <c r="C357" s="7" t="s">
        <v>9</v>
      </c>
      <c r="D357" s="7" t="str">
        <f>"古子贤"</f>
        <v>古子贤</v>
      </c>
      <c r="E357" s="7" t="str">
        <f>"男"</f>
        <v>男</v>
      </c>
    </row>
    <row r="358" spans="1:5" ht="30" customHeight="1">
      <c r="A358" s="6">
        <v>356</v>
      </c>
      <c r="B358" s="7" t="str">
        <f>"277320201218143841960"</f>
        <v>277320201218143841960</v>
      </c>
      <c r="C358" s="7" t="s">
        <v>9</v>
      </c>
      <c r="D358" s="7" t="str">
        <f>"叶子"</f>
        <v>叶子</v>
      </c>
      <c r="E358" s="7" t="str">
        <f>"女"</f>
        <v>女</v>
      </c>
    </row>
    <row r="359" spans="1:5" ht="30" customHeight="1">
      <c r="A359" s="6">
        <v>357</v>
      </c>
      <c r="B359" s="7" t="str">
        <f>"277320201218144613963"</f>
        <v>277320201218144613963</v>
      </c>
      <c r="C359" s="7" t="s">
        <v>9</v>
      </c>
      <c r="D359" s="7" t="str">
        <f>"朱剑瑞"</f>
        <v>朱剑瑞</v>
      </c>
      <c r="E359" s="7" t="str">
        <f>"男"</f>
        <v>男</v>
      </c>
    </row>
    <row r="360" spans="1:5" ht="30" customHeight="1">
      <c r="A360" s="6">
        <v>358</v>
      </c>
      <c r="B360" s="7" t="str">
        <f>"2773202012181635041015"</f>
        <v>2773202012181635041015</v>
      </c>
      <c r="C360" s="7" t="s">
        <v>9</v>
      </c>
      <c r="D360" s="7" t="str">
        <f>"符绍祥"</f>
        <v>符绍祥</v>
      </c>
      <c r="E360" s="7" t="str">
        <f>"男"</f>
        <v>男</v>
      </c>
    </row>
    <row r="361" spans="1:5" ht="30" customHeight="1">
      <c r="A361" s="6">
        <v>359</v>
      </c>
      <c r="B361" s="7" t="str">
        <f>"2773202012181818231057"</f>
        <v>2773202012181818231057</v>
      </c>
      <c r="C361" s="7" t="s">
        <v>9</v>
      </c>
      <c r="D361" s="7" t="str">
        <f>"符艺菁"</f>
        <v>符艺菁</v>
      </c>
      <c r="E361" s="7" t="str">
        <f>"女"</f>
        <v>女</v>
      </c>
    </row>
    <row r="362" spans="1:5" ht="30" customHeight="1">
      <c r="A362" s="6">
        <v>360</v>
      </c>
      <c r="B362" s="7" t="str">
        <f>"2773202012181906461066"</f>
        <v>2773202012181906461066</v>
      </c>
      <c r="C362" s="7" t="s">
        <v>9</v>
      </c>
      <c r="D362" s="7" t="str">
        <f>"胡小红"</f>
        <v>胡小红</v>
      </c>
      <c r="E362" s="7" t="str">
        <f>"女"</f>
        <v>女</v>
      </c>
    </row>
    <row r="363" spans="1:5" ht="30" customHeight="1">
      <c r="A363" s="6">
        <v>361</v>
      </c>
      <c r="B363" s="7" t="str">
        <f>"2773202012182002491080"</f>
        <v>2773202012182002491080</v>
      </c>
      <c r="C363" s="7" t="s">
        <v>9</v>
      </c>
      <c r="D363" s="7" t="str">
        <f>"王宇晴"</f>
        <v>王宇晴</v>
      </c>
      <c r="E363" s="7" t="str">
        <f>"女"</f>
        <v>女</v>
      </c>
    </row>
    <row r="364" spans="1:5" ht="30" customHeight="1">
      <c r="A364" s="6">
        <v>362</v>
      </c>
      <c r="B364" s="7" t="str">
        <f>"2773202012191354331181"</f>
        <v>2773202012191354331181</v>
      </c>
      <c r="C364" s="7" t="s">
        <v>9</v>
      </c>
      <c r="D364" s="7" t="str">
        <f>"黄秋蝶"</f>
        <v>黄秋蝶</v>
      </c>
      <c r="E364" s="7" t="str">
        <f>"女"</f>
        <v>女</v>
      </c>
    </row>
    <row r="365" spans="1:5" ht="30" customHeight="1">
      <c r="A365" s="6">
        <v>363</v>
      </c>
      <c r="B365" s="7" t="str">
        <f>"2773202012191358261183"</f>
        <v>2773202012191358261183</v>
      </c>
      <c r="C365" s="7" t="s">
        <v>9</v>
      </c>
      <c r="D365" s="7" t="str">
        <f>"李巍巍"</f>
        <v>李巍巍</v>
      </c>
      <c r="E365" s="7" t="str">
        <f>"男"</f>
        <v>男</v>
      </c>
    </row>
    <row r="366" spans="1:5" ht="30" customHeight="1">
      <c r="A366" s="6">
        <v>364</v>
      </c>
      <c r="B366" s="7" t="str">
        <f>"2773202012191533561194"</f>
        <v>2773202012191533561194</v>
      </c>
      <c r="C366" s="7" t="s">
        <v>9</v>
      </c>
      <c r="D366" s="7" t="str">
        <f>"符晓达"</f>
        <v>符晓达</v>
      </c>
      <c r="E366" s="7" t="str">
        <f>"女"</f>
        <v>女</v>
      </c>
    </row>
    <row r="367" spans="1:5" ht="30" customHeight="1">
      <c r="A367" s="6">
        <v>365</v>
      </c>
      <c r="B367" s="7" t="str">
        <f>"2773202012192158061266"</f>
        <v>2773202012192158061266</v>
      </c>
      <c r="C367" s="7" t="s">
        <v>9</v>
      </c>
      <c r="D367" s="7" t="str">
        <f>"董志强"</f>
        <v>董志强</v>
      </c>
      <c r="E367" s="7" t="str">
        <f>"男"</f>
        <v>男</v>
      </c>
    </row>
    <row r="368" spans="1:5" ht="30" customHeight="1">
      <c r="A368" s="6">
        <v>366</v>
      </c>
      <c r="B368" s="7" t="str">
        <f>"2773202012201211171323"</f>
        <v>2773202012201211171323</v>
      </c>
      <c r="C368" s="7" t="s">
        <v>9</v>
      </c>
      <c r="D368" s="7" t="str">
        <f>"苏丽霞"</f>
        <v>苏丽霞</v>
      </c>
      <c r="E368" s="7" t="str">
        <f>"女"</f>
        <v>女</v>
      </c>
    </row>
    <row r="369" spans="1:5" ht="30" customHeight="1">
      <c r="A369" s="6">
        <v>367</v>
      </c>
      <c r="B369" s="7" t="str">
        <f>"2773202012201445131349"</f>
        <v>2773202012201445131349</v>
      </c>
      <c r="C369" s="7" t="s">
        <v>9</v>
      </c>
      <c r="D369" s="7" t="str">
        <f>"黄进中"</f>
        <v>黄进中</v>
      </c>
      <c r="E369" s="7" t="str">
        <f>"男"</f>
        <v>男</v>
      </c>
    </row>
    <row r="370" spans="1:5" ht="30" customHeight="1">
      <c r="A370" s="6">
        <v>368</v>
      </c>
      <c r="B370" s="7" t="str">
        <f>"2773202012202104321408"</f>
        <v>2773202012202104321408</v>
      </c>
      <c r="C370" s="7" t="s">
        <v>9</v>
      </c>
      <c r="D370" s="7" t="str">
        <f>"王海燕"</f>
        <v>王海燕</v>
      </c>
      <c r="E370" s="7" t="str">
        <f>"女"</f>
        <v>女</v>
      </c>
    </row>
    <row r="371" spans="1:5" ht="30" customHeight="1">
      <c r="A371" s="6">
        <v>369</v>
      </c>
      <c r="B371" s="7" t="str">
        <f>"2773202012202108571409"</f>
        <v>2773202012202108571409</v>
      </c>
      <c r="C371" s="7" t="s">
        <v>9</v>
      </c>
      <c r="D371" s="7" t="str">
        <f>"王学岚"</f>
        <v>王学岚</v>
      </c>
      <c r="E371" s="7" t="str">
        <f>"女"</f>
        <v>女</v>
      </c>
    </row>
    <row r="372" spans="1:5" ht="30" customHeight="1">
      <c r="A372" s="6">
        <v>370</v>
      </c>
      <c r="B372" s="7" t="str">
        <f>"2773202012202149331420"</f>
        <v>2773202012202149331420</v>
      </c>
      <c r="C372" s="7" t="s">
        <v>9</v>
      </c>
      <c r="D372" s="7" t="str">
        <f>"胡灵敏"</f>
        <v>胡灵敏</v>
      </c>
      <c r="E372" s="7" t="str">
        <f>"女"</f>
        <v>女</v>
      </c>
    </row>
    <row r="373" spans="1:5" ht="30" customHeight="1">
      <c r="A373" s="6">
        <v>371</v>
      </c>
      <c r="B373" s="7" t="str">
        <f>"2773202012210010211445"</f>
        <v>2773202012210010211445</v>
      </c>
      <c r="C373" s="7" t="s">
        <v>9</v>
      </c>
      <c r="D373" s="7" t="str">
        <f>"曾岳莲"</f>
        <v>曾岳莲</v>
      </c>
      <c r="E373" s="7" t="str">
        <f>"女"</f>
        <v>女</v>
      </c>
    </row>
    <row r="374" spans="1:5" ht="30" customHeight="1">
      <c r="A374" s="6">
        <v>372</v>
      </c>
      <c r="B374" s="7" t="str">
        <f>"2773202012211049071509"</f>
        <v>2773202012211049071509</v>
      </c>
      <c r="C374" s="7" t="s">
        <v>9</v>
      </c>
      <c r="D374" s="7" t="str">
        <f>"冼宁"</f>
        <v>冼宁</v>
      </c>
      <c r="E374" s="7" t="str">
        <f>"男"</f>
        <v>男</v>
      </c>
    </row>
    <row r="375" spans="1:5" ht="30" customHeight="1">
      <c r="A375" s="6">
        <v>373</v>
      </c>
      <c r="B375" s="7" t="str">
        <f>"2773202012211155191536"</f>
        <v>2773202012211155191536</v>
      </c>
      <c r="C375" s="7" t="s">
        <v>9</v>
      </c>
      <c r="D375" s="7" t="str">
        <f>"陆振涛"</f>
        <v>陆振涛</v>
      </c>
      <c r="E375" s="7" t="str">
        <f>"男"</f>
        <v>男</v>
      </c>
    </row>
    <row r="376" spans="1:5" ht="30" customHeight="1">
      <c r="A376" s="6">
        <v>374</v>
      </c>
      <c r="B376" s="7" t="str">
        <f>"2773202012211617031600"</f>
        <v>2773202012211617031600</v>
      </c>
      <c r="C376" s="7" t="s">
        <v>9</v>
      </c>
      <c r="D376" s="7" t="str">
        <f>"王涛"</f>
        <v>王涛</v>
      </c>
      <c r="E376" s="7" t="str">
        <f>"男"</f>
        <v>男</v>
      </c>
    </row>
    <row r="377" spans="1:5" ht="30" customHeight="1">
      <c r="A377" s="6">
        <v>375</v>
      </c>
      <c r="B377" s="7" t="str">
        <f>"2773202012211634501608"</f>
        <v>2773202012211634501608</v>
      </c>
      <c r="C377" s="7" t="s">
        <v>9</v>
      </c>
      <c r="D377" s="7" t="str">
        <f>"黄宇晴"</f>
        <v>黄宇晴</v>
      </c>
      <c r="E377" s="7" t="str">
        <f>"女"</f>
        <v>女</v>
      </c>
    </row>
    <row r="378" spans="1:5" ht="30" customHeight="1">
      <c r="A378" s="6">
        <v>376</v>
      </c>
      <c r="B378" s="7" t="str">
        <f>"2773202012211802011623"</f>
        <v>2773202012211802011623</v>
      </c>
      <c r="C378" s="7" t="s">
        <v>9</v>
      </c>
      <c r="D378" s="7" t="str">
        <f>"符旭晓"</f>
        <v>符旭晓</v>
      </c>
      <c r="E378" s="7" t="str">
        <f>"男"</f>
        <v>男</v>
      </c>
    </row>
    <row r="379" spans="1:5" ht="30" customHeight="1">
      <c r="A379" s="6">
        <v>377</v>
      </c>
      <c r="B379" s="7" t="str">
        <f>"2773202012211923301634"</f>
        <v>2773202012211923301634</v>
      </c>
      <c r="C379" s="7" t="s">
        <v>9</v>
      </c>
      <c r="D379" s="7" t="str">
        <f>"朱成"</f>
        <v>朱成</v>
      </c>
      <c r="E379" s="7" t="str">
        <f>"男"</f>
        <v>男</v>
      </c>
    </row>
    <row r="380" spans="1:5" ht="30" customHeight="1">
      <c r="A380" s="6">
        <v>378</v>
      </c>
      <c r="B380" s="7" t="str">
        <f>"2773202012212304311677"</f>
        <v>2773202012212304311677</v>
      </c>
      <c r="C380" s="7" t="s">
        <v>9</v>
      </c>
      <c r="D380" s="7" t="str">
        <f>"符美金"</f>
        <v>符美金</v>
      </c>
      <c r="E380" s="7" t="str">
        <f>"女"</f>
        <v>女</v>
      </c>
    </row>
    <row r="381" spans="1:5" ht="30" customHeight="1">
      <c r="A381" s="6">
        <v>379</v>
      </c>
      <c r="B381" s="7" t="str">
        <f>"2773202012220955081705"</f>
        <v>2773202012220955081705</v>
      </c>
      <c r="C381" s="7" t="s">
        <v>9</v>
      </c>
      <c r="D381" s="7" t="str">
        <f>"肖泽城"</f>
        <v>肖泽城</v>
      </c>
      <c r="E381" s="7" t="str">
        <f>"男"</f>
        <v>男</v>
      </c>
    </row>
    <row r="382" spans="1:5" ht="30" customHeight="1">
      <c r="A382" s="6">
        <v>380</v>
      </c>
      <c r="B382" s="7" t="str">
        <f>"2773202012221559361778"</f>
        <v>2773202012221559361778</v>
      </c>
      <c r="C382" s="7" t="s">
        <v>9</v>
      </c>
      <c r="D382" s="7" t="str">
        <f>"万琼"</f>
        <v>万琼</v>
      </c>
      <c r="E382" s="7" t="str">
        <f>"女"</f>
        <v>女</v>
      </c>
    </row>
    <row r="383" spans="1:5" ht="30" customHeight="1">
      <c r="A383" s="6">
        <v>381</v>
      </c>
      <c r="B383" s="7" t="str">
        <f>"2773202012222137171848"</f>
        <v>2773202012222137171848</v>
      </c>
      <c r="C383" s="7" t="s">
        <v>9</v>
      </c>
      <c r="D383" s="7" t="str">
        <f>"王莉云"</f>
        <v>王莉云</v>
      </c>
      <c r="E383" s="7" t="str">
        <f>"女"</f>
        <v>女</v>
      </c>
    </row>
    <row r="384" spans="1:5" ht="30" customHeight="1">
      <c r="A384" s="6">
        <v>382</v>
      </c>
      <c r="B384" s="7" t="str">
        <f>"2773202012222220491859"</f>
        <v>2773202012222220491859</v>
      </c>
      <c r="C384" s="7" t="s">
        <v>9</v>
      </c>
      <c r="D384" s="7" t="str">
        <f>"符永兰"</f>
        <v>符永兰</v>
      </c>
      <c r="E384" s="7" t="str">
        <f>"女"</f>
        <v>女</v>
      </c>
    </row>
    <row r="385" spans="1:5" ht="30" customHeight="1">
      <c r="A385" s="6">
        <v>383</v>
      </c>
      <c r="B385" s="7" t="str">
        <f>"2773202012230131511890"</f>
        <v>2773202012230131511890</v>
      </c>
      <c r="C385" s="7" t="s">
        <v>9</v>
      </c>
      <c r="D385" s="7" t="str">
        <f>"何岳龙"</f>
        <v>何岳龙</v>
      </c>
      <c r="E385" s="7" t="str">
        <f>"男"</f>
        <v>男</v>
      </c>
    </row>
    <row r="386" spans="1:5" ht="30" customHeight="1">
      <c r="A386" s="6">
        <v>384</v>
      </c>
      <c r="B386" s="7" t="str">
        <f>"27732020121709084336"</f>
        <v>27732020121709084336</v>
      </c>
      <c r="C386" s="7" t="s">
        <v>10</v>
      </c>
      <c r="D386" s="7" t="str">
        <f>"符锦恒"</f>
        <v>符锦恒</v>
      </c>
      <c r="E386" s="7" t="str">
        <f>"男"</f>
        <v>男</v>
      </c>
    </row>
    <row r="387" spans="1:5" ht="30" customHeight="1">
      <c r="A387" s="6">
        <v>385</v>
      </c>
      <c r="B387" s="7" t="str">
        <f>"277320201217094906130"</f>
        <v>277320201217094906130</v>
      </c>
      <c r="C387" s="7" t="s">
        <v>10</v>
      </c>
      <c r="D387" s="7" t="str">
        <f>"朱诗雨"</f>
        <v>朱诗雨</v>
      </c>
      <c r="E387" s="7" t="str">
        <f>"女"</f>
        <v>女</v>
      </c>
    </row>
    <row r="388" spans="1:5" ht="30" customHeight="1">
      <c r="A388" s="6">
        <v>386</v>
      </c>
      <c r="B388" s="7" t="str">
        <f>"277320201217100008155"</f>
        <v>277320201217100008155</v>
      </c>
      <c r="C388" s="7" t="s">
        <v>10</v>
      </c>
      <c r="D388" s="7" t="str">
        <f>"唐以振"</f>
        <v>唐以振</v>
      </c>
      <c r="E388" s="7" t="str">
        <f>"男"</f>
        <v>男</v>
      </c>
    </row>
    <row r="389" spans="1:5" ht="30" customHeight="1">
      <c r="A389" s="6">
        <v>387</v>
      </c>
      <c r="B389" s="7" t="str">
        <f>"277320201217102153204"</f>
        <v>277320201217102153204</v>
      </c>
      <c r="C389" s="7" t="s">
        <v>10</v>
      </c>
      <c r="D389" s="7" t="str">
        <f>"邱名龙"</f>
        <v>邱名龙</v>
      </c>
      <c r="E389" s="7" t="str">
        <f>"男"</f>
        <v>男</v>
      </c>
    </row>
    <row r="390" spans="1:5" ht="30" customHeight="1">
      <c r="A390" s="6">
        <v>388</v>
      </c>
      <c r="B390" s="7" t="str">
        <f>"277320201217105127262"</f>
        <v>277320201217105127262</v>
      </c>
      <c r="C390" s="7" t="s">
        <v>10</v>
      </c>
      <c r="D390" s="7" t="str">
        <f>"陈明亮"</f>
        <v>陈明亮</v>
      </c>
      <c r="E390" s="7" t="str">
        <f>"男"</f>
        <v>男</v>
      </c>
    </row>
    <row r="391" spans="1:5" ht="30" customHeight="1">
      <c r="A391" s="6">
        <v>389</v>
      </c>
      <c r="B391" s="7" t="str">
        <f>"277320201217112002307"</f>
        <v>277320201217112002307</v>
      </c>
      <c r="C391" s="7" t="s">
        <v>10</v>
      </c>
      <c r="D391" s="7" t="str">
        <f>"陈喜章"</f>
        <v>陈喜章</v>
      </c>
      <c r="E391" s="7" t="str">
        <f>"女"</f>
        <v>女</v>
      </c>
    </row>
    <row r="392" spans="1:5" ht="30" customHeight="1">
      <c r="A392" s="6">
        <v>390</v>
      </c>
      <c r="B392" s="7" t="str">
        <f>"277320201217114303330"</f>
        <v>277320201217114303330</v>
      </c>
      <c r="C392" s="7" t="s">
        <v>10</v>
      </c>
      <c r="D392" s="7" t="str">
        <f>"黄升"</f>
        <v>黄升</v>
      </c>
      <c r="E392" s="7" t="str">
        <f>"男"</f>
        <v>男</v>
      </c>
    </row>
    <row r="393" spans="1:5" ht="30" customHeight="1">
      <c r="A393" s="6">
        <v>391</v>
      </c>
      <c r="B393" s="7" t="str">
        <f>"277320201217124011394"</f>
        <v>277320201217124011394</v>
      </c>
      <c r="C393" s="7" t="s">
        <v>10</v>
      </c>
      <c r="D393" s="7" t="str">
        <f>"王康锭"</f>
        <v>王康锭</v>
      </c>
      <c r="E393" s="7" t="str">
        <f>"男"</f>
        <v>男</v>
      </c>
    </row>
    <row r="394" spans="1:5" ht="30" customHeight="1">
      <c r="A394" s="6">
        <v>392</v>
      </c>
      <c r="B394" s="7" t="str">
        <f>"277320201217124646399"</f>
        <v>277320201217124646399</v>
      </c>
      <c r="C394" s="7" t="s">
        <v>10</v>
      </c>
      <c r="D394" s="7" t="str">
        <f>"薛万王"</f>
        <v>薛万王</v>
      </c>
      <c r="E394" s="7" t="str">
        <f>"男"</f>
        <v>男</v>
      </c>
    </row>
    <row r="395" spans="1:5" ht="30" customHeight="1">
      <c r="A395" s="6">
        <v>393</v>
      </c>
      <c r="B395" s="7" t="str">
        <f>"277320201217130934416"</f>
        <v>277320201217130934416</v>
      </c>
      <c r="C395" s="7" t="s">
        <v>10</v>
      </c>
      <c r="D395" s="7" t="str">
        <f>"符家慧"</f>
        <v>符家慧</v>
      </c>
      <c r="E395" s="7" t="str">
        <f>"女"</f>
        <v>女</v>
      </c>
    </row>
    <row r="396" spans="1:5" ht="30" customHeight="1">
      <c r="A396" s="6">
        <v>394</v>
      </c>
      <c r="B396" s="7" t="str">
        <f>"277320201217142619445"</f>
        <v>277320201217142619445</v>
      </c>
      <c r="C396" s="7" t="s">
        <v>10</v>
      </c>
      <c r="D396" s="7" t="str">
        <f>"符惠予"</f>
        <v>符惠予</v>
      </c>
      <c r="E396" s="7" t="str">
        <f>"女"</f>
        <v>女</v>
      </c>
    </row>
    <row r="397" spans="1:5" ht="30" customHeight="1">
      <c r="A397" s="6">
        <v>395</v>
      </c>
      <c r="B397" s="7" t="str">
        <f>"277320201217154013507"</f>
        <v>277320201217154013507</v>
      </c>
      <c r="C397" s="7" t="s">
        <v>10</v>
      </c>
      <c r="D397" s="7" t="str">
        <f>"符雪柔"</f>
        <v>符雪柔</v>
      </c>
      <c r="E397" s="7" t="str">
        <f>"女"</f>
        <v>女</v>
      </c>
    </row>
    <row r="398" spans="1:5" ht="30" customHeight="1">
      <c r="A398" s="6">
        <v>396</v>
      </c>
      <c r="B398" s="7" t="str">
        <f>"277320201217155553523"</f>
        <v>277320201217155553523</v>
      </c>
      <c r="C398" s="7" t="s">
        <v>10</v>
      </c>
      <c r="D398" s="7" t="str">
        <f>"黄学番"</f>
        <v>黄学番</v>
      </c>
      <c r="E398" s="7" t="str">
        <f>"女"</f>
        <v>女</v>
      </c>
    </row>
    <row r="399" spans="1:5" ht="30" customHeight="1">
      <c r="A399" s="6">
        <v>397</v>
      </c>
      <c r="B399" s="7" t="str">
        <f>"277320201217164000563"</f>
        <v>277320201217164000563</v>
      </c>
      <c r="C399" s="7" t="s">
        <v>10</v>
      </c>
      <c r="D399" s="7" t="str">
        <f>"王朝"</f>
        <v>王朝</v>
      </c>
      <c r="E399" s="7" t="str">
        <f>"男"</f>
        <v>男</v>
      </c>
    </row>
    <row r="400" spans="1:5" ht="30" customHeight="1">
      <c r="A400" s="6">
        <v>398</v>
      </c>
      <c r="B400" s="7" t="str">
        <f>"277320201217182151630"</f>
        <v>277320201217182151630</v>
      </c>
      <c r="C400" s="7" t="s">
        <v>10</v>
      </c>
      <c r="D400" s="7" t="str">
        <f>"赵秋莲"</f>
        <v>赵秋莲</v>
      </c>
      <c r="E400" s="7" t="str">
        <f aca="true" t="shared" si="12" ref="E400:E406">"女"</f>
        <v>女</v>
      </c>
    </row>
    <row r="401" spans="1:5" ht="30" customHeight="1">
      <c r="A401" s="6">
        <v>399</v>
      </c>
      <c r="B401" s="7" t="str">
        <f>"277320201217204825714"</f>
        <v>277320201217204825714</v>
      </c>
      <c r="C401" s="7" t="s">
        <v>10</v>
      </c>
      <c r="D401" s="7" t="str">
        <f>"钟雅芝"</f>
        <v>钟雅芝</v>
      </c>
      <c r="E401" s="7" t="str">
        <f t="shared" si="12"/>
        <v>女</v>
      </c>
    </row>
    <row r="402" spans="1:5" ht="30" customHeight="1">
      <c r="A402" s="6">
        <v>400</v>
      </c>
      <c r="B402" s="7" t="str">
        <f>"277320201217213846741"</f>
        <v>277320201217213846741</v>
      </c>
      <c r="C402" s="7" t="s">
        <v>10</v>
      </c>
      <c r="D402" s="7" t="str">
        <f>"符蓉蓉"</f>
        <v>符蓉蓉</v>
      </c>
      <c r="E402" s="7" t="str">
        <f t="shared" si="12"/>
        <v>女</v>
      </c>
    </row>
    <row r="403" spans="1:5" ht="30" customHeight="1">
      <c r="A403" s="6">
        <v>401</v>
      </c>
      <c r="B403" s="7" t="str">
        <f>"277320201217225200783"</f>
        <v>277320201217225200783</v>
      </c>
      <c r="C403" s="7" t="s">
        <v>10</v>
      </c>
      <c r="D403" s="7" t="str">
        <f>"何精杯"</f>
        <v>何精杯</v>
      </c>
      <c r="E403" s="7" t="str">
        <f t="shared" si="12"/>
        <v>女</v>
      </c>
    </row>
    <row r="404" spans="1:5" ht="30" customHeight="1">
      <c r="A404" s="6">
        <v>402</v>
      </c>
      <c r="B404" s="7" t="str">
        <f>"277320201218073034807"</f>
        <v>277320201218073034807</v>
      </c>
      <c r="C404" s="7" t="s">
        <v>10</v>
      </c>
      <c r="D404" s="7" t="str">
        <f>"洪曼茜"</f>
        <v>洪曼茜</v>
      </c>
      <c r="E404" s="7" t="str">
        <f t="shared" si="12"/>
        <v>女</v>
      </c>
    </row>
    <row r="405" spans="1:5" ht="30" customHeight="1">
      <c r="A405" s="6">
        <v>403</v>
      </c>
      <c r="B405" s="7" t="str">
        <f>"277320201218093144845"</f>
        <v>277320201218093144845</v>
      </c>
      <c r="C405" s="7" t="s">
        <v>10</v>
      </c>
      <c r="D405" s="7" t="str">
        <f>"裴艳好"</f>
        <v>裴艳好</v>
      </c>
      <c r="E405" s="7" t="str">
        <f t="shared" si="12"/>
        <v>女</v>
      </c>
    </row>
    <row r="406" spans="1:5" ht="30" customHeight="1">
      <c r="A406" s="6">
        <v>404</v>
      </c>
      <c r="B406" s="7" t="str">
        <f>"277320201218105330888"</f>
        <v>277320201218105330888</v>
      </c>
      <c r="C406" s="7" t="s">
        <v>10</v>
      </c>
      <c r="D406" s="7" t="str">
        <f>"邓小夏"</f>
        <v>邓小夏</v>
      </c>
      <c r="E406" s="7" t="str">
        <f t="shared" si="12"/>
        <v>女</v>
      </c>
    </row>
    <row r="407" spans="1:5" ht="30" customHeight="1">
      <c r="A407" s="6">
        <v>405</v>
      </c>
      <c r="B407" s="7" t="str">
        <f>"277320201218132701943"</f>
        <v>277320201218132701943</v>
      </c>
      <c r="C407" s="7" t="s">
        <v>10</v>
      </c>
      <c r="D407" s="7" t="str">
        <f>"陈石"</f>
        <v>陈石</v>
      </c>
      <c r="E407" s="7" t="str">
        <f>"男"</f>
        <v>男</v>
      </c>
    </row>
    <row r="408" spans="1:5" ht="30" customHeight="1">
      <c r="A408" s="6">
        <v>406</v>
      </c>
      <c r="B408" s="7" t="str">
        <f>"277320201218152536979"</f>
        <v>277320201218152536979</v>
      </c>
      <c r="C408" s="7" t="s">
        <v>10</v>
      </c>
      <c r="D408" s="7" t="str">
        <f>"蔡海菊"</f>
        <v>蔡海菊</v>
      </c>
      <c r="E408" s="7" t="str">
        <f aca="true" t="shared" si="13" ref="E408:E416">"女"</f>
        <v>女</v>
      </c>
    </row>
    <row r="409" spans="1:5" ht="30" customHeight="1">
      <c r="A409" s="6">
        <v>407</v>
      </c>
      <c r="B409" s="7" t="str">
        <f>"2773202012181700201031"</f>
        <v>2773202012181700201031</v>
      </c>
      <c r="C409" s="7" t="s">
        <v>10</v>
      </c>
      <c r="D409" s="7" t="str">
        <f>"谢裕柳"</f>
        <v>谢裕柳</v>
      </c>
      <c r="E409" s="7" t="str">
        <f t="shared" si="13"/>
        <v>女</v>
      </c>
    </row>
    <row r="410" spans="1:5" ht="30" customHeight="1">
      <c r="A410" s="6">
        <v>408</v>
      </c>
      <c r="B410" s="7" t="str">
        <f>"2773202012181752371051"</f>
        <v>2773202012181752371051</v>
      </c>
      <c r="C410" s="7" t="s">
        <v>10</v>
      </c>
      <c r="D410" s="7" t="str">
        <f>"梁淑勤"</f>
        <v>梁淑勤</v>
      </c>
      <c r="E410" s="7" t="str">
        <f t="shared" si="13"/>
        <v>女</v>
      </c>
    </row>
    <row r="411" spans="1:5" ht="30" customHeight="1">
      <c r="A411" s="6">
        <v>409</v>
      </c>
      <c r="B411" s="7" t="str">
        <f>"2773202012182114371102"</f>
        <v>2773202012182114371102</v>
      </c>
      <c r="C411" s="7" t="s">
        <v>10</v>
      </c>
      <c r="D411" s="7" t="str">
        <f>"符万宇"</f>
        <v>符万宇</v>
      </c>
      <c r="E411" s="7" t="str">
        <f t="shared" si="13"/>
        <v>女</v>
      </c>
    </row>
    <row r="412" spans="1:5" ht="30" customHeight="1">
      <c r="A412" s="6">
        <v>410</v>
      </c>
      <c r="B412" s="7" t="str">
        <f>"2773202012182117561103"</f>
        <v>2773202012182117561103</v>
      </c>
      <c r="C412" s="7" t="s">
        <v>10</v>
      </c>
      <c r="D412" s="7" t="str">
        <f>"蓝英霞"</f>
        <v>蓝英霞</v>
      </c>
      <c r="E412" s="7" t="str">
        <f t="shared" si="13"/>
        <v>女</v>
      </c>
    </row>
    <row r="413" spans="1:5" ht="30" customHeight="1">
      <c r="A413" s="6">
        <v>411</v>
      </c>
      <c r="B413" s="7" t="str">
        <f>"2773202012191611011203"</f>
        <v>2773202012191611011203</v>
      </c>
      <c r="C413" s="7" t="s">
        <v>10</v>
      </c>
      <c r="D413" s="7" t="str">
        <f>"梁亚敏"</f>
        <v>梁亚敏</v>
      </c>
      <c r="E413" s="7" t="str">
        <f t="shared" si="13"/>
        <v>女</v>
      </c>
    </row>
    <row r="414" spans="1:5" ht="30" customHeight="1">
      <c r="A414" s="6">
        <v>412</v>
      </c>
      <c r="B414" s="7" t="str">
        <f>"2773202012191635511207"</f>
        <v>2773202012191635511207</v>
      </c>
      <c r="C414" s="7" t="s">
        <v>10</v>
      </c>
      <c r="D414" s="7" t="str">
        <f>"麦月莹"</f>
        <v>麦月莹</v>
      </c>
      <c r="E414" s="7" t="str">
        <f t="shared" si="13"/>
        <v>女</v>
      </c>
    </row>
    <row r="415" spans="1:5" ht="30" customHeight="1">
      <c r="A415" s="6">
        <v>413</v>
      </c>
      <c r="B415" s="7" t="str">
        <f>"2773202012191746521220"</f>
        <v>2773202012191746521220</v>
      </c>
      <c r="C415" s="7" t="s">
        <v>10</v>
      </c>
      <c r="D415" s="7" t="str">
        <f>"李冬艳"</f>
        <v>李冬艳</v>
      </c>
      <c r="E415" s="7" t="str">
        <f t="shared" si="13"/>
        <v>女</v>
      </c>
    </row>
    <row r="416" spans="1:5" ht="30" customHeight="1">
      <c r="A416" s="6">
        <v>414</v>
      </c>
      <c r="B416" s="7" t="str">
        <f>"2773202012201506201350"</f>
        <v>2773202012201506201350</v>
      </c>
      <c r="C416" s="7" t="s">
        <v>10</v>
      </c>
      <c r="D416" s="7" t="str">
        <f>"文喜"</f>
        <v>文喜</v>
      </c>
      <c r="E416" s="7" t="str">
        <f t="shared" si="13"/>
        <v>女</v>
      </c>
    </row>
    <row r="417" spans="1:5" ht="30" customHeight="1">
      <c r="A417" s="6">
        <v>415</v>
      </c>
      <c r="B417" s="7" t="str">
        <f>"2773202012211605261597"</f>
        <v>2773202012211605261597</v>
      </c>
      <c r="C417" s="7" t="s">
        <v>10</v>
      </c>
      <c r="D417" s="7" t="str">
        <f>"符英武"</f>
        <v>符英武</v>
      </c>
      <c r="E417" s="7" t="str">
        <f>"男"</f>
        <v>男</v>
      </c>
    </row>
    <row r="418" spans="1:5" ht="30" customHeight="1">
      <c r="A418" s="6">
        <v>416</v>
      </c>
      <c r="B418" s="7" t="str">
        <f>"2773202012221300551742"</f>
        <v>2773202012221300551742</v>
      </c>
      <c r="C418" s="7" t="s">
        <v>10</v>
      </c>
      <c r="D418" s="7" t="str">
        <f>"王祝花"</f>
        <v>王祝花</v>
      </c>
      <c r="E418" s="7" t="str">
        <f>"女"</f>
        <v>女</v>
      </c>
    </row>
    <row r="419" spans="1:5" ht="30" customHeight="1">
      <c r="A419" s="6">
        <v>417</v>
      </c>
      <c r="B419" s="7" t="str">
        <f>"2773202012221722121803"</f>
        <v>2773202012221722121803</v>
      </c>
      <c r="C419" s="7" t="s">
        <v>10</v>
      </c>
      <c r="D419" s="7" t="str">
        <f>"赖长江"</f>
        <v>赖长江</v>
      </c>
      <c r="E419" s="7" t="str">
        <f>"男"</f>
        <v>男</v>
      </c>
    </row>
    <row r="420" spans="1:5" ht="30" customHeight="1">
      <c r="A420" s="6">
        <v>418</v>
      </c>
      <c r="B420" s="7" t="str">
        <f>"2773202012221902561817"</f>
        <v>2773202012221902561817</v>
      </c>
      <c r="C420" s="7" t="s">
        <v>10</v>
      </c>
      <c r="D420" s="7" t="str">
        <f>"陈小艺"</f>
        <v>陈小艺</v>
      </c>
      <c r="E420" s="7" t="str">
        <f>"女"</f>
        <v>女</v>
      </c>
    </row>
    <row r="421" spans="1:5" ht="30" customHeight="1">
      <c r="A421" s="6">
        <v>419</v>
      </c>
      <c r="B421" s="7" t="str">
        <f>"27732020121709222873"</f>
        <v>27732020121709222873</v>
      </c>
      <c r="C421" s="7" t="s">
        <v>11</v>
      </c>
      <c r="D421" s="7" t="str">
        <f>"邢增攀"</f>
        <v>邢增攀</v>
      </c>
      <c r="E421" s="7" t="str">
        <f aca="true" t="shared" si="14" ref="E421:E442">"男"</f>
        <v>男</v>
      </c>
    </row>
    <row r="422" spans="1:5" ht="30" customHeight="1">
      <c r="A422" s="6">
        <v>420</v>
      </c>
      <c r="B422" s="7" t="str">
        <f>"277320201217094317110"</f>
        <v>277320201217094317110</v>
      </c>
      <c r="C422" s="7" t="s">
        <v>11</v>
      </c>
      <c r="D422" s="7" t="str">
        <f>"林资杰"</f>
        <v>林资杰</v>
      </c>
      <c r="E422" s="7" t="str">
        <f t="shared" si="14"/>
        <v>男</v>
      </c>
    </row>
    <row r="423" spans="1:5" ht="30" customHeight="1">
      <c r="A423" s="6">
        <v>421</v>
      </c>
      <c r="B423" s="7" t="str">
        <f>"277320201217094817127"</f>
        <v>277320201217094817127</v>
      </c>
      <c r="C423" s="7" t="s">
        <v>11</v>
      </c>
      <c r="D423" s="7" t="str">
        <f>"李忠锦"</f>
        <v>李忠锦</v>
      </c>
      <c r="E423" s="7" t="str">
        <f t="shared" si="14"/>
        <v>男</v>
      </c>
    </row>
    <row r="424" spans="1:5" ht="30" customHeight="1">
      <c r="A424" s="6">
        <v>422</v>
      </c>
      <c r="B424" s="7" t="str">
        <f>"277320201217095120135"</f>
        <v>277320201217095120135</v>
      </c>
      <c r="C424" s="7" t="s">
        <v>11</v>
      </c>
      <c r="D424" s="7" t="str">
        <f>"吴祖宽"</f>
        <v>吴祖宽</v>
      </c>
      <c r="E424" s="7" t="str">
        <f t="shared" si="14"/>
        <v>男</v>
      </c>
    </row>
    <row r="425" spans="1:5" ht="30" customHeight="1">
      <c r="A425" s="6">
        <v>423</v>
      </c>
      <c r="B425" s="7" t="str">
        <f>"277320201217095438143"</f>
        <v>277320201217095438143</v>
      </c>
      <c r="C425" s="7" t="s">
        <v>11</v>
      </c>
      <c r="D425" s="7" t="str">
        <f>"苏定民"</f>
        <v>苏定民</v>
      </c>
      <c r="E425" s="7" t="str">
        <f t="shared" si="14"/>
        <v>男</v>
      </c>
    </row>
    <row r="426" spans="1:5" ht="30" customHeight="1">
      <c r="A426" s="6">
        <v>424</v>
      </c>
      <c r="B426" s="7" t="str">
        <f>"277320201217101309188"</f>
        <v>277320201217101309188</v>
      </c>
      <c r="C426" s="7" t="s">
        <v>11</v>
      </c>
      <c r="D426" s="7" t="str">
        <f>"王德晓"</f>
        <v>王德晓</v>
      </c>
      <c r="E426" s="7" t="str">
        <f t="shared" si="14"/>
        <v>男</v>
      </c>
    </row>
    <row r="427" spans="1:5" ht="30" customHeight="1">
      <c r="A427" s="6">
        <v>425</v>
      </c>
      <c r="B427" s="7" t="str">
        <f>"277320201217101626193"</f>
        <v>277320201217101626193</v>
      </c>
      <c r="C427" s="7" t="s">
        <v>11</v>
      </c>
      <c r="D427" s="7" t="str">
        <f>"唐良"</f>
        <v>唐良</v>
      </c>
      <c r="E427" s="7" t="str">
        <f t="shared" si="14"/>
        <v>男</v>
      </c>
    </row>
    <row r="428" spans="1:5" ht="30" customHeight="1">
      <c r="A428" s="6">
        <v>426</v>
      </c>
      <c r="B428" s="7" t="str">
        <f>"277320201217102946222"</f>
        <v>277320201217102946222</v>
      </c>
      <c r="C428" s="7" t="s">
        <v>11</v>
      </c>
      <c r="D428" s="7" t="str">
        <f>"梁定铖"</f>
        <v>梁定铖</v>
      </c>
      <c r="E428" s="7" t="str">
        <f t="shared" si="14"/>
        <v>男</v>
      </c>
    </row>
    <row r="429" spans="1:5" ht="30" customHeight="1">
      <c r="A429" s="6">
        <v>427</v>
      </c>
      <c r="B429" s="7" t="str">
        <f>"277320201217103257226"</f>
        <v>277320201217103257226</v>
      </c>
      <c r="C429" s="7" t="s">
        <v>11</v>
      </c>
      <c r="D429" s="7" t="str">
        <f>"王杰"</f>
        <v>王杰</v>
      </c>
      <c r="E429" s="7" t="str">
        <f t="shared" si="14"/>
        <v>男</v>
      </c>
    </row>
    <row r="430" spans="1:5" ht="30" customHeight="1">
      <c r="A430" s="6">
        <v>428</v>
      </c>
      <c r="B430" s="7" t="str">
        <f>"277320201217105721275"</f>
        <v>277320201217105721275</v>
      </c>
      <c r="C430" s="7" t="s">
        <v>11</v>
      </c>
      <c r="D430" s="7" t="str">
        <f>"符志伟"</f>
        <v>符志伟</v>
      </c>
      <c r="E430" s="7" t="str">
        <f t="shared" si="14"/>
        <v>男</v>
      </c>
    </row>
    <row r="431" spans="1:5" ht="30" customHeight="1">
      <c r="A431" s="6">
        <v>429</v>
      </c>
      <c r="B431" s="7" t="str">
        <f>"277320201217110346287"</f>
        <v>277320201217110346287</v>
      </c>
      <c r="C431" s="7" t="s">
        <v>11</v>
      </c>
      <c r="D431" s="7" t="str">
        <f>"蓝心精"</f>
        <v>蓝心精</v>
      </c>
      <c r="E431" s="7" t="str">
        <f t="shared" si="14"/>
        <v>男</v>
      </c>
    </row>
    <row r="432" spans="1:5" ht="30" customHeight="1">
      <c r="A432" s="6">
        <v>430</v>
      </c>
      <c r="B432" s="7" t="str">
        <f>"277320201217113451321"</f>
        <v>277320201217113451321</v>
      </c>
      <c r="C432" s="7" t="s">
        <v>11</v>
      </c>
      <c r="D432" s="7" t="str">
        <f>"陈邦益"</f>
        <v>陈邦益</v>
      </c>
      <c r="E432" s="7" t="str">
        <f t="shared" si="14"/>
        <v>男</v>
      </c>
    </row>
    <row r="433" spans="1:5" ht="30" customHeight="1">
      <c r="A433" s="6">
        <v>431</v>
      </c>
      <c r="B433" s="7" t="str">
        <f>"277320201217125445404"</f>
        <v>277320201217125445404</v>
      </c>
      <c r="C433" s="7" t="s">
        <v>11</v>
      </c>
      <c r="D433" s="7" t="str">
        <f>"符俊铭"</f>
        <v>符俊铭</v>
      </c>
      <c r="E433" s="7" t="str">
        <f t="shared" si="14"/>
        <v>男</v>
      </c>
    </row>
    <row r="434" spans="1:5" ht="30" customHeight="1">
      <c r="A434" s="6">
        <v>432</v>
      </c>
      <c r="B434" s="7" t="str">
        <f>"277320201217142838448"</f>
        <v>277320201217142838448</v>
      </c>
      <c r="C434" s="7" t="s">
        <v>11</v>
      </c>
      <c r="D434" s="7" t="str">
        <f>"饶建刚"</f>
        <v>饶建刚</v>
      </c>
      <c r="E434" s="7" t="str">
        <f t="shared" si="14"/>
        <v>男</v>
      </c>
    </row>
    <row r="435" spans="1:5" ht="30" customHeight="1">
      <c r="A435" s="6">
        <v>433</v>
      </c>
      <c r="B435" s="7" t="str">
        <f>"277320201217150741475"</f>
        <v>277320201217150741475</v>
      </c>
      <c r="C435" s="7" t="s">
        <v>11</v>
      </c>
      <c r="D435" s="7" t="str">
        <f>"陈太梧"</f>
        <v>陈太梧</v>
      </c>
      <c r="E435" s="7" t="str">
        <f t="shared" si="14"/>
        <v>男</v>
      </c>
    </row>
    <row r="436" spans="1:5" ht="30" customHeight="1">
      <c r="A436" s="6">
        <v>434</v>
      </c>
      <c r="B436" s="7" t="str">
        <f>"277320201217155850526"</f>
        <v>277320201217155850526</v>
      </c>
      <c r="C436" s="7" t="s">
        <v>11</v>
      </c>
      <c r="D436" s="7" t="str">
        <f>"符良聪"</f>
        <v>符良聪</v>
      </c>
      <c r="E436" s="7" t="str">
        <f t="shared" si="14"/>
        <v>男</v>
      </c>
    </row>
    <row r="437" spans="1:5" ht="30" customHeight="1">
      <c r="A437" s="6">
        <v>435</v>
      </c>
      <c r="B437" s="7" t="str">
        <f>"277320201217164821571"</f>
        <v>277320201217164821571</v>
      </c>
      <c r="C437" s="7" t="s">
        <v>11</v>
      </c>
      <c r="D437" s="7" t="str">
        <f>"钟兴"</f>
        <v>钟兴</v>
      </c>
      <c r="E437" s="7" t="str">
        <f t="shared" si="14"/>
        <v>男</v>
      </c>
    </row>
    <row r="438" spans="1:5" ht="30" customHeight="1">
      <c r="A438" s="6">
        <v>436</v>
      </c>
      <c r="B438" s="7" t="str">
        <f>"277320201217181402623"</f>
        <v>277320201217181402623</v>
      </c>
      <c r="C438" s="7" t="s">
        <v>11</v>
      </c>
      <c r="D438" s="7" t="str">
        <f>"薛开智"</f>
        <v>薛开智</v>
      </c>
      <c r="E438" s="7" t="str">
        <f t="shared" si="14"/>
        <v>男</v>
      </c>
    </row>
    <row r="439" spans="1:5" ht="30" customHeight="1">
      <c r="A439" s="6">
        <v>437</v>
      </c>
      <c r="B439" s="7" t="str">
        <f>"277320201217185217645"</f>
        <v>277320201217185217645</v>
      </c>
      <c r="C439" s="7" t="s">
        <v>11</v>
      </c>
      <c r="D439" s="7" t="str">
        <f>"胥林帅"</f>
        <v>胥林帅</v>
      </c>
      <c r="E439" s="7" t="str">
        <f t="shared" si="14"/>
        <v>男</v>
      </c>
    </row>
    <row r="440" spans="1:5" ht="30" customHeight="1">
      <c r="A440" s="6">
        <v>438</v>
      </c>
      <c r="B440" s="7" t="str">
        <f>"277320201217200306686"</f>
        <v>277320201217200306686</v>
      </c>
      <c r="C440" s="7" t="s">
        <v>11</v>
      </c>
      <c r="D440" s="7" t="str">
        <f>"王康贤"</f>
        <v>王康贤</v>
      </c>
      <c r="E440" s="7" t="str">
        <f t="shared" si="14"/>
        <v>男</v>
      </c>
    </row>
    <row r="441" spans="1:5" ht="30" customHeight="1">
      <c r="A441" s="6">
        <v>439</v>
      </c>
      <c r="B441" s="7" t="str">
        <f>"277320201217203927709"</f>
        <v>277320201217203927709</v>
      </c>
      <c r="C441" s="7" t="s">
        <v>11</v>
      </c>
      <c r="D441" s="7" t="str">
        <f>"邓政源"</f>
        <v>邓政源</v>
      </c>
      <c r="E441" s="7" t="str">
        <f t="shared" si="14"/>
        <v>男</v>
      </c>
    </row>
    <row r="442" spans="1:5" ht="30" customHeight="1">
      <c r="A442" s="6">
        <v>440</v>
      </c>
      <c r="B442" s="7" t="str">
        <f>"277320201217220259757"</f>
        <v>277320201217220259757</v>
      </c>
      <c r="C442" s="7" t="s">
        <v>11</v>
      </c>
      <c r="D442" s="7" t="str">
        <f>"邱名文"</f>
        <v>邱名文</v>
      </c>
      <c r="E442" s="7" t="str">
        <f t="shared" si="14"/>
        <v>男</v>
      </c>
    </row>
    <row r="443" spans="1:5" ht="30" customHeight="1">
      <c r="A443" s="6">
        <v>441</v>
      </c>
      <c r="B443" s="7" t="str">
        <f>"277320201217220533760"</f>
        <v>277320201217220533760</v>
      </c>
      <c r="C443" s="7" t="s">
        <v>11</v>
      </c>
      <c r="D443" s="7" t="str">
        <f>"卓书鸿"</f>
        <v>卓书鸿</v>
      </c>
      <c r="E443" s="7" t="str">
        <f>"女"</f>
        <v>女</v>
      </c>
    </row>
    <row r="444" spans="1:5" ht="30" customHeight="1">
      <c r="A444" s="6">
        <v>442</v>
      </c>
      <c r="B444" s="7" t="str">
        <f>"277320201218095823858"</f>
        <v>277320201218095823858</v>
      </c>
      <c r="C444" s="7" t="s">
        <v>11</v>
      </c>
      <c r="D444" s="7" t="str">
        <f>"张福磊"</f>
        <v>张福磊</v>
      </c>
      <c r="E444" s="7" t="str">
        <f>"男"</f>
        <v>男</v>
      </c>
    </row>
    <row r="445" spans="1:5" ht="30" customHeight="1">
      <c r="A445" s="6">
        <v>443</v>
      </c>
      <c r="B445" s="7" t="str">
        <f>"277320201218110008892"</f>
        <v>277320201218110008892</v>
      </c>
      <c r="C445" s="7" t="s">
        <v>11</v>
      </c>
      <c r="D445" s="7" t="str">
        <f>"马梦戈"</f>
        <v>马梦戈</v>
      </c>
      <c r="E445" s="7" t="str">
        <f>"女"</f>
        <v>女</v>
      </c>
    </row>
    <row r="446" spans="1:5" ht="30" customHeight="1">
      <c r="A446" s="6">
        <v>444</v>
      </c>
      <c r="B446" s="7" t="str">
        <f>"277320201218112717905"</f>
        <v>277320201218112717905</v>
      </c>
      <c r="C446" s="7" t="s">
        <v>11</v>
      </c>
      <c r="D446" s="7" t="str">
        <f>"谢巧迪"</f>
        <v>谢巧迪</v>
      </c>
      <c r="E446" s="7" t="str">
        <f>"女"</f>
        <v>女</v>
      </c>
    </row>
    <row r="447" spans="1:5" ht="30" customHeight="1">
      <c r="A447" s="6">
        <v>445</v>
      </c>
      <c r="B447" s="7" t="str">
        <f>"2773202012181621071010"</f>
        <v>2773202012181621071010</v>
      </c>
      <c r="C447" s="7" t="s">
        <v>11</v>
      </c>
      <c r="D447" s="7" t="str">
        <f>"邝钰蓉"</f>
        <v>邝钰蓉</v>
      </c>
      <c r="E447" s="7" t="str">
        <f>"女"</f>
        <v>女</v>
      </c>
    </row>
    <row r="448" spans="1:5" ht="30" customHeight="1">
      <c r="A448" s="6">
        <v>446</v>
      </c>
      <c r="B448" s="7" t="str">
        <f>"2773202012182038331091"</f>
        <v>2773202012182038331091</v>
      </c>
      <c r="C448" s="7" t="s">
        <v>11</v>
      </c>
      <c r="D448" s="7" t="str">
        <f>"陈俊成"</f>
        <v>陈俊成</v>
      </c>
      <c r="E448" s="7" t="str">
        <f>"男"</f>
        <v>男</v>
      </c>
    </row>
    <row r="449" spans="1:5" ht="30" customHeight="1">
      <c r="A449" s="6">
        <v>447</v>
      </c>
      <c r="B449" s="7" t="str">
        <f>"2773202012182240051120"</f>
        <v>2773202012182240051120</v>
      </c>
      <c r="C449" s="7" t="s">
        <v>11</v>
      </c>
      <c r="D449" s="7" t="str">
        <f>"韦泽宁"</f>
        <v>韦泽宁</v>
      </c>
      <c r="E449" s="7" t="str">
        <f>"男"</f>
        <v>男</v>
      </c>
    </row>
    <row r="450" spans="1:5" ht="30" customHeight="1">
      <c r="A450" s="6">
        <v>448</v>
      </c>
      <c r="B450" s="7" t="str">
        <f>"2773202012190236231142"</f>
        <v>2773202012190236231142</v>
      </c>
      <c r="C450" s="7" t="s">
        <v>11</v>
      </c>
      <c r="D450" s="7" t="str">
        <f>"刘寰"</f>
        <v>刘寰</v>
      </c>
      <c r="E450" s="7" t="str">
        <f>"男"</f>
        <v>男</v>
      </c>
    </row>
    <row r="451" spans="1:5" ht="30" customHeight="1">
      <c r="A451" s="6">
        <v>449</v>
      </c>
      <c r="B451" s="7" t="str">
        <f>"2773202012192302211279"</f>
        <v>2773202012192302211279</v>
      </c>
      <c r="C451" s="7" t="s">
        <v>11</v>
      </c>
      <c r="D451" s="7" t="str">
        <f>"李芳勇"</f>
        <v>李芳勇</v>
      </c>
      <c r="E451" s="7" t="str">
        <f>"男"</f>
        <v>男</v>
      </c>
    </row>
    <row r="452" spans="1:5" ht="30" customHeight="1">
      <c r="A452" s="6">
        <v>450</v>
      </c>
      <c r="B452" s="7" t="str">
        <f>"2773202012201019271302"</f>
        <v>2773202012201019271302</v>
      </c>
      <c r="C452" s="7" t="s">
        <v>11</v>
      </c>
      <c r="D452" s="7" t="str">
        <f>"陈春雨"</f>
        <v>陈春雨</v>
      </c>
      <c r="E452" s="7" t="str">
        <f>"男"</f>
        <v>男</v>
      </c>
    </row>
    <row r="453" spans="1:5" ht="30" customHeight="1">
      <c r="A453" s="6">
        <v>451</v>
      </c>
      <c r="B453" s="7" t="str">
        <f>"2773202012201113341309"</f>
        <v>2773202012201113341309</v>
      </c>
      <c r="C453" s="7" t="s">
        <v>11</v>
      </c>
      <c r="D453" s="7" t="str">
        <f>"汤洋洋"</f>
        <v>汤洋洋</v>
      </c>
      <c r="E453" s="7" t="str">
        <f>"女"</f>
        <v>女</v>
      </c>
    </row>
    <row r="454" spans="1:5" ht="30" customHeight="1">
      <c r="A454" s="6">
        <v>452</v>
      </c>
      <c r="B454" s="7" t="str">
        <f>"2773202012201845541384"</f>
        <v>2773202012201845541384</v>
      </c>
      <c r="C454" s="7" t="s">
        <v>11</v>
      </c>
      <c r="D454" s="7" t="str">
        <f>"李应程"</f>
        <v>李应程</v>
      </c>
      <c r="E454" s="7" t="str">
        <f>"男"</f>
        <v>男</v>
      </c>
    </row>
    <row r="455" spans="1:5" ht="30" customHeight="1">
      <c r="A455" s="6">
        <v>453</v>
      </c>
      <c r="B455" s="7" t="str">
        <f>"2773202012201909281387"</f>
        <v>2773202012201909281387</v>
      </c>
      <c r="C455" s="7" t="s">
        <v>11</v>
      </c>
      <c r="D455" s="7" t="str">
        <f>"王少华"</f>
        <v>王少华</v>
      </c>
      <c r="E455" s="7" t="str">
        <f>"男"</f>
        <v>男</v>
      </c>
    </row>
    <row r="456" spans="1:5" ht="30" customHeight="1">
      <c r="A456" s="6">
        <v>454</v>
      </c>
      <c r="B456" s="7" t="str">
        <f>"2773202012202041561400"</f>
        <v>2773202012202041561400</v>
      </c>
      <c r="C456" s="7" t="s">
        <v>11</v>
      </c>
      <c r="D456" s="7" t="str">
        <f>"林树本 "</f>
        <v>林树本 </v>
      </c>
      <c r="E456" s="7" t="str">
        <f>"男"</f>
        <v>男</v>
      </c>
    </row>
    <row r="457" spans="1:5" ht="30" customHeight="1">
      <c r="A457" s="6">
        <v>455</v>
      </c>
      <c r="B457" s="7" t="str">
        <f>"2773202012210200491449"</f>
        <v>2773202012210200491449</v>
      </c>
      <c r="C457" s="7" t="s">
        <v>11</v>
      </c>
      <c r="D457" s="7" t="str">
        <f>"郑远镭"</f>
        <v>郑远镭</v>
      </c>
      <c r="E457" s="7" t="str">
        <f>"男"</f>
        <v>男</v>
      </c>
    </row>
    <row r="458" spans="1:5" ht="30" customHeight="1">
      <c r="A458" s="6">
        <v>456</v>
      </c>
      <c r="B458" s="7" t="str">
        <f>"2773202012211259061548"</f>
        <v>2773202012211259061548</v>
      </c>
      <c r="C458" s="7" t="s">
        <v>11</v>
      </c>
      <c r="D458" s="7" t="str">
        <f>"张长女"</f>
        <v>张长女</v>
      </c>
      <c r="E458" s="7" t="str">
        <f>"女"</f>
        <v>女</v>
      </c>
    </row>
    <row r="459" spans="1:5" ht="30" customHeight="1">
      <c r="A459" s="6">
        <v>457</v>
      </c>
      <c r="B459" s="7" t="str">
        <f>"2773202012221139331726"</f>
        <v>2773202012221139331726</v>
      </c>
      <c r="C459" s="7" t="s">
        <v>11</v>
      </c>
      <c r="D459" s="7" t="str">
        <f>"符洪星"</f>
        <v>符洪星</v>
      </c>
      <c r="E459" s="7" t="str">
        <f>"男"</f>
        <v>男</v>
      </c>
    </row>
    <row r="460" spans="1:5" ht="30" customHeight="1">
      <c r="A460" s="6">
        <v>458</v>
      </c>
      <c r="B460" s="7" t="str">
        <f>"27732020121709342196"</f>
        <v>27732020121709342196</v>
      </c>
      <c r="C460" s="7" t="s">
        <v>12</v>
      </c>
      <c r="D460" s="7" t="str">
        <f>"练然"</f>
        <v>练然</v>
      </c>
      <c r="E460" s="7" t="str">
        <f>"女"</f>
        <v>女</v>
      </c>
    </row>
    <row r="461" spans="1:5" ht="30" customHeight="1">
      <c r="A461" s="6">
        <v>459</v>
      </c>
      <c r="B461" s="7" t="str">
        <f>"277320201217094344113"</f>
        <v>277320201217094344113</v>
      </c>
      <c r="C461" s="7" t="s">
        <v>12</v>
      </c>
      <c r="D461" s="7" t="str">
        <f>"符世侦"</f>
        <v>符世侦</v>
      </c>
      <c r="E461" s="7" t="str">
        <f>"男"</f>
        <v>男</v>
      </c>
    </row>
    <row r="462" spans="1:5" ht="30" customHeight="1">
      <c r="A462" s="6">
        <v>460</v>
      </c>
      <c r="B462" s="7" t="str">
        <f>"277320201217130011408"</f>
        <v>277320201217130011408</v>
      </c>
      <c r="C462" s="7" t="s">
        <v>12</v>
      </c>
      <c r="D462" s="7" t="str">
        <f>"王秋平"</f>
        <v>王秋平</v>
      </c>
      <c r="E462" s="7" t="str">
        <f>"女"</f>
        <v>女</v>
      </c>
    </row>
    <row r="463" spans="1:5" ht="30" customHeight="1">
      <c r="A463" s="6">
        <v>461</v>
      </c>
      <c r="B463" s="7" t="str">
        <f>"277320201217161417547"</f>
        <v>277320201217161417547</v>
      </c>
      <c r="C463" s="7" t="s">
        <v>12</v>
      </c>
      <c r="D463" s="7" t="str">
        <f>"张小慧"</f>
        <v>张小慧</v>
      </c>
      <c r="E463" s="7" t="str">
        <f>"女"</f>
        <v>女</v>
      </c>
    </row>
    <row r="464" spans="1:5" ht="30" customHeight="1">
      <c r="A464" s="6">
        <v>462</v>
      </c>
      <c r="B464" s="7" t="str">
        <f>"277320201217162409553"</f>
        <v>277320201217162409553</v>
      </c>
      <c r="C464" s="7" t="s">
        <v>12</v>
      </c>
      <c r="D464" s="7" t="str">
        <f>"韦亚彬"</f>
        <v>韦亚彬</v>
      </c>
      <c r="E464" s="7" t="str">
        <f>"男"</f>
        <v>男</v>
      </c>
    </row>
    <row r="465" spans="1:5" ht="30" customHeight="1">
      <c r="A465" s="6">
        <v>463</v>
      </c>
      <c r="B465" s="7" t="str">
        <f>"277320201217170157581"</f>
        <v>277320201217170157581</v>
      </c>
      <c r="C465" s="7" t="s">
        <v>12</v>
      </c>
      <c r="D465" s="7" t="str">
        <f>"谢荣君"</f>
        <v>谢荣君</v>
      </c>
      <c r="E465" s="7" t="str">
        <f>"男"</f>
        <v>男</v>
      </c>
    </row>
    <row r="466" spans="1:5" ht="30" customHeight="1">
      <c r="A466" s="6">
        <v>464</v>
      </c>
      <c r="B466" s="7" t="str">
        <f>"277320201217192146665"</f>
        <v>277320201217192146665</v>
      </c>
      <c r="C466" s="7" t="s">
        <v>12</v>
      </c>
      <c r="D466" s="7" t="str">
        <f>"邓佳"</f>
        <v>邓佳</v>
      </c>
      <c r="E466" s="7" t="str">
        <f>"男"</f>
        <v>男</v>
      </c>
    </row>
    <row r="467" spans="1:5" ht="30" customHeight="1">
      <c r="A467" s="6">
        <v>465</v>
      </c>
      <c r="B467" s="7" t="str">
        <f>"277320201217193559676"</f>
        <v>277320201217193559676</v>
      </c>
      <c r="C467" s="7" t="s">
        <v>12</v>
      </c>
      <c r="D467" s="7" t="str">
        <f>"陈灼"</f>
        <v>陈灼</v>
      </c>
      <c r="E467" s="7" t="str">
        <f>"男"</f>
        <v>男</v>
      </c>
    </row>
    <row r="468" spans="1:5" ht="30" customHeight="1">
      <c r="A468" s="6">
        <v>466</v>
      </c>
      <c r="B468" s="7" t="str">
        <f>"277320201218102913871"</f>
        <v>277320201218102913871</v>
      </c>
      <c r="C468" s="7" t="s">
        <v>12</v>
      </c>
      <c r="D468" s="7" t="str">
        <f>"李扬佳"</f>
        <v>李扬佳</v>
      </c>
      <c r="E468" s="7" t="str">
        <f>"女"</f>
        <v>女</v>
      </c>
    </row>
    <row r="469" spans="1:5" ht="30" customHeight="1">
      <c r="A469" s="6">
        <v>467</v>
      </c>
      <c r="B469" s="7" t="str">
        <f>"277320201218104515877"</f>
        <v>277320201218104515877</v>
      </c>
      <c r="C469" s="7" t="s">
        <v>12</v>
      </c>
      <c r="D469" s="7" t="str">
        <f>"黄琪"</f>
        <v>黄琪</v>
      </c>
      <c r="E469" s="7" t="str">
        <f>"女"</f>
        <v>女</v>
      </c>
    </row>
    <row r="470" spans="1:5" ht="30" customHeight="1">
      <c r="A470" s="6">
        <v>468</v>
      </c>
      <c r="B470" s="7" t="str">
        <f>"2773202012181807071054"</f>
        <v>2773202012181807071054</v>
      </c>
      <c r="C470" s="7" t="s">
        <v>12</v>
      </c>
      <c r="D470" s="7" t="str">
        <f>"张宇峰"</f>
        <v>张宇峰</v>
      </c>
      <c r="E470" s="7" t="str">
        <f>"男"</f>
        <v>男</v>
      </c>
    </row>
    <row r="471" spans="1:5" ht="30" customHeight="1">
      <c r="A471" s="6">
        <v>469</v>
      </c>
      <c r="B471" s="7" t="str">
        <f>"2773202012191942531235"</f>
        <v>2773202012191942531235</v>
      </c>
      <c r="C471" s="7" t="s">
        <v>12</v>
      </c>
      <c r="D471" s="7" t="str">
        <f>"莫美劲"</f>
        <v>莫美劲</v>
      </c>
      <c r="E471" s="7" t="str">
        <f>"男"</f>
        <v>男</v>
      </c>
    </row>
    <row r="472" spans="1:5" ht="30" customHeight="1">
      <c r="A472" s="6">
        <v>470</v>
      </c>
      <c r="B472" s="7" t="str">
        <f>"2773202012201314371335"</f>
        <v>2773202012201314371335</v>
      </c>
      <c r="C472" s="7" t="s">
        <v>12</v>
      </c>
      <c r="D472" s="7" t="str">
        <f>"王伟冰"</f>
        <v>王伟冰</v>
      </c>
      <c r="E472" s="7" t="str">
        <f>"男"</f>
        <v>男</v>
      </c>
    </row>
    <row r="473" spans="1:5" ht="30" customHeight="1">
      <c r="A473" s="6">
        <v>471</v>
      </c>
      <c r="B473" s="7" t="str">
        <f>"2773202012201925161389"</f>
        <v>2773202012201925161389</v>
      </c>
      <c r="C473" s="7" t="s">
        <v>12</v>
      </c>
      <c r="D473" s="7" t="str">
        <f>"郝曦"</f>
        <v>郝曦</v>
      </c>
      <c r="E473" s="7" t="str">
        <f>"男"</f>
        <v>男</v>
      </c>
    </row>
    <row r="474" spans="1:5" ht="30" customHeight="1">
      <c r="A474" s="6">
        <v>472</v>
      </c>
      <c r="B474" s="7" t="str">
        <f>"2773202012211104131515"</f>
        <v>2773202012211104131515</v>
      </c>
      <c r="C474" s="7" t="s">
        <v>12</v>
      </c>
      <c r="D474" s="7" t="str">
        <f>"冯佳乐"</f>
        <v>冯佳乐</v>
      </c>
      <c r="E474" s="7" t="str">
        <f>"女"</f>
        <v>女</v>
      </c>
    </row>
    <row r="475" spans="1:5" ht="30" customHeight="1">
      <c r="A475" s="6">
        <v>473</v>
      </c>
      <c r="B475" s="7" t="str">
        <f>"2773202012211203151537"</f>
        <v>2773202012211203151537</v>
      </c>
      <c r="C475" s="7" t="s">
        <v>12</v>
      </c>
      <c r="D475" s="7" t="str">
        <f>"王秀云"</f>
        <v>王秀云</v>
      </c>
      <c r="E475" s="7" t="str">
        <f>"男"</f>
        <v>男</v>
      </c>
    </row>
    <row r="476" spans="1:5" ht="30" customHeight="1">
      <c r="A476" s="6">
        <v>474</v>
      </c>
      <c r="B476" s="7" t="str">
        <f>"2773202012211438511562"</f>
        <v>2773202012211438511562</v>
      </c>
      <c r="C476" s="7" t="s">
        <v>12</v>
      </c>
      <c r="D476" s="7" t="str">
        <f>"郑鹏"</f>
        <v>郑鹏</v>
      </c>
      <c r="E476" s="7" t="str">
        <f>"男"</f>
        <v>男</v>
      </c>
    </row>
    <row r="477" spans="1:5" ht="30" customHeight="1">
      <c r="A477" s="6">
        <v>475</v>
      </c>
      <c r="B477" s="7" t="str">
        <f>"2773202012221621461783"</f>
        <v>2773202012221621461783</v>
      </c>
      <c r="C477" s="7" t="s">
        <v>12</v>
      </c>
      <c r="D477" s="7" t="str">
        <f>"王杰"</f>
        <v>王杰</v>
      </c>
      <c r="E477" s="7" t="str">
        <f>"男"</f>
        <v>男</v>
      </c>
    </row>
    <row r="478" spans="1:5" ht="30" customHeight="1">
      <c r="A478" s="6">
        <v>476</v>
      </c>
      <c r="B478" s="7" t="str">
        <f>"2773202012222254411869"</f>
        <v>2773202012222254411869</v>
      </c>
      <c r="C478" s="7" t="s">
        <v>12</v>
      </c>
      <c r="D478" s="7" t="str">
        <f>"黄洪拓"</f>
        <v>黄洪拓</v>
      </c>
      <c r="E478" s="7" t="str">
        <f>"男"</f>
        <v>男</v>
      </c>
    </row>
    <row r="479" spans="1:5" ht="30" customHeight="1">
      <c r="A479" s="6">
        <v>477</v>
      </c>
      <c r="B479" s="7" t="str">
        <f>"277320201217103141225"</f>
        <v>277320201217103141225</v>
      </c>
      <c r="C479" s="7" t="s">
        <v>13</v>
      </c>
      <c r="D479" s="7" t="str">
        <f>"王洁琪"</f>
        <v>王洁琪</v>
      </c>
      <c r="E479" s="7" t="str">
        <f>"女"</f>
        <v>女</v>
      </c>
    </row>
    <row r="480" spans="1:5" ht="30" customHeight="1">
      <c r="A480" s="6">
        <v>478</v>
      </c>
      <c r="B480" s="7" t="str">
        <f>"277320201217122907380"</f>
        <v>277320201217122907380</v>
      </c>
      <c r="C480" s="7" t="s">
        <v>13</v>
      </c>
      <c r="D480" s="7" t="str">
        <f>"蒋荟芳"</f>
        <v>蒋荟芳</v>
      </c>
      <c r="E480" s="7" t="str">
        <f>"女"</f>
        <v>女</v>
      </c>
    </row>
    <row r="481" spans="1:5" ht="30" customHeight="1">
      <c r="A481" s="6">
        <v>479</v>
      </c>
      <c r="B481" s="7" t="str">
        <f>"277320201217212622734"</f>
        <v>277320201217212622734</v>
      </c>
      <c r="C481" s="7" t="s">
        <v>13</v>
      </c>
      <c r="D481" s="7" t="str">
        <f>"冯译锐"</f>
        <v>冯译锐</v>
      </c>
      <c r="E481" s="7" t="str">
        <f>"男"</f>
        <v>男</v>
      </c>
    </row>
    <row r="482" spans="1:5" ht="30" customHeight="1">
      <c r="A482" s="6">
        <v>480</v>
      </c>
      <c r="B482" s="7" t="str">
        <f>"277320201217221121762"</f>
        <v>277320201217221121762</v>
      </c>
      <c r="C482" s="7" t="s">
        <v>13</v>
      </c>
      <c r="D482" s="7" t="str">
        <f>"韩白翠"</f>
        <v>韩白翠</v>
      </c>
      <c r="E482" s="7" t="str">
        <f>"女"</f>
        <v>女</v>
      </c>
    </row>
    <row r="483" spans="1:5" ht="30" customHeight="1">
      <c r="A483" s="6">
        <v>481</v>
      </c>
      <c r="B483" s="7" t="str">
        <f>"277320201217233958794"</f>
        <v>277320201217233958794</v>
      </c>
      <c r="C483" s="7" t="s">
        <v>13</v>
      </c>
      <c r="D483" s="7" t="str">
        <f>"符倩珍"</f>
        <v>符倩珍</v>
      </c>
      <c r="E483" s="7" t="str">
        <f>"女"</f>
        <v>女</v>
      </c>
    </row>
    <row r="484" spans="1:5" ht="30" customHeight="1">
      <c r="A484" s="6">
        <v>482</v>
      </c>
      <c r="B484" s="7" t="str">
        <f>"2773202012201323251337"</f>
        <v>2773202012201323251337</v>
      </c>
      <c r="C484" s="7" t="s">
        <v>13</v>
      </c>
      <c r="D484" s="7" t="str">
        <f>"符雅丽"</f>
        <v>符雅丽</v>
      </c>
      <c r="E484" s="7" t="str">
        <f>"女"</f>
        <v>女</v>
      </c>
    </row>
    <row r="485" spans="1:5" ht="30" customHeight="1">
      <c r="A485" s="6">
        <v>483</v>
      </c>
      <c r="B485" s="7" t="str">
        <f>"2773202012222320471877"</f>
        <v>2773202012222320471877</v>
      </c>
      <c r="C485" s="7" t="s">
        <v>13</v>
      </c>
      <c r="D485" s="7" t="str">
        <f>"符传俊"</f>
        <v>符传俊</v>
      </c>
      <c r="E485" s="7" t="str">
        <f>"男"</f>
        <v>男</v>
      </c>
    </row>
    <row r="486" spans="1:5" ht="30" customHeight="1">
      <c r="A486" s="6">
        <v>484</v>
      </c>
      <c r="B486" s="7" t="str">
        <f>"277320201217095637151"</f>
        <v>277320201217095637151</v>
      </c>
      <c r="C486" s="7" t="s">
        <v>14</v>
      </c>
      <c r="D486" s="7" t="str">
        <f>"谭翮"</f>
        <v>谭翮</v>
      </c>
      <c r="E486" s="7" t="str">
        <f>"女"</f>
        <v>女</v>
      </c>
    </row>
    <row r="487" spans="1:5" ht="30" customHeight="1">
      <c r="A487" s="6">
        <v>485</v>
      </c>
      <c r="B487" s="7" t="str">
        <f>"277320201217112625313"</f>
        <v>277320201217112625313</v>
      </c>
      <c r="C487" s="7" t="s">
        <v>14</v>
      </c>
      <c r="D487" s="7" t="str">
        <f>"高瑞秋"</f>
        <v>高瑞秋</v>
      </c>
      <c r="E487" s="7" t="str">
        <f>"女"</f>
        <v>女</v>
      </c>
    </row>
    <row r="488" spans="1:5" ht="30" customHeight="1">
      <c r="A488" s="6">
        <v>486</v>
      </c>
      <c r="B488" s="7" t="str">
        <f>"277320201217123647393"</f>
        <v>277320201217123647393</v>
      </c>
      <c r="C488" s="7" t="s">
        <v>14</v>
      </c>
      <c r="D488" s="7" t="str">
        <f>"陈倩"</f>
        <v>陈倩</v>
      </c>
      <c r="E488" s="7" t="str">
        <f>"女"</f>
        <v>女</v>
      </c>
    </row>
    <row r="489" spans="1:5" ht="30" customHeight="1">
      <c r="A489" s="6">
        <v>487</v>
      </c>
      <c r="B489" s="7" t="str">
        <f>"277320201217144406458"</f>
        <v>277320201217144406458</v>
      </c>
      <c r="C489" s="7" t="s">
        <v>14</v>
      </c>
      <c r="D489" s="7" t="str">
        <f>"王小倩"</f>
        <v>王小倩</v>
      </c>
      <c r="E489" s="7" t="str">
        <f>"女"</f>
        <v>女</v>
      </c>
    </row>
    <row r="490" spans="1:5" ht="30" customHeight="1">
      <c r="A490" s="6">
        <v>488</v>
      </c>
      <c r="B490" s="7" t="str">
        <f>"277320201217193804678"</f>
        <v>277320201217193804678</v>
      </c>
      <c r="C490" s="7" t="s">
        <v>14</v>
      </c>
      <c r="D490" s="7" t="str">
        <f>"陈求泽"</f>
        <v>陈求泽</v>
      </c>
      <c r="E490" s="7" t="str">
        <f>"男"</f>
        <v>男</v>
      </c>
    </row>
    <row r="491" spans="1:5" ht="30" customHeight="1">
      <c r="A491" s="6">
        <v>489</v>
      </c>
      <c r="B491" s="7" t="str">
        <f>"277320201218144705964"</f>
        <v>277320201218144705964</v>
      </c>
      <c r="C491" s="7" t="s">
        <v>14</v>
      </c>
      <c r="D491" s="7" t="str">
        <f>"潘瑜"</f>
        <v>潘瑜</v>
      </c>
      <c r="E491" s="7" t="str">
        <f>"女"</f>
        <v>女</v>
      </c>
    </row>
    <row r="492" spans="1:5" ht="30" customHeight="1">
      <c r="A492" s="6">
        <v>490</v>
      </c>
      <c r="B492" s="7" t="str">
        <f>"2773202012182327031127"</f>
        <v>2773202012182327031127</v>
      </c>
      <c r="C492" s="7" t="s">
        <v>14</v>
      </c>
      <c r="D492" s="7" t="str">
        <f>"黄金苗"</f>
        <v>黄金苗</v>
      </c>
      <c r="E492" s="7" t="str">
        <f>"女"</f>
        <v>女</v>
      </c>
    </row>
    <row r="493" spans="1:5" ht="30" customHeight="1">
      <c r="A493" s="6">
        <v>491</v>
      </c>
      <c r="B493" s="7" t="str">
        <f>"2773202012202249221430"</f>
        <v>2773202012202249221430</v>
      </c>
      <c r="C493" s="7" t="s">
        <v>14</v>
      </c>
      <c r="D493" s="7" t="str">
        <f>"符启莹"</f>
        <v>符启莹</v>
      </c>
      <c r="E493" s="7" t="str">
        <f>"女"</f>
        <v>女</v>
      </c>
    </row>
    <row r="494" spans="1:5" ht="30" customHeight="1">
      <c r="A494" s="6">
        <v>492</v>
      </c>
      <c r="B494" s="6" t="str">
        <f>"2773202012211805051624"</f>
        <v>2773202012211805051624</v>
      </c>
      <c r="C494" s="6" t="s">
        <v>14</v>
      </c>
      <c r="D494" s="6" t="str">
        <f>"符慧琴"</f>
        <v>符慧琴</v>
      </c>
      <c r="E494" s="6" t="str">
        <f>"女"</f>
        <v>女</v>
      </c>
    </row>
    <row r="495" spans="1:5" ht="30" customHeight="1">
      <c r="A495" s="6">
        <v>493</v>
      </c>
      <c r="B495" s="7" t="str">
        <f>"277320201217115345344"</f>
        <v>277320201217115345344</v>
      </c>
      <c r="C495" s="7" t="s">
        <v>15</v>
      </c>
      <c r="D495" s="7" t="str">
        <f>"黄仁科"</f>
        <v>黄仁科</v>
      </c>
      <c r="E495" s="7" t="str">
        <f>"男"</f>
        <v>男</v>
      </c>
    </row>
    <row r="496" spans="1:5" ht="30" customHeight="1">
      <c r="A496" s="6">
        <v>494</v>
      </c>
      <c r="B496" s="7" t="str">
        <f>"277320201218111918902"</f>
        <v>277320201218111918902</v>
      </c>
      <c r="C496" s="7" t="s">
        <v>15</v>
      </c>
      <c r="D496" s="7" t="str">
        <f>"梁静"</f>
        <v>梁静</v>
      </c>
      <c r="E496" s="7" t="str">
        <f>"女"</f>
        <v>女</v>
      </c>
    </row>
    <row r="497" spans="1:5" ht="30" customHeight="1">
      <c r="A497" s="6">
        <v>495</v>
      </c>
      <c r="B497" s="7" t="str">
        <f>"2773202012210306321450"</f>
        <v>2773202012210306321450</v>
      </c>
      <c r="C497" s="7" t="s">
        <v>15</v>
      </c>
      <c r="D497" s="7" t="str">
        <f>"符重阳"</f>
        <v>符重阳</v>
      </c>
      <c r="E497" s="7" t="str">
        <f>"男"</f>
        <v>男</v>
      </c>
    </row>
    <row r="498" spans="1:5" ht="30" customHeight="1">
      <c r="A498" s="6">
        <v>496</v>
      </c>
      <c r="B498" s="7" t="str">
        <f>"2773202012170902388"</f>
        <v>2773202012170902388</v>
      </c>
      <c r="C498" s="7" t="s">
        <v>16</v>
      </c>
      <c r="D498" s="7" t="str">
        <f>"文帅"</f>
        <v>文帅</v>
      </c>
      <c r="E498" s="7" t="str">
        <f>"男"</f>
        <v>男</v>
      </c>
    </row>
    <row r="499" spans="1:5" ht="30" customHeight="1">
      <c r="A499" s="6">
        <v>497</v>
      </c>
      <c r="B499" s="7" t="str">
        <f>"27732020121709033111"</f>
        <v>27732020121709033111</v>
      </c>
      <c r="C499" s="7" t="s">
        <v>16</v>
      </c>
      <c r="D499" s="7" t="str">
        <f>"吴泌雨"</f>
        <v>吴泌雨</v>
      </c>
      <c r="E499" s="7" t="str">
        <f>"男"</f>
        <v>男</v>
      </c>
    </row>
    <row r="500" spans="1:5" ht="30" customHeight="1">
      <c r="A500" s="6">
        <v>498</v>
      </c>
      <c r="B500" s="7" t="str">
        <f>"27732020121709111545"</f>
        <v>27732020121709111545</v>
      </c>
      <c r="C500" s="7" t="s">
        <v>16</v>
      </c>
      <c r="D500" s="7" t="str">
        <f>"高嘉孺"</f>
        <v>高嘉孺</v>
      </c>
      <c r="E500" s="7" t="str">
        <f>"女"</f>
        <v>女</v>
      </c>
    </row>
    <row r="501" spans="1:5" ht="30" customHeight="1">
      <c r="A501" s="6">
        <v>499</v>
      </c>
      <c r="B501" s="7" t="str">
        <f>"27732020121709204568"</f>
        <v>27732020121709204568</v>
      </c>
      <c r="C501" s="7" t="s">
        <v>16</v>
      </c>
      <c r="D501" s="7" t="str">
        <f>"王俊强"</f>
        <v>王俊强</v>
      </c>
      <c r="E501" s="7" t="str">
        <f>"男"</f>
        <v>男</v>
      </c>
    </row>
    <row r="502" spans="1:5" ht="30" customHeight="1">
      <c r="A502" s="6">
        <v>500</v>
      </c>
      <c r="B502" s="7" t="str">
        <f>"27732020121709275784"</f>
        <v>27732020121709275784</v>
      </c>
      <c r="C502" s="7" t="s">
        <v>16</v>
      </c>
      <c r="D502" s="7" t="str">
        <f>"林春雄"</f>
        <v>林春雄</v>
      </c>
      <c r="E502" s="7" t="str">
        <f>"男"</f>
        <v>男</v>
      </c>
    </row>
    <row r="503" spans="1:5" ht="30" customHeight="1">
      <c r="A503" s="6">
        <v>501</v>
      </c>
      <c r="B503" s="7" t="str">
        <f>"27732020121709312589"</f>
        <v>27732020121709312589</v>
      </c>
      <c r="C503" s="7" t="s">
        <v>16</v>
      </c>
      <c r="D503" s="7" t="str">
        <f>"郑宝恒"</f>
        <v>郑宝恒</v>
      </c>
      <c r="E503" s="7" t="str">
        <f>"男"</f>
        <v>男</v>
      </c>
    </row>
    <row r="504" spans="1:5" ht="30" customHeight="1">
      <c r="A504" s="6">
        <v>502</v>
      </c>
      <c r="B504" s="7" t="str">
        <f>"277320201217093723101"</f>
        <v>277320201217093723101</v>
      </c>
      <c r="C504" s="7" t="s">
        <v>16</v>
      </c>
      <c r="D504" s="7" t="str">
        <f>"颜志刚"</f>
        <v>颜志刚</v>
      </c>
      <c r="E504" s="7" t="str">
        <f>"男"</f>
        <v>男</v>
      </c>
    </row>
    <row r="505" spans="1:5" ht="30" customHeight="1">
      <c r="A505" s="6">
        <v>503</v>
      </c>
      <c r="B505" s="7" t="str">
        <f>"277320201217094636121"</f>
        <v>277320201217094636121</v>
      </c>
      <c r="C505" s="7" t="s">
        <v>16</v>
      </c>
      <c r="D505" s="7" t="str">
        <f>"陈寒冰"</f>
        <v>陈寒冰</v>
      </c>
      <c r="E505" s="7" t="str">
        <f>"女"</f>
        <v>女</v>
      </c>
    </row>
    <row r="506" spans="1:5" ht="30" customHeight="1">
      <c r="A506" s="6">
        <v>504</v>
      </c>
      <c r="B506" s="7" t="str">
        <f>"277320201217094731126"</f>
        <v>277320201217094731126</v>
      </c>
      <c r="C506" s="7" t="s">
        <v>16</v>
      </c>
      <c r="D506" s="7" t="str">
        <f>"韦海波"</f>
        <v>韦海波</v>
      </c>
      <c r="E506" s="7" t="str">
        <f aca="true" t="shared" si="15" ref="E506:E513">"男"</f>
        <v>男</v>
      </c>
    </row>
    <row r="507" spans="1:5" ht="30" customHeight="1">
      <c r="A507" s="6">
        <v>505</v>
      </c>
      <c r="B507" s="7" t="str">
        <f>"277320201217100535164"</f>
        <v>277320201217100535164</v>
      </c>
      <c r="C507" s="7" t="s">
        <v>16</v>
      </c>
      <c r="D507" s="7" t="str">
        <f>"张博云"</f>
        <v>张博云</v>
      </c>
      <c r="E507" s="7" t="str">
        <f t="shared" si="15"/>
        <v>男</v>
      </c>
    </row>
    <row r="508" spans="1:5" ht="30" customHeight="1">
      <c r="A508" s="6">
        <v>506</v>
      </c>
      <c r="B508" s="7" t="str">
        <f>"277320201217101406189"</f>
        <v>277320201217101406189</v>
      </c>
      <c r="C508" s="7" t="s">
        <v>16</v>
      </c>
      <c r="D508" s="7" t="str">
        <f>"麦贤杰"</f>
        <v>麦贤杰</v>
      </c>
      <c r="E508" s="7" t="str">
        <f t="shared" si="15"/>
        <v>男</v>
      </c>
    </row>
    <row r="509" spans="1:5" ht="30" customHeight="1">
      <c r="A509" s="6">
        <v>507</v>
      </c>
      <c r="B509" s="7" t="str">
        <f>"277320201217101450190"</f>
        <v>277320201217101450190</v>
      </c>
      <c r="C509" s="7" t="s">
        <v>16</v>
      </c>
      <c r="D509" s="7" t="str">
        <f>"李昌权"</f>
        <v>李昌权</v>
      </c>
      <c r="E509" s="7" t="str">
        <f t="shared" si="15"/>
        <v>男</v>
      </c>
    </row>
    <row r="510" spans="1:5" ht="30" customHeight="1">
      <c r="A510" s="6">
        <v>508</v>
      </c>
      <c r="B510" s="7" t="str">
        <f>"277320201217102342208"</f>
        <v>277320201217102342208</v>
      </c>
      <c r="C510" s="7" t="s">
        <v>16</v>
      </c>
      <c r="D510" s="7" t="str">
        <f>"陈荣业"</f>
        <v>陈荣业</v>
      </c>
      <c r="E510" s="7" t="str">
        <f t="shared" si="15"/>
        <v>男</v>
      </c>
    </row>
    <row r="511" spans="1:5" ht="30" customHeight="1">
      <c r="A511" s="6">
        <v>509</v>
      </c>
      <c r="B511" s="7" t="str">
        <f>"277320201217105455271"</f>
        <v>277320201217105455271</v>
      </c>
      <c r="C511" s="7" t="s">
        <v>16</v>
      </c>
      <c r="D511" s="7" t="str">
        <f>"黄才福"</f>
        <v>黄才福</v>
      </c>
      <c r="E511" s="7" t="str">
        <f t="shared" si="15"/>
        <v>男</v>
      </c>
    </row>
    <row r="512" spans="1:5" ht="30" customHeight="1">
      <c r="A512" s="6">
        <v>510</v>
      </c>
      <c r="B512" s="7" t="str">
        <f>"277320201217113511322"</f>
        <v>277320201217113511322</v>
      </c>
      <c r="C512" s="7" t="s">
        <v>16</v>
      </c>
      <c r="D512" s="7" t="str">
        <f>"薛以浩"</f>
        <v>薛以浩</v>
      </c>
      <c r="E512" s="7" t="str">
        <f t="shared" si="15"/>
        <v>男</v>
      </c>
    </row>
    <row r="513" spans="1:5" ht="30" customHeight="1">
      <c r="A513" s="6">
        <v>511</v>
      </c>
      <c r="B513" s="7" t="str">
        <f>"277320201217115226342"</f>
        <v>277320201217115226342</v>
      </c>
      <c r="C513" s="7" t="s">
        <v>16</v>
      </c>
      <c r="D513" s="7" t="str">
        <f>"刘书海"</f>
        <v>刘书海</v>
      </c>
      <c r="E513" s="7" t="str">
        <f t="shared" si="15"/>
        <v>男</v>
      </c>
    </row>
    <row r="514" spans="1:5" ht="30" customHeight="1">
      <c r="A514" s="6">
        <v>512</v>
      </c>
      <c r="B514" s="7" t="str">
        <f>"277320201217115622348"</f>
        <v>277320201217115622348</v>
      </c>
      <c r="C514" s="7" t="s">
        <v>16</v>
      </c>
      <c r="D514" s="7" t="str">
        <f>"蔡雨婷"</f>
        <v>蔡雨婷</v>
      </c>
      <c r="E514" s="7" t="str">
        <f>"女"</f>
        <v>女</v>
      </c>
    </row>
    <row r="515" spans="1:5" ht="30" customHeight="1">
      <c r="A515" s="6">
        <v>513</v>
      </c>
      <c r="B515" s="7" t="str">
        <f>"277320201217120541357"</f>
        <v>277320201217120541357</v>
      </c>
      <c r="C515" s="7" t="s">
        <v>16</v>
      </c>
      <c r="D515" s="7" t="str">
        <f>"吴武晋"</f>
        <v>吴武晋</v>
      </c>
      <c r="E515" s="7" t="str">
        <f>"男"</f>
        <v>男</v>
      </c>
    </row>
    <row r="516" spans="1:5" ht="30" customHeight="1">
      <c r="A516" s="6">
        <v>514</v>
      </c>
      <c r="B516" s="7" t="str">
        <f>"277320201217125946407"</f>
        <v>277320201217125946407</v>
      </c>
      <c r="C516" s="7" t="s">
        <v>16</v>
      </c>
      <c r="D516" s="7" t="str">
        <f>"莫治策"</f>
        <v>莫治策</v>
      </c>
      <c r="E516" s="7" t="str">
        <f>"男"</f>
        <v>男</v>
      </c>
    </row>
    <row r="517" spans="1:5" ht="30" customHeight="1">
      <c r="A517" s="6">
        <v>515</v>
      </c>
      <c r="B517" s="7" t="str">
        <f>"277320201217133752427"</f>
        <v>277320201217133752427</v>
      </c>
      <c r="C517" s="7" t="s">
        <v>16</v>
      </c>
      <c r="D517" s="7" t="str">
        <f>"符杰嵘"</f>
        <v>符杰嵘</v>
      </c>
      <c r="E517" s="7" t="str">
        <f>"男"</f>
        <v>男</v>
      </c>
    </row>
    <row r="518" spans="1:5" ht="30" customHeight="1">
      <c r="A518" s="6">
        <v>516</v>
      </c>
      <c r="B518" s="7" t="str">
        <f>"277320201217134041430"</f>
        <v>277320201217134041430</v>
      </c>
      <c r="C518" s="7" t="s">
        <v>16</v>
      </c>
      <c r="D518" s="7" t="str">
        <f>"汤文焘"</f>
        <v>汤文焘</v>
      </c>
      <c r="E518" s="7" t="str">
        <f>"男"</f>
        <v>男</v>
      </c>
    </row>
    <row r="519" spans="1:5" ht="30" customHeight="1">
      <c r="A519" s="6">
        <v>517</v>
      </c>
      <c r="B519" s="7" t="str">
        <f>"277320201217150411473"</f>
        <v>277320201217150411473</v>
      </c>
      <c r="C519" s="7" t="s">
        <v>16</v>
      </c>
      <c r="D519" s="7" t="str">
        <f>"王康华"</f>
        <v>王康华</v>
      </c>
      <c r="E519" s="7" t="str">
        <f>"男"</f>
        <v>男</v>
      </c>
    </row>
    <row r="520" spans="1:5" ht="30" customHeight="1">
      <c r="A520" s="6">
        <v>518</v>
      </c>
      <c r="B520" s="7" t="str">
        <f>"277320201217150442474"</f>
        <v>277320201217150442474</v>
      </c>
      <c r="C520" s="7" t="s">
        <v>16</v>
      </c>
      <c r="D520" s="7" t="str">
        <f>"吴宗绮"</f>
        <v>吴宗绮</v>
      </c>
      <c r="E520" s="7" t="str">
        <f>"女"</f>
        <v>女</v>
      </c>
    </row>
    <row r="521" spans="1:5" ht="30" customHeight="1">
      <c r="A521" s="6">
        <v>519</v>
      </c>
      <c r="B521" s="7" t="str">
        <f>"277320201217151828485"</f>
        <v>277320201217151828485</v>
      </c>
      <c r="C521" s="7" t="s">
        <v>16</v>
      </c>
      <c r="D521" s="7" t="str">
        <f>"陈人丞"</f>
        <v>陈人丞</v>
      </c>
      <c r="E521" s="7" t="str">
        <f>"男"</f>
        <v>男</v>
      </c>
    </row>
    <row r="522" spans="1:5" ht="30" customHeight="1">
      <c r="A522" s="6">
        <v>520</v>
      </c>
      <c r="B522" s="7" t="str">
        <f>"277320201217151929489"</f>
        <v>277320201217151929489</v>
      </c>
      <c r="C522" s="7" t="s">
        <v>16</v>
      </c>
      <c r="D522" s="7" t="str">
        <f>"王懋丰"</f>
        <v>王懋丰</v>
      </c>
      <c r="E522" s="7" t="str">
        <f>"男"</f>
        <v>男</v>
      </c>
    </row>
    <row r="523" spans="1:5" ht="30" customHeight="1">
      <c r="A523" s="6">
        <v>521</v>
      </c>
      <c r="B523" s="7" t="str">
        <f>"277320201217152244493"</f>
        <v>277320201217152244493</v>
      </c>
      <c r="C523" s="7" t="s">
        <v>16</v>
      </c>
      <c r="D523" s="7" t="str">
        <f>"陈裔纶"</f>
        <v>陈裔纶</v>
      </c>
      <c r="E523" s="7" t="str">
        <f>"男"</f>
        <v>男</v>
      </c>
    </row>
    <row r="524" spans="1:5" ht="30" customHeight="1">
      <c r="A524" s="6">
        <v>522</v>
      </c>
      <c r="B524" s="7" t="str">
        <f>"277320201217152615495"</f>
        <v>277320201217152615495</v>
      </c>
      <c r="C524" s="7" t="s">
        <v>16</v>
      </c>
      <c r="D524" s="7" t="str">
        <f>"郭衍国"</f>
        <v>郭衍国</v>
      </c>
      <c r="E524" s="7" t="str">
        <f>"男"</f>
        <v>男</v>
      </c>
    </row>
    <row r="525" spans="1:5" ht="30" customHeight="1">
      <c r="A525" s="6">
        <v>523</v>
      </c>
      <c r="B525" s="7" t="str">
        <f>"277320201217155114519"</f>
        <v>277320201217155114519</v>
      </c>
      <c r="C525" s="7" t="s">
        <v>16</v>
      </c>
      <c r="D525" s="7" t="str">
        <f>"吴小娜"</f>
        <v>吴小娜</v>
      </c>
      <c r="E525" s="7" t="str">
        <f>"女"</f>
        <v>女</v>
      </c>
    </row>
    <row r="526" spans="1:5" ht="30" customHeight="1">
      <c r="A526" s="6">
        <v>524</v>
      </c>
      <c r="B526" s="7" t="str">
        <f>"277320201217155235521"</f>
        <v>277320201217155235521</v>
      </c>
      <c r="C526" s="7" t="s">
        <v>16</v>
      </c>
      <c r="D526" s="7" t="str">
        <f>"曾德峰"</f>
        <v>曾德峰</v>
      </c>
      <c r="E526" s="7" t="str">
        <f aca="true" t="shared" si="16" ref="E526:E531">"男"</f>
        <v>男</v>
      </c>
    </row>
    <row r="527" spans="1:5" ht="30" customHeight="1">
      <c r="A527" s="6">
        <v>525</v>
      </c>
      <c r="B527" s="7" t="str">
        <f>"277320201217155755525"</f>
        <v>277320201217155755525</v>
      </c>
      <c r="C527" s="7" t="s">
        <v>16</v>
      </c>
      <c r="D527" s="7" t="str">
        <f>"沈善发"</f>
        <v>沈善发</v>
      </c>
      <c r="E527" s="7" t="str">
        <f t="shared" si="16"/>
        <v>男</v>
      </c>
    </row>
    <row r="528" spans="1:5" ht="30" customHeight="1">
      <c r="A528" s="6">
        <v>526</v>
      </c>
      <c r="B528" s="7" t="str">
        <f>"277320201217160718538"</f>
        <v>277320201217160718538</v>
      </c>
      <c r="C528" s="7" t="s">
        <v>16</v>
      </c>
      <c r="D528" s="7" t="str">
        <f>"吴清锐"</f>
        <v>吴清锐</v>
      </c>
      <c r="E528" s="7" t="str">
        <f t="shared" si="16"/>
        <v>男</v>
      </c>
    </row>
    <row r="529" spans="1:5" ht="30" customHeight="1">
      <c r="A529" s="6">
        <v>527</v>
      </c>
      <c r="B529" s="7" t="str">
        <f>"277320201217161949549"</f>
        <v>277320201217161949549</v>
      </c>
      <c r="C529" s="7" t="s">
        <v>16</v>
      </c>
      <c r="D529" s="7" t="str">
        <f>"张耿前"</f>
        <v>张耿前</v>
      </c>
      <c r="E529" s="7" t="str">
        <f t="shared" si="16"/>
        <v>男</v>
      </c>
    </row>
    <row r="530" spans="1:5" ht="30" customHeight="1">
      <c r="A530" s="6">
        <v>528</v>
      </c>
      <c r="B530" s="7" t="str">
        <f>"277320201217162234552"</f>
        <v>277320201217162234552</v>
      </c>
      <c r="C530" s="7" t="s">
        <v>16</v>
      </c>
      <c r="D530" s="7" t="str">
        <f>"吴清江"</f>
        <v>吴清江</v>
      </c>
      <c r="E530" s="7" t="str">
        <f t="shared" si="16"/>
        <v>男</v>
      </c>
    </row>
    <row r="531" spans="1:5" ht="30" customHeight="1">
      <c r="A531" s="6">
        <v>529</v>
      </c>
      <c r="B531" s="7" t="str">
        <f>"277320201217162650555"</f>
        <v>277320201217162650555</v>
      </c>
      <c r="C531" s="7" t="s">
        <v>16</v>
      </c>
      <c r="D531" s="7" t="str">
        <f>"陈世秀"</f>
        <v>陈世秀</v>
      </c>
      <c r="E531" s="7" t="str">
        <f t="shared" si="16"/>
        <v>男</v>
      </c>
    </row>
    <row r="532" spans="1:5" ht="30" customHeight="1">
      <c r="A532" s="6">
        <v>530</v>
      </c>
      <c r="B532" s="7" t="str">
        <f>"277320201217162901556"</f>
        <v>277320201217162901556</v>
      </c>
      <c r="C532" s="7" t="s">
        <v>16</v>
      </c>
      <c r="D532" s="7" t="str">
        <f>"陆蕾"</f>
        <v>陆蕾</v>
      </c>
      <c r="E532" s="7" t="str">
        <f>"女"</f>
        <v>女</v>
      </c>
    </row>
    <row r="533" spans="1:5" ht="30" customHeight="1">
      <c r="A533" s="6">
        <v>531</v>
      </c>
      <c r="B533" s="7" t="str">
        <f>"277320201217163003557"</f>
        <v>277320201217163003557</v>
      </c>
      <c r="C533" s="7" t="s">
        <v>16</v>
      </c>
      <c r="D533" s="7" t="str">
        <f>"王晶"</f>
        <v>王晶</v>
      </c>
      <c r="E533" s="7" t="str">
        <f>"女"</f>
        <v>女</v>
      </c>
    </row>
    <row r="534" spans="1:5" ht="30" customHeight="1">
      <c r="A534" s="6">
        <v>532</v>
      </c>
      <c r="B534" s="7" t="str">
        <f>"277320201217165655578"</f>
        <v>277320201217165655578</v>
      </c>
      <c r="C534" s="7" t="s">
        <v>16</v>
      </c>
      <c r="D534" s="7" t="str">
        <f>"钟国乐"</f>
        <v>钟国乐</v>
      </c>
      <c r="E534" s="7" t="str">
        <f>"男"</f>
        <v>男</v>
      </c>
    </row>
    <row r="535" spans="1:5" ht="30" customHeight="1">
      <c r="A535" s="6">
        <v>533</v>
      </c>
      <c r="B535" s="7" t="str">
        <f>"277320201217171604587"</f>
        <v>277320201217171604587</v>
      </c>
      <c r="C535" s="7" t="s">
        <v>16</v>
      </c>
      <c r="D535" s="7" t="str">
        <f>"李方强"</f>
        <v>李方强</v>
      </c>
      <c r="E535" s="7" t="str">
        <f>"男"</f>
        <v>男</v>
      </c>
    </row>
    <row r="536" spans="1:5" ht="30" customHeight="1">
      <c r="A536" s="6">
        <v>534</v>
      </c>
      <c r="B536" s="7" t="str">
        <f>"277320201217172249590"</f>
        <v>277320201217172249590</v>
      </c>
      <c r="C536" s="7" t="s">
        <v>16</v>
      </c>
      <c r="D536" s="7" t="str">
        <f>"刘美珍"</f>
        <v>刘美珍</v>
      </c>
      <c r="E536" s="7" t="str">
        <f>"女"</f>
        <v>女</v>
      </c>
    </row>
    <row r="537" spans="1:5" ht="30" customHeight="1">
      <c r="A537" s="6">
        <v>535</v>
      </c>
      <c r="B537" s="7" t="str">
        <f>"277320201217173452596"</f>
        <v>277320201217173452596</v>
      </c>
      <c r="C537" s="7" t="s">
        <v>16</v>
      </c>
      <c r="D537" s="7" t="str">
        <f>"邢益胜"</f>
        <v>邢益胜</v>
      </c>
      <c r="E537" s="7" t="str">
        <f>"男"</f>
        <v>男</v>
      </c>
    </row>
    <row r="538" spans="1:5" ht="30" customHeight="1">
      <c r="A538" s="6">
        <v>536</v>
      </c>
      <c r="B538" s="7" t="str">
        <f>"277320201217173713601"</f>
        <v>277320201217173713601</v>
      </c>
      <c r="C538" s="7" t="s">
        <v>16</v>
      </c>
      <c r="D538" s="7" t="str">
        <f>"林福航"</f>
        <v>林福航</v>
      </c>
      <c r="E538" s="7" t="str">
        <f>"男"</f>
        <v>男</v>
      </c>
    </row>
    <row r="539" spans="1:5" ht="30" customHeight="1">
      <c r="A539" s="6">
        <v>537</v>
      </c>
      <c r="B539" s="7" t="str">
        <f>"277320201217183218634"</f>
        <v>277320201217183218634</v>
      </c>
      <c r="C539" s="7" t="s">
        <v>16</v>
      </c>
      <c r="D539" s="7" t="str">
        <f>"吴珍"</f>
        <v>吴珍</v>
      </c>
      <c r="E539" s="7" t="str">
        <f>"女"</f>
        <v>女</v>
      </c>
    </row>
    <row r="540" spans="1:5" ht="30" customHeight="1">
      <c r="A540" s="6">
        <v>538</v>
      </c>
      <c r="B540" s="7" t="str">
        <f>"277320201217185109644"</f>
        <v>277320201217185109644</v>
      </c>
      <c r="C540" s="7" t="s">
        <v>16</v>
      </c>
      <c r="D540" s="7" t="str">
        <f>"高鑫"</f>
        <v>高鑫</v>
      </c>
      <c r="E540" s="7" t="str">
        <f aca="true" t="shared" si="17" ref="E540:E545">"男"</f>
        <v>男</v>
      </c>
    </row>
    <row r="541" spans="1:5" ht="30" customHeight="1">
      <c r="A541" s="6">
        <v>539</v>
      </c>
      <c r="B541" s="7" t="str">
        <f>"277320201217185233646"</f>
        <v>277320201217185233646</v>
      </c>
      <c r="C541" s="7" t="s">
        <v>16</v>
      </c>
      <c r="D541" s="7" t="str">
        <f>"梁栋"</f>
        <v>梁栋</v>
      </c>
      <c r="E541" s="7" t="str">
        <f t="shared" si="17"/>
        <v>男</v>
      </c>
    </row>
    <row r="542" spans="1:5" ht="30" customHeight="1">
      <c r="A542" s="6">
        <v>540</v>
      </c>
      <c r="B542" s="7" t="str">
        <f>"277320201217191617659"</f>
        <v>277320201217191617659</v>
      </c>
      <c r="C542" s="7" t="s">
        <v>16</v>
      </c>
      <c r="D542" s="7" t="str">
        <f>"王双兴"</f>
        <v>王双兴</v>
      </c>
      <c r="E542" s="7" t="str">
        <f t="shared" si="17"/>
        <v>男</v>
      </c>
    </row>
    <row r="543" spans="1:5" ht="30" customHeight="1">
      <c r="A543" s="6">
        <v>541</v>
      </c>
      <c r="B543" s="7" t="str">
        <f>"277320201217192612666"</f>
        <v>277320201217192612666</v>
      </c>
      <c r="C543" s="7" t="s">
        <v>16</v>
      </c>
      <c r="D543" s="7" t="str">
        <f>"郭光群"</f>
        <v>郭光群</v>
      </c>
      <c r="E543" s="7" t="str">
        <f t="shared" si="17"/>
        <v>男</v>
      </c>
    </row>
    <row r="544" spans="1:5" ht="30" customHeight="1">
      <c r="A544" s="6">
        <v>542</v>
      </c>
      <c r="B544" s="7" t="str">
        <f>"277320201217194753681"</f>
        <v>277320201217194753681</v>
      </c>
      <c r="C544" s="7" t="s">
        <v>16</v>
      </c>
      <c r="D544" s="7" t="str">
        <f>"容聪敏"</f>
        <v>容聪敏</v>
      </c>
      <c r="E544" s="7" t="str">
        <f t="shared" si="17"/>
        <v>男</v>
      </c>
    </row>
    <row r="545" spans="1:5" ht="30" customHeight="1">
      <c r="A545" s="6">
        <v>543</v>
      </c>
      <c r="B545" s="7" t="str">
        <f>"277320201217202254695"</f>
        <v>277320201217202254695</v>
      </c>
      <c r="C545" s="7" t="s">
        <v>16</v>
      </c>
      <c r="D545" s="7" t="str">
        <f>"陈秋"</f>
        <v>陈秋</v>
      </c>
      <c r="E545" s="7" t="str">
        <f t="shared" si="17"/>
        <v>男</v>
      </c>
    </row>
    <row r="546" spans="1:5" ht="30" customHeight="1">
      <c r="A546" s="6">
        <v>544</v>
      </c>
      <c r="B546" s="7" t="str">
        <f>"277320201217203244699"</f>
        <v>277320201217203244699</v>
      </c>
      <c r="C546" s="7" t="s">
        <v>16</v>
      </c>
      <c r="D546" s="7" t="str">
        <f>"张菲雅"</f>
        <v>张菲雅</v>
      </c>
      <c r="E546" s="7" t="str">
        <f>"女"</f>
        <v>女</v>
      </c>
    </row>
    <row r="547" spans="1:5" ht="30" customHeight="1">
      <c r="A547" s="6">
        <v>545</v>
      </c>
      <c r="B547" s="7" t="str">
        <f>"277320201217203358702"</f>
        <v>277320201217203358702</v>
      </c>
      <c r="C547" s="7" t="s">
        <v>16</v>
      </c>
      <c r="D547" s="7" t="str">
        <f>"阮鑫"</f>
        <v>阮鑫</v>
      </c>
      <c r="E547" s="7" t="str">
        <f aca="true" t="shared" si="18" ref="E547:E552">"男"</f>
        <v>男</v>
      </c>
    </row>
    <row r="548" spans="1:5" ht="30" customHeight="1">
      <c r="A548" s="6">
        <v>546</v>
      </c>
      <c r="B548" s="7" t="str">
        <f>"277320201217204000710"</f>
        <v>277320201217204000710</v>
      </c>
      <c r="C548" s="7" t="s">
        <v>16</v>
      </c>
      <c r="D548" s="7" t="str">
        <f>"廖跃武"</f>
        <v>廖跃武</v>
      </c>
      <c r="E548" s="7" t="str">
        <f t="shared" si="18"/>
        <v>男</v>
      </c>
    </row>
    <row r="549" spans="1:5" ht="30" customHeight="1">
      <c r="A549" s="6">
        <v>547</v>
      </c>
      <c r="B549" s="7" t="str">
        <f>"277320201217205928724"</f>
        <v>277320201217205928724</v>
      </c>
      <c r="C549" s="7" t="s">
        <v>16</v>
      </c>
      <c r="D549" s="7" t="str">
        <f>"林于雀"</f>
        <v>林于雀</v>
      </c>
      <c r="E549" s="7" t="str">
        <f t="shared" si="18"/>
        <v>男</v>
      </c>
    </row>
    <row r="550" spans="1:5" ht="30" customHeight="1">
      <c r="A550" s="6">
        <v>548</v>
      </c>
      <c r="B550" s="7" t="str">
        <f>"277320201217210243725"</f>
        <v>277320201217210243725</v>
      </c>
      <c r="C550" s="7" t="s">
        <v>16</v>
      </c>
      <c r="D550" s="7" t="str">
        <f>"苏敏"</f>
        <v>苏敏</v>
      </c>
      <c r="E550" s="7" t="str">
        <f t="shared" si="18"/>
        <v>男</v>
      </c>
    </row>
    <row r="551" spans="1:5" ht="30" customHeight="1">
      <c r="A551" s="6">
        <v>549</v>
      </c>
      <c r="B551" s="7" t="str">
        <f>"277320201217211944733"</f>
        <v>277320201217211944733</v>
      </c>
      <c r="C551" s="7" t="s">
        <v>16</v>
      </c>
      <c r="D551" s="7" t="str">
        <f>"郑悦"</f>
        <v>郑悦</v>
      </c>
      <c r="E551" s="7" t="str">
        <f t="shared" si="18"/>
        <v>男</v>
      </c>
    </row>
    <row r="552" spans="1:5" ht="30" customHeight="1">
      <c r="A552" s="6">
        <v>550</v>
      </c>
      <c r="B552" s="7" t="str">
        <f>"277320201217213415738"</f>
        <v>277320201217213415738</v>
      </c>
      <c r="C552" s="7" t="s">
        <v>16</v>
      </c>
      <c r="D552" s="7" t="str">
        <f>"卢明学"</f>
        <v>卢明学</v>
      </c>
      <c r="E552" s="7" t="str">
        <f t="shared" si="18"/>
        <v>男</v>
      </c>
    </row>
    <row r="553" spans="1:5" ht="30" customHeight="1">
      <c r="A553" s="6">
        <v>551</v>
      </c>
      <c r="B553" s="7" t="str">
        <f>"277320201217214053743"</f>
        <v>277320201217214053743</v>
      </c>
      <c r="C553" s="7" t="s">
        <v>16</v>
      </c>
      <c r="D553" s="7" t="str">
        <f>"杨盛征"</f>
        <v>杨盛征</v>
      </c>
      <c r="E553" s="7" t="str">
        <f>"女"</f>
        <v>女</v>
      </c>
    </row>
    <row r="554" spans="1:5" ht="30" customHeight="1">
      <c r="A554" s="6">
        <v>552</v>
      </c>
      <c r="B554" s="7" t="str">
        <f>"277320201217214444745"</f>
        <v>277320201217214444745</v>
      </c>
      <c r="C554" s="7" t="s">
        <v>16</v>
      </c>
      <c r="D554" s="7" t="str">
        <f>"陈变"</f>
        <v>陈变</v>
      </c>
      <c r="E554" s="7" t="str">
        <f>"女"</f>
        <v>女</v>
      </c>
    </row>
    <row r="555" spans="1:5" ht="30" customHeight="1">
      <c r="A555" s="6">
        <v>553</v>
      </c>
      <c r="B555" s="7" t="str">
        <f>"277320201217225542785"</f>
        <v>277320201217225542785</v>
      </c>
      <c r="C555" s="7" t="s">
        <v>16</v>
      </c>
      <c r="D555" s="7" t="str">
        <f>"王开灿"</f>
        <v>王开灿</v>
      </c>
      <c r="E555" s="7" t="str">
        <f>"男"</f>
        <v>男</v>
      </c>
    </row>
    <row r="556" spans="1:5" ht="30" customHeight="1">
      <c r="A556" s="6">
        <v>554</v>
      </c>
      <c r="B556" s="7" t="str">
        <f>"277320201217235409795"</f>
        <v>277320201217235409795</v>
      </c>
      <c r="C556" s="7" t="s">
        <v>16</v>
      </c>
      <c r="D556" s="7" t="str">
        <f>"林元武"</f>
        <v>林元武</v>
      </c>
      <c r="E556" s="7" t="str">
        <f>"男"</f>
        <v>男</v>
      </c>
    </row>
    <row r="557" spans="1:5" ht="30" customHeight="1">
      <c r="A557" s="6">
        <v>555</v>
      </c>
      <c r="B557" s="7" t="str">
        <f>"277320201218000357797"</f>
        <v>277320201218000357797</v>
      </c>
      <c r="C557" s="7" t="s">
        <v>16</v>
      </c>
      <c r="D557" s="7" t="str">
        <f>"李林飞"</f>
        <v>李林飞</v>
      </c>
      <c r="E557" s="7" t="str">
        <f>"男"</f>
        <v>男</v>
      </c>
    </row>
    <row r="558" spans="1:5" ht="30" customHeight="1">
      <c r="A558" s="6">
        <v>556</v>
      </c>
      <c r="B558" s="7" t="str">
        <f>"277320201218100224859"</f>
        <v>277320201218100224859</v>
      </c>
      <c r="C558" s="7" t="s">
        <v>16</v>
      </c>
      <c r="D558" s="7" t="str">
        <f>"黄千棉"</f>
        <v>黄千棉</v>
      </c>
      <c r="E558" s="7" t="str">
        <f>"女"</f>
        <v>女</v>
      </c>
    </row>
    <row r="559" spans="1:5" ht="30" customHeight="1">
      <c r="A559" s="6">
        <v>557</v>
      </c>
      <c r="B559" s="7" t="str">
        <f>"277320201218103623875"</f>
        <v>277320201218103623875</v>
      </c>
      <c r="C559" s="7" t="s">
        <v>16</v>
      </c>
      <c r="D559" s="7" t="str">
        <f>"羊玉秋"</f>
        <v>羊玉秋</v>
      </c>
      <c r="E559" s="7" t="str">
        <f>"女"</f>
        <v>女</v>
      </c>
    </row>
    <row r="560" spans="1:5" ht="30" customHeight="1">
      <c r="A560" s="6">
        <v>558</v>
      </c>
      <c r="B560" s="7" t="str">
        <f>"277320201218121435919"</f>
        <v>277320201218121435919</v>
      </c>
      <c r="C560" s="7" t="s">
        <v>16</v>
      </c>
      <c r="D560" s="7" t="str">
        <f>"吴原林"</f>
        <v>吴原林</v>
      </c>
      <c r="E560" s="7" t="str">
        <f>"男"</f>
        <v>男</v>
      </c>
    </row>
    <row r="561" spans="1:5" ht="30" customHeight="1">
      <c r="A561" s="6">
        <v>559</v>
      </c>
      <c r="B561" s="7" t="str">
        <f>"277320201218124549928"</f>
        <v>277320201218124549928</v>
      </c>
      <c r="C561" s="7" t="s">
        <v>16</v>
      </c>
      <c r="D561" s="7" t="str">
        <f>"郭雄建"</f>
        <v>郭雄建</v>
      </c>
      <c r="E561" s="7" t="str">
        <f>"男"</f>
        <v>男</v>
      </c>
    </row>
    <row r="562" spans="1:5" ht="30" customHeight="1">
      <c r="A562" s="6">
        <v>560</v>
      </c>
      <c r="B562" s="7" t="str">
        <f>"277320201218132921945"</f>
        <v>277320201218132921945</v>
      </c>
      <c r="C562" s="7" t="s">
        <v>16</v>
      </c>
      <c r="D562" s="7" t="str">
        <f>"李喜丹"</f>
        <v>李喜丹</v>
      </c>
      <c r="E562" s="7" t="str">
        <f>"女"</f>
        <v>女</v>
      </c>
    </row>
    <row r="563" spans="1:5" ht="30" customHeight="1">
      <c r="A563" s="6">
        <v>561</v>
      </c>
      <c r="B563" s="7" t="str">
        <f>"277320201218133218947"</f>
        <v>277320201218133218947</v>
      </c>
      <c r="C563" s="7" t="s">
        <v>16</v>
      </c>
      <c r="D563" s="7" t="str">
        <f>"羊兴敏"</f>
        <v>羊兴敏</v>
      </c>
      <c r="E563" s="7" t="str">
        <f aca="true" t="shared" si="19" ref="E563:E569">"男"</f>
        <v>男</v>
      </c>
    </row>
    <row r="564" spans="1:5" ht="30" customHeight="1">
      <c r="A564" s="6">
        <v>562</v>
      </c>
      <c r="B564" s="7" t="str">
        <f>"277320201218135030951"</f>
        <v>277320201218135030951</v>
      </c>
      <c r="C564" s="7" t="s">
        <v>16</v>
      </c>
      <c r="D564" s="7" t="str">
        <f>"邢增亮"</f>
        <v>邢增亮</v>
      </c>
      <c r="E564" s="7" t="str">
        <f t="shared" si="19"/>
        <v>男</v>
      </c>
    </row>
    <row r="565" spans="1:5" ht="30" customHeight="1">
      <c r="A565" s="6">
        <v>563</v>
      </c>
      <c r="B565" s="7" t="str">
        <f>"277320201218145103965"</f>
        <v>277320201218145103965</v>
      </c>
      <c r="C565" s="7" t="s">
        <v>16</v>
      </c>
      <c r="D565" s="7" t="str">
        <f>"王振捷"</f>
        <v>王振捷</v>
      </c>
      <c r="E565" s="7" t="str">
        <f t="shared" si="19"/>
        <v>男</v>
      </c>
    </row>
    <row r="566" spans="1:5" ht="30" customHeight="1">
      <c r="A566" s="6">
        <v>564</v>
      </c>
      <c r="B566" s="7" t="str">
        <f>"277320201218154244988"</f>
        <v>277320201218154244988</v>
      </c>
      <c r="C566" s="7" t="s">
        <v>16</v>
      </c>
      <c r="D566" s="7" t="str">
        <f>"文烈鹏"</f>
        <v>文烈鹏</v>
      </c>
      <c r="E566" s="7" t="str">
        <f t="shared" si="19"/>
        <v>男</v>
      </c>
    </row>
    <row r="567" spans="1:5" ht="30" customHeight="1">
      <c r="A567" s="6">
        <v>565</v>
      </c>
      <c r="B567" s="7" t="str">
        <f>"2773202012181632311013"</f>
        <v>2773202012181632311013</v>
      </c>
      <c r="C567" s="7" t="s">
        <v>16</v>
      </c>
      <c r="D567" s="7" t="str">
        <f>"洪典安"</f>
        <v>洪典安</v>
      </c>
      <c r="E567" s="7" t="str">
        <f t="shared" si="19"/>
        <v>男</v>
      </c>
    </row>
    <row r="568" spans="1:5" ht="30" customHeight="1">
      <c r="A568" s="6">
        <v>566</v>
      </c>
      <c r="B568" s="7" t="str">
        <f>"2773202012181654271026"</f>
        <v>2773202012181654271026</v>
      </c>
      <c r="C568" s="7" t="s">
        <v>16</v>
      </c>
      <c r="D568" s="7" t="str">
        <f>"羊传珠"</f>
        <v>羊传珠</v>
      </c>
      <c r="E568" s="7" t="str">
        <f t="shared" si="19"/>
        <v>男</v>
      </c>
    </row>
    <row r="569" spans="1:5" ht="30" customHeight="1">
      <c r="A569" s="6">
        <v>567</v>
      </c>
      <c r="B569" s="7" t="str">
        <f>"2773202012181710341035"</f>
        <v>2773202012181710341035</v>
      </c>
      <c r="C569" s="7" t="s">
        <v>16</v>
      </c>
      <c r="D569" s="7" t="str">
        <f>"刘土育"</f>
        <v>刘土育</v>
      </c>
      <c r="E569" s="7" t="str">
        <f t="shared" si="19"/>
        <v>男</v>
      </c>
    </row>
    <row r="570" spans="1:5" ht="30" customHeight="1">
      <c r="A570" s="6">
        <v>568</v>
      </c>
      <c r="B570" s="7" t="str">
        <f>"2773202012181728551044"</f>
        <v>2773202012181728551044</v>
      </c>
      <c r="C570" s="7" t="s">
        <v>16</v>
      </c>
      <c r="D570" s="7" t="str">
        <f>"何俏"</f>
        <v>何俏</v>
      </c>
      <c r="E570" s="7" t="str">
        <f>"女"</f>
        <v>女</v>
      </c>
    </row>
    <row r="571" spans="1:5" ht="30" customHeight="1">
      <c r="A571" s="6">
        <v>569</v>
      </c>
      <c r="B571" s="7" t="str">
        <f>"2773202012182031551090"</f>
        <v>2773202012182031551090</v>
      </c>
      <c r="C571" s="7" t="s">
        <v>16</v>
      </c>
      <c r="D571" s="7" t="str">
        <f>"蔡栋"</f>
        <v>蔡栋</v>
      </c>
      <c r="E571" s="7" t="str">
        <f aca="true" t="shared" si="20" ref="E571:E576">"男"</f>
        <v>男</v>
      </c>
    </row>
    <row r="572" spans="1:5" ht="30" customHeight="1">
      <c r="A572" s="6">
        <v>570</v>
      </c>
      <c r="B572" s="7" t="str">
        <f>"2773202012182138551109"</f>
        <v>2773202012182138551109</v>
      </c>
      <c r="C572" s="7" t="s">
        <v>16</v>
      </c>
      <c r="D572" s="7" t="str">
        <f>"李宗豪"</f>
        <v>李宗豪</v>
      </c>
      <c r="E572" s="7" t="str">
        <f t="shared" si="20"/>
        <v>男</v>
      </c>
    </row>
    <row r="573" spans="1:5" ht="30" customHeight="1">
      <c r="A573" s="6">
        <v>571</v>
      </c>
      <c r="B573" s="7" t="str">
        <f>"2773202012182306481125"</f>
        <v>2773202012182306481125</v>
      </c>
      <c r="C573" s="7" t="s">
        <v>16</v>
      </c>
      <c r="D573" s="7" t="str">
        <f>"周华"</f>
        <v>周华</v>
      </c>
      <c r="E573" s="7" t="str">
        <f t="shared" si="20"/>
        <v>男</v>
      </c>
    </row>
    <row r="574" spans="1:5" ht="30" customHeight="1">
      <c r="A574" s="6">
        <v>572</v>
      </c>
      <c r="B574" s="7" t="str">
        <f>"2773202012191243091173"</f>
        <v>2773202012191243091173</v>
      </c>
      <c r="C574" s="7" t="s">
        <v>16</v>
      </c>
      <c r="D574" s="7" t="str">
        <f>"黄国斌"</f>
        <v>黄国斌</v>
      </c>
      <c r="E574" s="7" t="str">
        <f t="shared" si="20"/>
        <v>男</v>
      </c>
    </row>
    <row r="575" spans="1:5" ht="30" customHeight="1">
      <c r="A575" s="6">
        <v>573</v>
      </c>
      <c r="B575" s="7" t="str">
        <f>"2773202012191350391179"</f>
        <v>2773202012191350391179</v>
      </c>
      <c r="C575" s="7" t="s">
        <v>16</v>
      </c>
      <c r="D575" s="7" t="str">
        <f>"秦文武"</f>
        <v>秦文武</v>
      </c>
      <c r="E575" s="7" t="str">
        <f t="shared" si="20"/>
        <v>男</v>
      </c>
    </row>
    <row r="576" spans="1:5" ht="30" customHeight="1">
      <c r="A576" s="6">
        <v>574</v>
      </c>
      <c r="B576" s="7" t="str">
        <f>"2773202012191431471188"</f>
        <v>2773202012191431471188</v>
      </c>
      <c r="C576" s="7" t="s">
        <v>16</v>
      </c>
      <c r="D576" s="7" t="str">
        <f>"符代强"</f>
        <v>符代强</v>
      </c>
      <c r="E576" s="7" t="str">
        <f t="shared" si="20"/>
        <v>男</v>
      </c>
    </row>
    <row r="577" spans="1:5" ht="30" customHeight="1">
      <c r="A577" s="6">
        <v>575</v>
      </c>
      <c r="B577" s="7" t="str">
        <f>"2773202012191908281227"</f>
        <v>2773202012191908281227</v>
      </c>
      <c r="C577" s="7" t="s">
        <v>16</v>
      </c>
      <c r="D577" s="7" t="str">
        <f>"黄燕子"</f>
        <v>黄燕子</v>
      </c>
      <c r="E577" s="7" t="str">
        <f>"女"</f>
        <v>女</v>
      </c>
    </row>
    <row r="578" spans="1:5" ht="30" customHeight="1">
      <c r="A578" s="6">
        <v>576</v>
      </c>
      <c r="B578" s="7" t="str">
        <f>"2773202012192003431240"</f>
        <v>2773202012192003431240</v>
      </c>
      <c r="C578" s="7" t="s">
        <v>16</v>
      </c>
      <c r="D578" s="7" t="str">
        <f>"黄坚"</f>
        <v>黄坚</v>
      </c>
      <c r="E578" s="7" t="str">
        <f>"男"</f>
        <v>男</v>
      </c>
    </row>
    <row r="579" spans="1:5" ht="30" customHeight="1">
      <c r="A579" s="6">
        <v>577</v>
      </c>
      <c r="B579" s="7" t="str">
        <f>"2773202012192022271244"</f>
        <v>2773202012192022271244</v>
      </c>
      <c r="C579" s="7" t="s">
        <v>16</v>
      </c>
      <c r="D579" s="7" t="str">
        <f>"黄小倩"</f>
        <v>黄小倩</v>
      </c>
      <c r="E579" s="7" t="str">
        <f>"女"</f>
        <v>女</v>
      </c>
    </row>
    <row r="580" spans="1:5" ht="30" customHeight="1">
      <c r="A580" s="6">
        <v>578</v>
      </c>
      <c r="B580" s="7" t="str">
        <f>"2773202012192051291250"</f>
        <v>2773202012192051291250</v>
      </c>
      <c r="C580" s="7" t="s">
        <v>16</v>
      </c>
      <c r="D580" s="7" t="str">
        <f>"潘天帅"</f>
        <v>潘天帅</v>
      </c>
      <c r="E580" s="7" t="str">
        <f>"男"</f>
        <v>男</v>
      </c>
    </row>
    <row r="581" spans="1:5" ht="30" customHeight="1">
      <c r="A581" s="6">
        <v>579</v>
      </c>
      <c r="B581" s="7" t="str">
        <f>"2773202012192127551258"</f>
        <v>2773202012192127551258</v>
      </c>
      <c r="C581" s="7" t="s">
        <v>16</v>
      </c>
      <c r="D581" s="7" t="str">
        <f>"董超"</f>
        <v>董超</v>
      </c>
      <c r="E581" s="7" t="str">
        <f>"男"</f>
        <v>男</v>
      </c>
    </row>
    <row r="582" spans="1:5" ht="30" customHeight="1">
      <c r="A582" s="6">
        <v>580</v>
      </c>
      <c r="B582" s="7" t="str">
        <f>"2773202012192314281282"</f>
        <v>2773202012192314281282</v>
      </c>
      <c r="C582" s="7" t="s">
        <v>16</v>
      </c>
      <c r="D582" s="7" t="str">
        <f>"莫浩"</f>
        <v>莫浩</v>
      </c>
      <c r="E582" s="7" t="str">
        <f>"男"</f>
        <v>男</v>
      </c>
    </row>
    <row r="583" spans="1:5" ht="30" customHeight="1">
      <c r="A583" s="6">
        <v>581</v>
      </c>
      <c r="B583" s="7" t="str">
        <f>"2773202012200956101298"</f>
        <v>2773202012200956101298</v>
      </c>
      <c r="C583" s="7" t="s">
        <v>16</v>
      </c>
      <c r="D583" s="7" t="str">
        <f>"符小娜"</f>
        <v>符小娜</v>
      </c>
      <c r="E583" s="7" t="str">
        <f>"女"</f>
        <v>女</v>
      </c>
    </row>
    <row r="584" spans="1:5" ht="30" customHeight="1">
      <c r="A584" s="6">
        <v>582</v>
      </c>
      <c r="B584" s="7" t="str">
        <f>"2773202012201016101301"</f>
        <v>2773202012201016101301</v>
      </c>
      <c r="C584" s="7" t="s">
        <v>16</v>
      </c>
      <c r="D584" s="7" t="str">
        <f>"苏小栋"</f>
        <v>苏小栋</v>
      </c>
      <c r="E584" s="7" t="str">
        <f>"男"</f>
        <v>男</v>
      </c>
    </row>
    <row r="585" spans="1:5" ht="30" customHeight="1">
      <c r="A585" s="6">
        <v>583</v>
      </c>
      <c r="B585" s="7" t="str">
        <f>"2773202012201037101304"</f>
        <v>2773202012201037101304</v>
      </c>
      <c r="C585" s="7" t="s">
        <v>16</v>
      </c>
      <c r="D585" s="7" t="str">
        <f>"吴光灵"</f>
        <v>吴光灵</v>
      </c>
      <c r="E585" s="7" t="str">
        <f>"男"</f>
        <v>男</v>
      </c>
    </row>
    <row r="586" spans="1:5" ht="30" customHeight="1">
      <c r="A586" s="6">
        <v>584</v>
      </c>
      <c r="B586" s="7" t="str">
        <f>"2773202012201132481312"</f>
        <v>2773202012201132481312</v>
      </c>
      <c r="C586" s="7" t="s">
        <v>16</v>
      </c>
      <c r="D586" s="7" t="str">
        <f>"符凤龙"</f>
        <v>符凤龙</v>
      </c>
      <c r="E586" s="7" t="str">
        <f>"男"</f>
        <v>男</v>
      </c>
    </row>
    <row r="587" spans="1:5" ht="30" customHeight="1">
      <c r="A587" s="6">
        <v>585</v>
      </c>
      <c r="B587" s="7" t="str">
        <f>"2773202012201138161316"</f>
        <v>2773202012201138161316</v>
      </c>
      <c r="C587" s="7" t="s">
        <v>16</v>
      </c>
      <c r="D587" s="7" t="str">
        <f>"谢代宁"</f>
        <v>谢代宁</v>
      </c>
      <c r="E587" s="7" t="str">
        <f>"男"</f>
        <v>男</v>
      </c>
    </row>
    <row r="588" spans="1:5" ht="30" customHeight="1">
      <c r="A588" s="6">
        <v>586</v>
      </c>
      <c r="B588" s="7" t="str">
        <f>"2773202012201246301329"</f>
        <v>2773202012201246301329</v>
      </c>
      <c r="C588" s="7" t="s">
        <v>16</v>
      </c>
      <c r="D588" s="7" t="str">
        <f>"丁晓媚"</f>
        <v>丁晓媚</v>
      </c>
      <c r="E588" s="7" t="str">
        <f>"女"</f>
        <v>女</v>
      </c>
    </row>
    <row r="589" spans="1:5" ht="30" customHeight="1">
      <c r="A589" s="6">
        <v>587</v>
      </c>
      <c r="B589" s="7" t="str">
        <f>"2773202012201544321356"</f>
        <v>2773202012201544321356</v>
      </c>
      <c r="C589" s="7" t="s">
        <v>16</v>
      </c>
      <c r="D589" s="7" t="str">
        <f>"李万欢"</f>
        <v>李万欢</v>
      </c>
      <c r="E589" s="7" t="str">
        <f>"男"</f>
        <v>男</v>
      </c>
    </row>
    <row r="590" spans="1:5" ht="30" customHeight="1">
      <c r="A590" s="6">
        <v>588</v>
      </c>
      <c r="B590" s="7" t="str">
        <f>"2773202012201643181364"</f>
        <v>2773202012201643181364</v>
      </c>
      <c r="C590" s="7" t="s">
        <v>16</v>
      </c>
      <c r="D590" s="7" t="str">
        <f>"陈家鹏"</f>
        <v>陈家鹏</v>
      </c>
      <c r="E590" s="7" t="str">
        <f>"男"</f>
        <v>男</v>
      </c>
    </row>
    <row r="591" spans="1:5" ht="30" customHeight="1">
      <c r="A591" s="6">
        <v>589</v>
      </c>
      <c r="B591" s="7" t="str">
        <f>"2773202012201850051385"</f>
        <v>2773202012201850051385</v>
      </c>
      <c r="C591" s="7" t="s">
        <v>16</v>
      </c>
      <c r="D591" s="7" t="str">
        <f>"吴扬"</f>
        <v>吴扬</v>
      </c>
      <c r="E591" s="7" t="str">
        <f>"男"</f>
        <v>男</v>
      </c>
    </row>
    <row r="592" spans="1:5" ht="30" customHeight="1">
      <c r="A592" s="6">
        <v>590</v>
      </c>
      <c r="B592" s="7" t="str">
        <f>"2773202012202054211405"</f>
        <v>2773202012202054211405</v>
      </c>
      <c r="C592" s="7" t="s">
        <v>16</v>
      </c>
      <c r="D592" s="7" t="str">
        <f>"谢怡"</f>
        <v>谢怡</v>
      </c>
      <c r="E592" s="7" t="str">
        <f>"男"</f>
        <v>男</v>
      </c>
    </row>
    <row r="593" spans="1:5" ht="30" customHeight="1">
      <c r="A593" s="6">
        <v>591</v>
      </c>
      <c r="B593" s="7" t="str">
        <f>"2773202012202317571437"</f>
        <v>2773202012202317571437</v>
      </c>
      <c r="C593" s="7" t="s">
        <v>16</v>
      </c>
      <c r="D593" s="7" t="str">
        <f>"钟秀卓"</f>
        <v>钟秀卓</v>
      </c>
      <c r="E593" s="7" t="str">
        <f>"男"</f>
        <v>男</v>
      </c>
    </row>
    <row r="594" spans="1:5" ht="30" customHeight="1">
      <c r="A594" s="6">
        <v>592</v>
      </c>
      <c r="B594" s="7" t="str">
        <f>"2773202012210858531465"</f>
        <v>2773202012210858531465</v>
      </c>
      <c r="C594" s="7" t="s">
        <v>16</v>
      </c>
      <c r="D594" s="7" t="str">
        <f>"苏才晶"</f>
        <v>苏才晶</v>
      </c>
      <c r="E594" s="7" t="str">
        <f>"女"</f>
        <v>女</v>
      </c>
    </row>
    <row r="595" spans="1:5" ht="30" customHeight="1">
      <c r="A595" s="6">
        <v>593</v>
      </c>
      <c r="B595" s="7" t="str">
        <f>"2773202012210901051466"</f>
        <v>2773202012210901051466</v>
      </c>
      <c r="C595" s="7" t="s">
        <v>16</v>
      </c>
      <c r="D595" s="7" t="str">
        <f>"羊金言"</f>
        <v>羊金言</v>
      </c>
      <c r="E595" s="7" t="str">
        <f>"男"</f>
        <v>男</v>
      </c>
    </row>
    <row r="596" spans="1:5" ht="30" customHeight="1">
      <c r="A596" s="6">
        <v>594</v>
      </c>
      <c r="B596" s="7" t="str">
        <f>"2773202012210940111481"</f>
        <v>2773202012210940111481</v>
      </c>
      <c r="C596" s="7" t="s">
        <v>16</v>
      </c>
      <c r="D596" s="7" t="str">
        <f>"羊益荣"</f>
        <v>羊益荣</v>
      </c>
      <c r="E596" s="7" t="str">
        <f>"女"</f>
        <v>女</v>
      </c>
    </row>
    <row r="597" spans="1:5" ht="30" customHeight="1">
      <c r="A597" s="6">
        <v>595</v>
      </c>
      <c r="B597" s="7" t="str">
        <f>"2773202012211005591491"</f>
        <v>2773202012211005591491</v>
      </c>
      <c r="C597" s="7" t="s">
        <v>16</v>
      </c>
      <c r="D597" s="7" t="str">
        <f>"黎智理"</f>
        <v>黎智理</v>
      </c>
      <c r="E597" s="7" t="str">
        <f>"男"</f>
        <v>男</v>
      </c>
    </row>
    <row r="598" spans="1:5" ht="30" customHeight="1">
      <c r="A598" s="6">
        <v>596</v>
      </c>
      <c r="B598" s="7" t="str">
        <f>"2773202012211016191497"</f>
        <v>2773202012211016191497</v>
      </c>
      <c r="C598" s="7" t="s">
        <v>16</v>
      </c>
      <c r="D598" s="7" t="str">
        <f>"张其发"</f>
        <v>张其发</v>
      </c>
      <c r="E598" s="7" t="str">
        <f>"男"</f>
        <v>男</v>
      </c>
    </row>
    <row r="599" spans="1:5" ht="30" customHeight="1">
      <c r="A599" s="6">
        <v>597</v>
      </c>
      <c r="B599" s="7" t="str">
        <f>"2773202012211216031541"</f>
        <v>2773202012211216031541</v>
      </c>
      <c r="C599" s="7" t="s">
        <v>16</v>
      </c>
      <c r="D599" s="7" t="str">
        <f>"吴菊"</f>
        <v>吴菊</v>
      </c>
      <c r="E599" s="7" t="str">
        <f>"女"</f>
        <v>女</v>
      </c>
    </row>
    <row r="600" spans="1:5" ht="30" customHeight="1">
      <c r="A600" s="6">
        <v>598</v>
      </c>
      <c r="B600" s="7" t="str">
        <f>"2773202012211223521542"</f>
        <v>2773202012211223521542</v>
      </c>
      <c r="C600" s="7" t="s">
        <v>16</v>
      </c>
      <c r="D600" s="7" t="str">
        <f>"苏日坚"</f>
        <v>苏日坚</v>
      </c>
      <c r="E600" s="7" t="str">
        <f>"男"</f>
        <v>男</v>
      </c>
    </row>
    <row r="601" spans="1:5" ht="30" customHeight="1">
      <c r="A601" s="6">
        <v>599</v>
      </c>
      <c r="B601" s="7" t="str">
        <f>"2773202012211243311545"</f>
        <v>2773202012211243311545</v>
      </c>
      <c r="C601" s="7" t="s">
        <v>16</v>
      </c>
      <c r="D601" s="7" t="str">
        <f>"张哲铭"</f>
        <v>张哲铭</v>
      </c>
      <c r="E601" s="7" t="str">
        <f>"男"</f>
        <v>男</v>
      </c>
    </row>
    <row r="602" spans="1:5" ht="30" customHeight="1">
      <c r="A602" s="6">
        <v>600</v>
      </c>
      <c r="B602" s="7" t="str">
        <f>"2773202012211628001605"</f>
        <v>2773202012211628001605</v>
      </c>
      <c r="C602" s="7" t="s">
        <v>16</v>
      </c>
      <c r="D602" s="7" t="str">
        <f>"陈景才"</f>
        <v>陈景才</v>
      </c>
      <c r="E602" s="7" t="str">
        <f>"男"</f>
        <v>男</v>
      </c>
    </row>
    <row r="603" spans="1:5" ht="30" customHeight="1">
      <c r="A603" s="6">
        <v>601</v>
      </c>
      <c r="B603" s="7" t="str">
        <f>"2773202012211800031622"</f>
        <v>2773202012211800031622</v>
      </c>
      <c r="C603" s="7" t="s">
        <v>16</v>
      </c>
      <c r="D603" s="7" t="str">
        <f>"陈小妹"</f>
        <v>陈小妹</v>
      </c>
      <c r="E603" s="7" t="str">
        <f>"女"</f>
        <v>女</v>
      </c>
    </row>
    <row r="604" spans="1:5" ht="30" customHeight="1">
      <c r="A604" s="6">
        <v>602</v>
      </c>
      <c r="B604" s="7" t="str">
        <f>"2773202012211859271631"</f>
        <v>2773202012211859271631</v>
      </c>
      <c r="C604" s="7" t="s">
        <v>16</v>
      </c>
      <c r="D604" s="7" t="str">
        <f>"吴多佳"</f>
        <v>吴多佳</v>
      </c>
      <c r="E604" s="7" t="str">
        <f>"男"</f>
        <v>男</v>
      </c>
    </row>
    <row r="605" spans="1:5" ht="30" customHeight="1">
      <c r="A605" s="6">
        <v>603</v>
      </c>
      <c r="B605" s="7" t="str">
        <f>"2773202012212300321676"</f>
        <v>2773202012212300321676</v>
      </c>
      <c r="C605" s="7" t="s">
        <v>16</v>
      </c>
      <c r="D605" s="7" t="str">
        <f>"郑灵"</f>
        <v>郑灵</v>
      </c>
      <c r="E605" s="7" t="str">
        <f>"女"</f>
        <v>女</v>
      </c>
    </row>
    <row r="606" spans="1:5" ht="30" customHeight="1">
      <c r="A606" s="6">
        <v>604</v>
      </c>
      <c r="B606" s="7" t="str">
        <f>"2773202012212331271682"</f>
        <v>2773202012212331271682</v>
      </c>
      <c r="C606" s="7" t="s">
        <v>16</v>
      </c>
      <c r="D606" s="7" t="str">
        <f>"杨顶鹤"</f>
        <v>杨顶鹤</v>
      </c>
      <c r="E606" s="7" t="str">
        <f>"女"</f>
        <v>女</v>
      </c>
    </row>
    <row r="607" spans="1:5" ht="30" customHeight="1">
      <c r="A607" s="6">
        <v>605</v>
      </c>
      <c r="B607" s="7" t="str">
        <f>"2773202012220829081692"</f>
        <v>2773202012220829081692</v>
      </c>
      <c r="C607" s="7" t="s">
        <v>16</v>
      </c>
      <c r="D607" s="7" t="str">
        <f>"陈明君"</f>
        <v>陈明君</v>
      </c>
      <c r="E607" s="7" t="str">
        <f aca="true" t="shared" si="21" ref="E607:E613">"男"</f>
        <v>男</v>
      </c>
    </row>
    <row r="608" spans="1:5" ht="30" customHeight="1">
      <c r="A608" s="6">
        <v>606</v>
      </c>
      <c r="B608" s="7" t="str">
        <f>"2773202012220839011693"</f>
        <v>2773202012220839011693</v>
      </c>
      <c r="C608" s="7" t="s">
        <v>16</v>
      </c>
      <c r="D608" s="7" t="str">
        <f>"刘宏骞"</f>
        <v>刘宏骞</v>
      </c>
      <c r="E608" s="7" t="str">
        <f t="shared" si="21"/>
        <v>男</v>
      </c>
    </row>
    <row r="609" spans="1:5" ht="30" customHeight="1">
      <c r="A609" s="6">
        <v>607</v>
      </c>
      <c r="B609" s="7" t="str">
        <f>"2773202012220907551700"</f>
        <v>2773202012220907551700</v>
      </c>
      <c r="C609" s="7" t="s">
        <v>16</v>
      </c>
      <c r="D609" s="7" t="str">
        <f>"吴开吉"</f>
        <v>吴开吉</v>
      </c>
      <c r="E609" s="7" t="str">
        <f t="shared" si="21"/>
        <v>男</v>
      </c>
    </row>
    <row r="610" spans="1:5" ht="30" customHeight="1">
      <c r="A610" s="6">
        <v>608</v>
      </c>
      <c r="B610" s="7" t="str">
        <f>"2773202012221112171720"</f>
        <v>2773202012221112171720</v>
      </c>
      <c r="C610" s="7" t="s">
        <v>16</v>
      </c>
      <c r="D610" s="7" t="str">
        <f>"郑昌丰"</f>
        <v>郑昌丰</v>
      </c>
      <c r="E610" s="7" t="str">
        <f t="shared" si="21"/>
        <v>男</v>
      </c>
    </row>
    <row r="611" spans="1:5" ht="30" customHeight="1">
      <c r="A611" s="6">
        <v>609</v>
      </c>
      <c r="B611" s="7" t="str">
        <f>"2773202012221321081748"</f>
        <v>2773202012221321081748</v>
      </c>
      <c r="C611" s="7" t="s">
        <v>16</v>
      </c>
      <c r="D611" s="7" t="str">
        <f>"郑渊武"</f>
        <v>郑渊武</v>
      </c>
      <c r="E611" s="7" t="str">
        <f t="shared" si="21"/>
        <v>男</v>
      </c>
    </row>
    <row r="612" spans="1:5" ht="30" customHeight="1">
      <c r="A612" s="6">
        <v>610</v>
      </c>
      <c r="B612" s="7" t="str">
        <f>"2773202012221430591755"</f>
        <v>2773202012221430591755</v>
      </c>
      <c r="C612" s="7" t="s">
        <v>16</v>
      </c>
      <c r="D612" s="7" t="str">
        <f>"林明宏"</f>
        <v>林明宏</v>
      </c>
      <c r="E612" s="7" t="str">
        <f t="shared" si="21"/>
        <v>男</v>
      </c>
    </row>
    <row r="613" spans="1:5" ht="30" customHeight="1">
      <c r="A613" s="6">
        <v>611</v>
      </c>
      <c r="B613" s="7" t="str">
        <f>"2773202012221520171766"</f>
        <v>2773202012221520171766</v>
      </c>
      <c r="C613" s="7" t="s">
        <v>16</v>
      </c>
      <c r="D613" s="7" t="str">
        <f>"杜宗雨"</f>
        <v>杜宗雨</v>
      </c>
      <c r="E613" s="7" t="str">
        <f t="shared" si="21"/>
        <v>男</v>
      </c>
    </row>
    <row r="614" spans="1:5" ht="30" customHeight="1">
      <c r="A614" s="6">
        <v>612</v>
      </c>
      <c r="B614" s="7" t="str">
        <f>"2773202012221536131770"</f>
        <v>2773202012221536131770</v>
      </c>
      <c r="C614" s="7" t="s">
        <v>16</v>
      </c>
      <c r="D614" s="7" t="str">
        <f>"王振穗"</f>
        <v>王振穗</v>
      </c>
      <c r="E614" s="7" t="str">
        <f>"女"</f>
        <v>女</v>
      </c>
    </row>
    <row r="615" spans="1:5" ht="30" customHeight="1">
      <c r="A615" s="6">
        <v>613</v>
      </c>
      <c r="B615" s="7" t="str">
        <f>"2773202012221544121772"</f>
        <v>2773202012221544121772</v>
      </c>
      <c r="C615" s="7" t="s">
        <v>16</v>
      </c>
      <c r="D615" s="7" t="str">
        <f>"林彬"</f>
        <v>林彬</v>
      </c>
      <c r="E615" s="7" t="str">
        <f>"男"</f>
        <v>男</v>
      </c>
    </row>
    <row r="616" spans="1:5" ht="30" customHeight="1">
      <c r="A616" s="6">
        <v>614</v>
      </c>
      <c r="B616" s="7" t="str">
        <f>"2773202012221554521776"</f>
        <v>2773202012221554521776</v>
      </c>
      <c r="C616" s="7" t="s">
        <v>16</v>
      </c>
      <c r="D616" s="7" t="str">
        <f>"黄权圣"</f>
        <v>黄权圣</v>
      </c>
      <c r="E616" s="7" t="str">
        <f>"男"</f>
        <v>男</v>
      </c>
    </row>
    <row r="617" spans="1:5" ht="30" customHeight="1">
      <c r="A617" s="6">
        <v>615</v>
      </c>
      <c r="B617" s="7" t="str">
        <f>"2773202012221630101788"</f>
        <v>2773202012221630101788</v>
      </c>
      <c r="C617" s="7" t="s">
        <v>16</v>
      </c>
      <c r="D617" s="7" t="str">
        <f>"陈壮慧"</f>
        <v>陈壮慧</v>
      </c>
      <c r="E617" s="7" t="str">
        <f>"男"</f>
        <v>男</v>
      </c>
    </row>
    <row r="618" spans="1:5" ht="30" customHeight="1">
      <c r="A618" s="6">
        <v>616</v>
      </c>
      <c r="B618" s="7" t="str">
        <f>"2773202012221759521808"</f>
        <v>2773202012221759521808</v>
      </c>
      <c r="C618" s="7" t="s">
        <v>16</v>
      </c>
      <c r="D618" s="7" t="str">
        <f>"林师阳"</f>
        <v>林师阳</v>
      </c>
      <c r="E618" s="7" t="str">
        <f>"男"</f>
        <v>男</v>
      </c>
    </row>
    <row r="619" spans="1:5" ht="30" customHeight="1">
      <c r="A619" s="6">
        <v>617</v>
      </c>
      <c r="B619" s="7" t="str">
        <f>"2773202012222230191862"</f>
        <v>2773202012222230191862</v>
      </c>
      <c r="C619" s="7" t="s">
        <v>16</v>
      </c>
      <c r="D619" s="7" t="str">
        <f>"符永利"</f>
        <v>符永利</v>
      </c>
      <c r="E619" s="7" t="str">
        <f>"男"</f>
        <v>男</v>
      </c>
    </row>
    <row r="620" spans="1:5" ht="30" customHeight="1">
      <c r="A620" s="6">
        <v>618</v>
      </c>
      <c r="B620" s="7" t="str">
        <f>"2773202012222307551873"</f>
        <v>2773202012222307551873</v>
      </c>
      <c r="C620" s="7" t="s">
        <v>16</v>
      </c>
      <c r="D620" s="7" t="str">
        <f>"云琪钰"</f>
        <v>云琪钰</v>
      </c>
      <c r="E620" s="7" t="str">
        <f>"女"</f>
        <v>女</v>
      </c>
    </row>
    <row r="621" spans="1:5" ht="30" customHeight="1">
      <c r="A621" s="6">
        <v>619</v>
      </c>
      <c r="B621" s="7" t="str">
        <f>"2773202012230011281884"</f>
        <v>2773202012230011281884</v>
      </c>
      <c r="C621" s="7" t="s">
        <v>16</v>
      </c>
      <c r="D621" s="7" t="str">
        <f>"陈宣"</f>
        <v>陈宣</v>
      </c>
      <c r="E621" s="7" t="str">
        <f>"男"</f>
        <v>男</v>
      </c>
    </row>
    <row r="622" spans="1:5" ht="30" customHeight="1">
      <c r="A622" s="6">
        <v>620</v>
      </c>
      <c r="B622" s="7" t="str">
        <f>"2773202012231033131917"</f>
        <v>2773202012231033131917</v>
      </c>
      <c r="C622" s="7" t="s">
        <v>16</v>
      </c>
      <c r="D622" s="7" t="str">
        <f>"唐叶蓥"</f>
        <v>唐叶蓥</v>
      </c>
      <c r="E622" s="7" t="str">
        <f>"女"</f>
        <v>女</v>
      </c>
    </row>
    <row r="623" spans="1:5" ht="30" customHeight="1">
      <c r="A623" s="6">
        <v>621</v>
      </c>
      <c r="B623" s="7" t="str">
        <f>"2773202012231244511940"</f>
        <v>2773202012231244511940</v>
      </c>
      <c r="C623" s="7" t="s">
        <v>16</v>
      </c>
      <c r="D623" s="7" t="str">
        <f>"陈强"</f>
        <v>陈强</v>
      </c>
      <c r="E623" s="7" t="str">
        <f aca="true" t="shared" si="22" ref="E623:E628">"男"</f>
        <v>男</v>
      </c>
    </row>
    <row r="624" spans="1:5" ht="30" customHeight="1">
      <c r="A624" s="6">
        <v>622</v>
      </c>
      <c r="B624" s="7" t="str">
        <f>"2773202012231257031944"</f>
        <v>2773202012231257031944</v>
      </c>
      <c r="C624" s="7" t="s">
        <v>16</v>
      </c>
      <c r="D624" s="7" t="str">
        <f>"薛公祝"</f>
        <v>薛公祝</v>
      </c>
      <c r="E624" s="7" t="str">
        <f t="shared" si="22"/>
        <v>男</v>
      </c>
    </row>
    <row r="625" spans="1:5" ht="30" customHeight="1">
      <c r="A625" s="6">
        <v>623</v>
      </c>
      <c r="B625" s="7" t="str">
        <f>"2773202012231302341947"</f>
        <v>2773202012231302341947</v>
      </c>
      <c r="C625" s="7" t="s">
        <v>16</v>
      </c>
      <c r="D625" s="7" t="str">
        <f>"刘阳江"</f>
        <v>刘阳江</v>
      </c>
      <c r="E625" s="7" t="str">
        <f t="shared" si="22"/>
        <v>男</v>
      </c>
    </row>
    <row r="626" spans="1:5" ht="30" customHeight="1">
      <c r="A626" s="6">
        <v>624</v>
      </c>
      <c r="B626" s="7" t="str">
        <f>"2773202012231445261957"</f>
        <v>2773202012231445261957</v>
      </c>
      <c r="C626" s="7" t="s">
        <v>16</v>
      </c>
      <c r="D626" s="7" t="str">
        <f>"刘佳奇"</f>
        <v>刘佳奇</v>
      </c>
      <c r="E626" s="7" t="str">
        <f t="shared" si="22"/>
        <v>男</v>
      </c>
    </row>
    <row r="627" spans="1:5" ht="30" customHeight="1">
      <c r="A627" s="6">
        <v>625</v>
      </c>
      <c r="B627" s="7" t="str">
        <f>"2773202012231545211974"</f>
        <v>2773202012231545211974</v>
      </c>
      <c r="C627" s="7" t="s">
        <v>16</v>
      </c>
      <c r="D627" s="7" t="str">
        <f>"邓广斌"</f>
        <v>邓广斌</v>
      </c>
      <c r="E627" s="7" t="str">
        <f t="shared" si="22"/>
        <v>男</v>
      </c>
    </row>
    <row r="628" spans="1:5" ht="30" customHeight="1">
      <c r="A628" s="6">
        <v>626</v>
      </c>
      <c r="B628" s="7" t="str">
        <f>"27732020121709095140"</f>
        <v>27732020121709095140</v>
      </c>
      <c r="C628" s="7" t="s">
        <v>17</v>
      </c>
      <c r="D628" s="7" t="str">
        <f>"陈永湘"</f>
        <v>陈永湘</v>
      </c>
      <c r="E628" s="7" t="str">
        <f t="shared" si="22"/>
        <v>男</v>
      </c>
    </row>
    <row r="629" spans="1:5" ht="30" customHeight="1">
      <c r="A629" s="6">
        <v>627</v>
      </c>
      <c r="B629" s="7" t="str">
        <f>"277320201217095041134"</f>
        <v>277320201217095041134</v>
      </c>
      <c r="C629" s="7" t="s">
        <v>17</v>
      </c>
      <c r="D629" s="7" t="str">
        <f>"邢彩妮"</f>
        <v>邢彩妮</v>
      </c>
      <c r="E629" s="7" t="str">
        <f>"女"</f>
        <v>女</v>
      </c>
    </row>
    <row r="630" spans="1:5" ht="30" customHeight="1">
      <c r="A630" s="6">
        <v>628</v>
      </c>
      <c r="B630" s="7" t="str">
        <f>"277320201217105851277"</f>
        <v>277320201217105851277</v>
      </c>
      <c r="C630" s="7" t="s">
        <v>17</v>
      </c>
      <c r="D630" s="7" t="str">
        <f>"王秋芸"</f>
        <v>王秋芸</v>
      </c>
      <c r="E630" s="7" t="str">
        <f>"女"</f>
        <v>女</v>
      </c>
    </row>
    <row r="631" spans="1:5" ht="30" customHeight="1">
      <c r="A631" s="6">
        <v>629</v>
      </c>
      <c r="B631" s="7" t="str">
        <f>"277320201217110209286"</f>
        <v>277320201217110209286</v>
      </c>
      <c r="C631" s="7" t="s">
        <v>17</v>
      </c>
      <c r="D631" s="7" t="str">
        <f>"郑元皇"</f>
        <v>郑元皇</v>
      </c>
      <c r="E631" s="7" t="str">
        <f>"男"</f>
        <v>男</v>
      </c>
    </row>
    <row r="632" spans="1:5" ht="30" customHeight="1">
      <c r="A632" s="6">
        <v>630</v>
      </c>
      <c r="B632" s="7" t="str">
        <f>"277320201217130519412"</f>
        <v>277320201217130519412</v>
      </c>
      <c r="C632" s="7" t="s">
        <v>17</v>
      </c>
      <c r="D632" s="7" t="str">
        <f>"黎家成"</f>
        <v>黎家成</v>
      </c>
      <c r="E632" s="7" t="str">
        <f>"男"</f>
        <v>男</v>
      </c>
    </row>
    <row r="633" spans="1:5" ht="30" customHeight="1">
      <c r="A633" s="6">
        <v>631</v>
      </c>
      <c r="B633" s="7" t="str">
        <f>"277320201217141158441"</f>
        <v>277320201217141158441</v>
      </c>
      <c r="C633" s="7" t="s">
        <v>17</v>
      </c>
      <c r="D633" s="7" t="str">
        <f>"罗嘉维"</f>
        <v>罗嘉维</v>
      </c>
      <c r="E633" s="7" t="str">
        <f>"女"</f>
        <v>女</v>
      </c>
    </row>
    <row r="634" spans="1:5" ht="30" customHeight="1">
      <c r="A634" s="6">
        <v>632</v>
      </c>
      <c r="B634" s="7" t="str">
        <f>"277320201217193004669"</f>
        <v>277320201217193004669</v>
      </c>
      <c r="C634" s="7" t="s">
        <v>17</v>
      </c>
      <c r="D634" s="7" t="str">
        <f>"黄妙"</f>
        <v>黄妙</v>
      </c>
      <c r="E634" s="7" t="str">
        <f>"女"</f>
        <v>女</v>
      </c>
    </row>
    <row r="635" spans="1:5" ht="30" customHeight="1">
      <c r="A635" s="6">
        <v>633</v>
      </c>
      <c r="B635" s="7" t="str">
        <f>"277320201217205922723"</f>
        <v>277320201217205922723</v>
      </c>
      <c r="C635" s="7" t="s">
        <v>17</v>
      </c>
      <c r="D635" s="7" t="str">
        <f>"张小兰"</f>
        <v>张小兰</v>
      </c>
      <c r="E635" s="7" t="str">
        <f>"女"</f>
        <v>女</v>
      </c>
    </row>
    <row r="636" spans="1:5" ht="30" customHeight="1">
      <c r="A636" s="6">
        <v>634</v>
      </c>
      <c r="B636" s="7" t="str">
        <f>"277320201217232159790"</f>
        <v>277320201217232159790</v>
      </c>
      <c r="C636" s="7" t="s">
        <v>17</v>
      </c>
      <c r="D636" s="7" t="str">
        <f>"竺德帅"</f>
        <v>竺德帅</v>
      </c>
      <c r="E636" s="7" t="str">
        <f>"男"</f>
        <v>男</v>
      </c>
    </row>
    <row r="637" spans="1:5" ht="30" customHeight="1">
      <c r="A637" s="6">
        <v>635</v>
      </c>
      <c r="B637" s="7" t="str">
        <f>"277320201217233909793"</f>
        <v>277320201217233909793</v>
      </c>
      <c r="C637" s="7" t="s">
        <v>17</v>
      </c>
      <c r="D637" s="7" t="str">
        <f>"黄莹俐"</f>
        <v>黄莹俐</v>
      </c>
      <c r="E637" s="7" t="str">
        <f>"女"</f>
        <v>女</v>
      </c>
    </row>
    <row r="638" spans="1:5" ht="30" customHeight="1">
      <c r="A638" s="6">
        <v>636</v>
      </c>
      <c r="B638" s="7" t="str">
        <f>"277320201218085631823"</f>
        <v>277320201218085631823</v>
      </c>
      <c r="C638" s="7" t="s">
        <v>17</v>
      </c>
      <c r="D638" s="7" t="str">
        <f>"许红兰"</f>
        <v>许红兰</v>
      </c>
      <c r="E638" s="7" t="str">
        <f>"女"</f>
        <v>女</v>
      </c>
    </row>
    <row r="639" spans="1:5" ht="30" customHeight="1">
      <c r="A639" s="6">
        <v>637</v>
      </c>
      <c r="B639" s="7" t="str">
        <f>"277320201218103907876"</f>
        <v>277320201218103907876</v>
      </c>
      <c r="C639" s="7" t="s">
        <v>17</v>
      </c>
      <c r="D639" s="7" t="str">
        <f>"王俊超"</f>
        <v>王俊超</v>
      </c>
      <c r="E639" s="7" t="str">
        <f>"男"</f>
        <v>男</v>
      </c>
    </row>
    <row r="640" spans="1:5" ht="30" customHeight="1">
      <c r="A640" s="6">
        <v>638</v>
      </c>
      <c r="B640" s="7" t="str">
        <f>"2773202012181706591034"</f>
        <v>2773202012181706591034</v>
      </c>
      <c r="C640" s="7" t="s">
        <v>17</v>
      </c>
      <c r="D640" s="7" t="str">
        <f>"陈巧灵"</f>
        <v>陈巧灵</v>
      </c>
      <c r="E640" s="7" t="str">
        <f>"女"</f>
        <v>女</v>
      </c>
    </row>
    <row r="641" spans="1:5" ht="30" customHeight="1">
      <c r="A641" s="6">
        <v>639</v>
      </c>
      <c r="B641" s="7" t="str">
        <f>"2773202012191002301150"</f>
        <v>2773202012191002301150</v>
      </c>
      <c r="C641" s="7" t="s">
        <v>17</v>
      </c>
      <c r="D641" s="7" t="str">
        <f>"林雪莹"</f>
        <v>林雪莹</v>
      </c>
      <c r="E641" s="7" t="str">
        <f>"女"</f>
        <v>女</v>
      </c>
    </row>
    <row r="642" spans="1:5" ht="30" customHeight="1">
      <c r="A642" s="6">
        <v>640</v>
      </c>
      <c r="B642" s="7" t="str">
        <f>"2773202012202340241441"</f>
        <v>2773202012202340241441</v>
      </c>
      <c r="C642" s="7" t="s">
        <v>17</v>
      </c>
      <c r="D642" s="7" t="str">
        <f>"蒋莹"</f>
        <v>蒋莹</v>
      </c>
      <c r="E642" s="7" t="str">
        <f>"女"</f>
        <v>女</v>
      </c>
    </row>
    <row r="643" spans="1:5" ht="30" customHeight="1">
      <c r="A643" s="6">
        <v>641</v>
      </c>
      <c r="B643" s="7" t="str">
        <f>"277320201217102738216"</f>
        <v>277320201217102738216</v>
      </c>
      <c r="C643" s="7" t="s">
        <v>18</v>
      </c>
      <c r="D643" s="7" t="str">
        <f>"符幸云"</f>
        <v>符幸云</v>
      </c>
      <c r="E643" s="7" t="str">
        <f>"女"</f>
        <v>女</v>
      </c>
    </row>
    <row r="644" spans="1:5" ht="30" customHeight="1">
      <c r="A644" s="6">
        <v>642</v>
      </c>
      <c r="B644" s="7" t="str">
        <f>"277320201217154020508"</f>
        <v>277320201217154020508</v>
      </c>
      <c r="C644" s="7" t="s">
        <v>18</v>
      </c>
      <c r="D644" s="7" t="str">
        <f>"符智强"</f>
        <v>符智强</v>
      </c>
      <c r="E644" s="7" t="str">
        <f>"男"</f>
        <v>男</v>
      </c>
    </row>
    <row r="645" spans="1:5" ht="30" customHeight="1">
      <c r="A645" s="6">
        <v>643</v>
      </c>
      <c r="B645" s="7" t="str">
        <f>"277320201217160106528"</f>
        <v>277320201217160106528</v>
      </c>
      <c r="C645" s="7" t="s">
        <v>18</v>
      </c>
      <c r="D645" s="7" t="str">
        <f>"符秋虹"</f>
        <v>符秋虹</v>
      </c>
      <c r="E645" s="7" t="str">
        <f>"女"</f>
        <v>女</v>
      </c>
    </row>
    <row r="646" spans="1:5" ht="30" customHeight="1">
      <c r="A646" s="6">
        <v>644</v>
      </c>
      <c r="B646" s="7" t="str">
        <f>"277320201217181115620"</f>
        <v>277320201217181115620</v>
      </c>
      <c r="C646" s="7" t="s">
        <v>18</v>
      </c>
      <c r="D646" s="7" t="str">
        <f>"吴元涛"</f>
        <v>吴元涛</v>
      </c>
      <c r="E646" s="7" t="str">
        <f>"男"</f>
        <v>男</v>
      </c>
    </row>
    <row r="647" spans="1:5" ht="30" customHeight="1">
      <c r="A647" s="6">
        <v>645</v>
      </c>
      <c r="B647" s="7" t="str">
        <f>"2773202012170901334"</f>
        <v>2773202012170901334</v>
      </c>
      <c r="C647" s="7" t="s">
        <v>19</v>
      </c>
      <c r="D647" s="7" t="str">
        <f>"符红"</f>
        <v>符红</v>
      </c>
      <c r="E647" s="7" t="str">
        <f>"女"</f>
        <v>女</v>
      </c>
    </row>
    <row r="648" spans="1:5" ht="30" customHeight="1">
      <c r="A648" s="6">
        <v>646</v>
      </c>
      <c r="B648" s="7" t="str">
        <f>"2773202012170902026"</f>
        <v>2773202012170902026</v>
      </c>
      <c r="C648" s="7" t="s">
        <v>19</v>
      </c>
      <c r="D648" s="7" t="str">
        <f>"罗雅珅"</f>
        <v>罗雅珅</v>
      </c>
      <c r="E648" s="7" t="str">
        <f>"女"</f>
        <v>女</v>
      </c>
    </row>
    <row r="649" spans="1:5" ht="30" customHeight="1">
      <c r="A649" s="6">
        <v>647</v>
      </c>
      <c r="B649" s="7" t="str">
        <f>"2773202012170902569"</f>
        <v>2773202012170902569</v>
      </c>
      <c r="C649" s="7" t="s">
        <v>19</v>
      </c>
      <c r="D649" s="7" t="str">
        <f>"朱丽秋"</f>
        <v>朱丽秋</v>
      </c>
      <c r="E649" s="7" t="str">
        <f>"女"</f>
        <v>女</v>
      </c>
    </row>
    <row r="650" spans="1:5" ht="30" customHeight="1">
      <c r="A650" s="6">
        <v>648</v>
      </c>
      <c r="B650" s="7" t="str">
        <f>"27732020121709041115"</f>
        <v>27732020121709041115</v>
      </c>
      <c r="C650" s="7" t="s">
        <v>19</v>
      </c>
      <c r="D650" s="7" t="str">
        <f>"羊思思"</f>
        <v>羊思思</v>
      </c>
      <c r="E650" s="7" t="str">
        <f>"女"</f>
        <v>女</v>
      </c>
    </row>
    <row r="651" spans="1:5" ht="30" customHeight="1">
      <c r="A651" s="6">
        <v>649</v>
      </c>
      <c r="B651" s="7" t="str">
        <f>"27732020121709044117"</f>
        <v>27732020121709044117</v>
      </c>
      <c r="C651" s="7" t="s">
        <v>19</v>
      </c>
      <c r="D651" s="7" t="str">
        <f>"陈严伍"</f>
        <v>陈严伍</v>
      </c>
      <c r="E651" s="7" t="str">
        <f>"男"</f>
        <v>男</v>
      </c>
    </row>
    <row r="652" spans="1:5" ht="30" customHeight="1">
      <c r="A652" s="6">
        <v>650</v>
      </c>
      <c r="B652" s="7" t="str">
        <f>"27732020121709044118"</f>
        <v>27732020121709044118</v>
      </c>
      <c r="C652" s="7" t="s">
        <v>19</v>
      </c>
      <c r="D652" s="7" t="str">
        <f>"符珑晶"</f>
        <v>符珑晶</v>
      </c>
      <c r="E652" s="7" t="str">
        <f>"女"</f>
        <v>女</v>
      </c>
    </row>
    <row r="653" spans="1:5" ht="30" customHeight="1">
      <c r="A653" s="6">
        <v>651</v>
      </c>
      <c r="B653" s="7" t="str">
        <f>"27732020121709055921"</f>
        <v>27732020121709055921</v>
      </c>
      <c r="C653" s="7" t="s">
        <v>19</v>
      </c>
      <c r="D653" s="7" t="str">
        <f>"符丽香"</f>
        <v>符丽香</v>
      </c>
      <c r="E653" s="7" t="str">
        <f>"女"</f>
        <v>女</v>
      </c>
    </row>
    <row r="654" spans="1:5" ht="30" customHeight="1">
      <c r="A654" s="6">
        <v>652</v>
      </c>
      <c r="B654" s="7" t="str">
        <f>"27732020121709060122"</f>
        <v>27732020121709060122</v>
      </c>
      <c r="C654" s="7" t="s">
        <v>19</v>
      </c>
      <c r="D654" s="7" t="str">
        <f>"符少莹"</f>
        <v>符少莹</v>
      </c>
      <c r="E654" s="7" t="str">
        <f>"女"</f>
        <v>女</v>
      </c>
    </row>
    <row r="655" spans="1:5" ht="30" customHeight="1">
      <c r="A655" s="6">
        <v>653</v>
      </c>
      <c r="B655" s="7" t="str">
        <f>"27732020121709061923"</f>
        <v>27732020121709061923</v>
      </c>
      <c r="C655" s="7" t="s">
        <v>19</v>
      </c>
      <c r="D655" s="7" t="str">
        <f>"吴群"</f>
        <v>吴群</v>
      </c>
      <c r="E655" s="7" t="str">
        <f>"女"</f>
        <v>女</v>
      </c>
    </row>
    <row r="656" spans="1:5" ht="30" customHeight="1">
      <c r="A656" s="6">
        <v>654</v>
      </c>
      <c r="B656" s="7" t="str">
        <f>"27732020121709062024"</f>
        <v>27732020121709062024</v>
      </c>
      <c r="C656" s="7" t="s">
        <v>19</v>
      </c>
      <c r="D656" s="7" t="str">
        <f>"陈虹利"</f>
        <v>陈虹利</v>
      </c>
      <c r="E656" s="7" t="str">
        <f>"女"</f>
        <v>女</v>
      </c>
    </row>
    <row r="657" spans="1:5" ht="30" customHeight="1">
      <c r="A657" s="6">
        <v>655</v>
      </c>
      <c r="B657" s="7" t="str">
        <f>"27732020121709065526"</f>
        <v>27732020121709065526</v>
      </c>
      <c r="C657" s="7" t="s">
        <v>19</v>
      </c>
      <c r="D657" s="7" t="str">
        <f>"古泽清"</f>
        <v>古泽清</v>
      </c>
      <c r="E657" s="7" t="str">
        <f>"男"</f>
        <v>男</v>
      </c>
    </row>
    <row r="658" spans="1:5" ht="30" customHeight="1">
      <c r="A658" s="6">
        <v>656</v>
      </c>
      <c r="B658" s="7" t="str">
        <f>"27732020121709072127"</f>
        <v>27732020121709072127</v>
      </c>
      <c r="C658" s="7" t="s">
        <v>19</v>
      </c>
      <c r="D658" s="7" t="str">
        <f>"符文慧"</f>
        <v>符文慧</v>
      </c>
      <c r="E658" s="7" t="str">
        <f>"女"</f>
        <v>女</v>
      </c>
    </row>
    <row r="659" spans="1:5" ht="30" customHeight="1">
      <c r="A659" s="6">
        <v>657</v>
      </c>
      <c r="B659" s="7" t="str">
        <f>"27732020121709074230"</f>
        <v>27732020121709074230</v>
      </c>
      <c r="C659" s="7" t="s">
        <v>19</v>
      </c>
      <c r="D659" s="7" t="str">
        <f>"符慧娇"</f>
        <v>符慧娇</v>
      </c>
      <c r="E659" s="7" t="str">
        <f>"女"</f>
        <v>女</v>
      </c>
    </row>
    <row r="660" spans="1:5" ht="30" customHeight="1">
      <c r="A660" s="6">
        <v>658</v>
      </c>
      <c r="B660" s="7" t="str">
        <f>"27732020121709080431"</f>
        <v>27732020121709080431</v>
      </c>
      <c r="C660" s="7" t="s">
        <v>19</v>
      </c>
      <c r="D660" s="7" t="str">
        <f>"叶鑫晨"</f>
        <v>叶鑫晨</v>
      </c>
      <c r="E660" s="7" t="str">
        <f>"女"</f>
        <v>女</v>
      </c>
    </row>
    <row r="661" spans="1:5" ht="30" customHeight="1">
      <c r="A661" s="6">
        <v>659</v>
      </c>
      <c r="B661" s="7" t="str">
        <f>"27732020121709082334"</f>
        <v>27732020121709082334</v>
      </c>
      <c r="C661" s="7" t="s">
        <v>19</v>
      </c>
      <c r="D661" s="7" t="str">
        <f>"符庆丹"</f>
        <v>符庆丹</v>
      </c>
      <c r="E661" s="7" t="str">
        <f>"女"</f>
        <v>女</v>
      </c>
    </row>
    <row r="662" spans="1:5" ht="30" customHeight="1">
      <c r="A662" s="6">
        <v>660</v>
      </c>
      <c r="B662" s="7" t="str">
        <f>"27732020121709085637"</f>
        <v>27732020121709085637</v>
      </c>
      <c r="C662" s="7" t="s">
        <v>19</v>
      </c>
      <c r="D662" s="7" t="str">
        <f>"黄润华"</f>
        <v>黄润华</v>
      </c>
      <c r="E662" s="7" t="str">
        <f>"女"</f>
        <v>女</v>
      </c>
    </row>
    <row r="663" spans="1:5" ht="30" customHeight="1">
      <c r="A663" s="6">
        <v>661</v>
      </c>
      <c r="B663" s="7" t="str">
        <f>"27732020121709094439"</f>
        <v>27732020121709094439</v>
      </c>
      <c r="C663" s="7" t="s">
        <v>19</v>
      </c>
      <c r="D663" s="7" t="str">
        <f>"符宏达"</f>
        <v>符宏达</v>
      </c>
      <c r="E663" s="7" t="str">
        <f>"男"</f>
        <v>男</v>
      </c>
    </row>
    <row r="664" spans="1:5" ht="30" customHeight="1">
      <c r="A664" s="6">
        <v>662</v>
      </c>
      <c r="B664" s="7" t="str">
        <f>"27732020121709104041"</f>
        <v>27732020121709104041</v>
      </c>
      <c r="C664" s="7" t="s">
        <v>19</v>
      </c>
      <c r="D664" s="7" t="str">
        <f>"王春苗"</f>
        <v>王春苗</v>
      </c>
      <c r="E664" s="7" t="str">
        <f>"女"</f>
        <v>女</v>
      </c>
    </row>
    <row r="665" spans="1:5" ht="30" customHeight="1">
      <c r="A665" s="6">
        <v>663</v>
      </c>
      <c r="B665" s="7" t="str">
        <f>"27732020121709104542"</f>
        <v>27732020121709104542</v>
      </c>
      <c r="C665" s="7" t="s">
        <v>19</v>
      </c>
      <c r="D665" s="7" t="str">
        <f>"陈海玉"</f>
        <v>陈海玉</v>
      </c>
      <c r="E665" s="7" t="str">
        <f>"女"</f>
        <v>女</v>
      </c>
    </row>
    <row r="666" spans="1:5" ht="30" customHeight="1">
      <c r="A666" s="6">
        <v>664</v>
      </c>
      <c r="B666" s="7" t="str">
        <f>"27732020121709112446"</f>
        <v>27732020121709112446</v>
      </c>
      <c r="C666" s="7" t="s">
        <v>19</v>
      </c>
      <c r="D666" s="7" t="str">
        <f>"符禄庭"</f>
        <v>符禄庭</v>
      </c>
      <c r="E666" s="7" t="str">
        <f>"女"</f>
        <v>女</v>
      </c>
    </row>
    <row r="667" spans="1:5" ht="30" customHeight="1">
      <c r="A667" s="6">
        <v>665</v>
      </c>
      <c r="B667" s="7" t="str">
        <f>"27732020121709114847"</f>
        <v>27732020121709114847</v>
      </c>
      <c r="C667" s="7" t="s">
        <v>19</v>
      </c>
      <c r="D667" s="7" t="str">
        <f>"符诚国"</f>
        <v>符诚国</v>
      </c>
      <c r="E667" s="7" t="str">
        <f>"男"</f>
        <v>男</v>
      </c>
    </row>
    <row r="668" spans="1:5" ht="30" customHeight="1">
      <c r="A668" s="6">
        <v>666</v>
      </c>
      <c r="B668" s="7" t="str">
        <f>"27732020121709123848"</f>
        <v>27732020121709123848</v>
      </c>
      <c r="C668" s="7" t="s">
        <v>19</v>
      </c>
      <c r="D668" s="7" t="str">
        <f>"刘统康"</f>
        <v>刘统康</v>
      </c>
      <c r="E668" s="7" t="str">
        <f>"男"</f>
        <v>男</v>
      </c>
    </row>
    <row r="669" spans="1:5" ht="30" customHeight="1">
      <c r="A669" s="6">
        <v>667</v>
      </c>
      <c r="B669" s="7" t="str">
        <f>"27732020121709131149"</f>
        <v>27732020121709131149</v>
      </c>
      <c r="C669" s="7" t="s">
        <v>19</v>
      </c>
      <c r="D669" s="7" t="str">
        <f>"刘海翠"</f>
        <v>刘海翠</v>
      </c>
      <c r="E669" s="7" t="str">
        <f>"女"</f>
        <v>女</v>
      </c>
    </row>
    <row r="670" spans="1:5" ht="30" customHeight="1">
      <c r="A670" s="6">
        <v>668</v>
      </c>
      <c r="B670" s="7" t="str">
        <f>"27732020121709132350"</f>
        <v>27732020121709132350</v>
      </c>
      <c r="C670" s="7" t="s">
        <v>19</v>
      </c>
      <c r="D670" s="7" t="str">
        <f>"王华健"</f>
        <v>王华健</v>
      </c>
      <c r="E670" s="7" t="str">
        <f>"男"</f>
        <v>男</v>
      </c>
    </row>
    <row r="671" spans="1:5" ht="30" customHeight="1">
      <c r="A671" s="6">
        <v>669</v>
      </c>
      <c r="B671" s="7" t="str">
        <f>"27732020121709133351"</f>
        <v>27732020121709133351</v>
      </c>
      <c r="C671" s="7" t="s">
        <v>19</v>
      </c>
      <c r="D671" s="7" t="str">
        <f>"王海燕"</f>
        <v>王海燕</v>
      </c>
      <c r="E671" s="7" t="str">
        <f>"女"</f>
        <v>女</v>
      </c>
    </row>
    <row r="672" spans="1:5" ht="30" customHeight="1">
      <c r="A672" s="6">
        <v>670</v>
      </c>
      <c r="B672" s="7" t="str">
        <f>"27732020121709144052"</f>
        <v>27732020121709144052</v>
      </c>
      <c r="C672" s="7" t="s">
        <v>19</v>
      </c>
      <c r="D672" s="7" t="str">
        <f>"符海娜"</f>
        <v>符海娜</v>
      </c>
      <c r="E672" s="7" t="str">
        <f>"女"</f>
        <v>女</v>
      </c>
    </row>
    <row r="673" spans="1:5" ht="30" customHeight="1">
      <c r="A673" s="6">
        <v>671</v>
      </c>
      <c r="B673" s="7" t="str">
        <f>"27732020121709151353"</f>
        <v>27732020121709151353</v>
      </c>
      <c r="C673" s="7" t="s">
        <v>19</v>
      </c>
      <c r="D673" s="7" t="str">
        <f>"符仕献"</f>
        <v>符仕献</v>
      </c>
      <c r="E673" s="7" t="str">
        <f>"男"</f>
        <v>男</v>
      </c>
    </row>
    <row r="674" spans="1:5" ht="30" customHeight="1">
      <c r="A674" s="6">
        <v>672</v>
      </c>
      <c r="B674" s="7" t="str">
        <f>"27732020121709155955"</f>
        <v>27732020121709155955</v>
      </c>
      <c r="C674" s="7" t="s">
        <v>19</v>
      </c>
      <c r="D674" s="7" t="str">
        <f>"冼格格"</f>
        <v>冼格格</v>
      </c>
      <c r="E674" s="7" t="str">
        <f>"女"</f>
        <v>女</v>
      </c>
    </row>
    <row r="675" spans="1:5" ht="30" customHeight="1">
      <c r="A675" s="6">
        <v>673</v>
      </c>
      <c r="B675" s="7" t="str">
        <f>"27732020121709163256"</f>
        <v>27732020121709163256</v>
      </c>
      <c r="C675" s="7" t="s">
        <v>19</v>
      </c>
      <c r="D675" s="7" t="str">
        <f>"符月梅"</f>
        <v>符月梅</v>
      </c>
      <c r="E675" s="7" t="str">
        <f>"女"</f>
        <v>女</v>
      </c>
    </row>
    <row r="676" spans="1:5" ht="30" customHeight="1">
      <c r="A676" s="6">
        <v>674</v>
      </c>
      <c r="B676" s="7" t="str">
        <f>"27732020121709165459"</f>
        <v>27732020121709165459</v>
      </c>
      <c r="C676" s="7" t="s">
        <v>19</v>
      </c>
      <c r="D676" s="7" t="str">
        <f>"林呈"</f>
        <v>林呈</v>
      </c>
      <c r="E676" s="7" t="str">
        <f>"男"</f>
        <v>男</v>
      </c>
    </row>
    <row r="677" spans="1:5" ht="30" customHeight="1">
      <c r="A677" s="6">
        <v>675</v>
      </c>
      <c r="B677" s="7" t="str">
        <f>"27732020121709170360"</f>
        <v>27732020121709170360</v>
      </c>
      <c r="C677" s="7" t="s">
        <v>19</v>
      </c>
      <c r="D677" s="7" t="str">
        <f>"石磊"</f>
        <v>石磊</v>
      </c>
      <c r="E677" s="7" t="str">
        <f>"女"</f>
        <v>女</v>
      </c>
    </row>
    <row r="678" spans="1:5" ht="30" customHeight="1">
      <c r="A678" s="6">
        <v>676</v>
      </c>
      <c r="B678" s="7" t="str">
        <f>"27732020121709173662"</f>
        <v>27732020121709173662</v>
      </c>
      <c r="C678" s="7" t="s">
        <v>19</v>
      </c>
      <c r="D678" s="7" t="str">
        <f>"张校华"</f>
        <v>张校华</v>
      </c>
      <c r="E678" s="7" t="str">
        <f>"男"</f>
        <v>男</v>
      </c>
    </row>
    <row r="679" spans="1:5" ht="30" customHeight="1">
      <c r="A679" s="6">
        <v>677</v>
      </c>
      <c r="B679" s="7" t="str">
        <f>"27732020121709183263"</f>
        <v>27732020121709183263</v>
      </c>
      <c r="C679" s="7" t="s">
        <v>19</v>
      </c>
      <c r="D679" s="7" t="str">
        <f>"符恒瑜"</f>
        <v>符恒瑜</v>
      </c>
      <c r="E679" s="7" t="str">
        <f aca="true" t="shared" si="23" ref="E679:E684">"女"</f>
        <v>女</v>
      </c>
    </row>
    <row r="680" spans="1:5" ht="30" customHeight="1">
      <c r="A680" s="6">
        <v>678</v>
      </c>
      <c r="B680" s="7" t="str">
        <f>"27732020121709183864"</f>
        <v>27732020121709183864</v>
      </c>
      <c r="C680" s="7" t="s">
        <v>19</v>
      </c>
      <c r="D680" s="7" t="str">
        <f>"刘丽婷"</f>
        <v>刘丽婷</v>
      </c>
      <c r="E680" s="7" t="str">
        <f t="shared" si="23"/>
        <v>女</v>
      </c>
    </row>
    <row r="681" spans="1:5" ht="30" customHeight="1">
      <c r="A681" s="6">
        <v>679</v>
      </c>
      <c r="B681" s="7" t="str">
        <f>"27732020121709185466"</f>
        <v>27732020121709185466</v>
      </c>
      <c r="C681" s="7" t="s">
        <v>19</v>
      </c>
      <c r="D681" s="7" t="str">
        <f>"杨宇婷"</f>
        <v>杨宇婷</v>
      </c>
      <c r="E681" s="7" t="str">
        <f t="shared" si="23"/>
        <v>女</v>
      </c>
    </row>
    <row r="682" spans="1:5" ht="30" customHeight="1">
      <c r="A682" s="6">
        <v>680</v>
      </c>
      <c r="B682" s="7" t="str">
        <f>"27732020121709212970"</f>
        <v>27732020121709212970</v>
      </c>
      <c r="C682" s="7" t="s">
        <v>19</v>
      </c>
      <c r="D682" s="7" t="str">
        <f>"符娇凤"</f>
        <v>符娇凤</v>
      </c>
      <c r="E682" s="7" t="str">
        <f t="shared" si="23"/>
        <v>女</v>
      </c>
    </row>
    <row r="683" spans="1:5" ht="30" customHeight="1">
      <c r="A683" s="6">
        <v>681</v>
      </c>
      <c r="B683" s="7" t="str">
        <f>"27732020121709215171"</f>
        <v>27732020121709215171</v>
      </c>
      <c r="C683" s="7" t="s">
        <v>19</v>
      </c>
      <c r="D683" s="7" t="str">
        <f>"王雪营"</f>
        <v>王雪营</v>
      </c>
      <c r="E683" s="7" t="str">
        <f t="shared" si="23"/>
        <v>女</v>
      </c>
    </row>
    <row r="684" spans="1:5" ht="30" customHeight="1">
      <c r="A684" s="6">
        <v>682</v>
      </c>
      <c r="B684" s="7" t="str">
        <f>"27732020121709215572"</f>
        <v>27732020121709215572</v>
      </c>
      <c r="C684" s="7" t="s">
        <v>19</v>
      </c>
      <c r="D684" s="7" t="str">
        <f>"刘青"</f>
        <v>刘青</v>
      </c>
      <c r="E684" s="7" t="str">
        <f t="shared" si="23"/>
        <v>女</v>
      </c>
    </row>
    <row r="685" spans="1:5" ht="30" customHeight="1">
      <c r="A685" s="6">
        <v>683</v>
      </c>
      <c r="B685" s="7" t="str">
        <f>"27732020121709223874"</f>
        <v>27732020121709223874</v>
      </c>
      <c r="C685" s="7" t="s">
        <v>19</v>
      </c>
      <c r="D685" s="7" t="str">
        <f>"刘文山"</f>
        <v>刘文山</v>
      </c>
      <c r="E685" s="7" t="str">
        <f>"男"</f>
        <v>男</v>
      </c>
    </row>
    <row r="686" spans="1:5" ht="30" customHeight="1">
      <c r="A686" s="6">
        <v>684</v>
      </c>
      <c r="B686" s="7" t="str">
        <f>"27732020121709225875"</f>
        <v>27732020121709225875</v>
      </c>
      <c r="C686" s="7" t="s">
        <v>19</v>
      </c>
      <c r="D686" s="7" t="str">
        <f>"刘振国"</f>
        <v>刘振国</v>
      </c>
      <c r="E686" s="7" t="str">
        <f>"男"</f>
        <v>男</v>
      </c>
    </row>
    <row r="687" spans="1:5" ht="30" customHeight="1">
      <c r="A687" s="6">
        <v>685</v>
      </c>
      <c r="B687" s="7" t="str">
        <f>"27732020121709252078"</f>
        <v>27732020121709252078</v>
      </c>
      <c r="C687" s="7" t="s">
        <v>19</v>
      </c>
      <c r="D687" s="7" t="str">
        <f>"王俊"</f>
        <v>王俊</v>
      </c>
      <c r="E687" s="7" t="str">
        <f>"男"</f>
        <v>男</v>
      </c>
    </row>
    <row r="688" spans="1:5" ht="30" customHeight="1">
      <c r="A688" s="6">
        <v>686</v>
      </c>
      <c r="B688" s="7" t="str">
        <f>"27732020121709253379"</f>
        <v>27732020121709253379</v>
      </c>
      <c r="C688" s="7" t="s">
        <v>19</v>
      </c>
      <c r="D688" s="7" t="str">
        <f>"符方媛"</f>
        <v>符方媛</v>
      </c>
      <c r="E688" s="7" t="str">
        <f>"女"</f>
        <v>女</v>
      </c>
    </row>
    <row r="689" spans="1:5" ht="30" customHeight="1">
      <c r="A689" s="6">
        <v>687</v>
      </c>
      <c r="B689" s="7" t="str">
        <f>"27732020121709263282"</f>
        <v>27732020121709263282</v>
      </c>
      <c r="C689" s="7" t="s">
        <v>19</v>
      </c>
      <c r="D689" s="7" t="str">
        <f>"符海涛"</f>
        <v>符海涛</v>
      </c>
      <c r="E689" s="7" t="str">
        <f>"男"</f>
        <v>男</v>
      </c>
    </row>
    <row r="690" spans="1:5" ht="30" customHeight="1">
      <c r="A690" s="6">
        <v>688</v>
      </c>
      <c r="B690" s="7" t="str">
        <f>"27732020121709285886"</f>
        <v>27732020121709285886</v>
      </c>
      <c r="C690" s="7" t="s">
        <v>19</v>
      </c>
      <c r="D690" s="7" t="str">
        <f>"王青瑜"</f>
        <v>王青瑜</v>
      </c>
      <c r="E690" s="7" t="str">
        <f>"女"</f>
        <v>女</v>
      </c>
    </row>
    <row r="691" spans="1:5" ht="30" customHeight="1">
      <c r="A691" s="6">
        <v>689</v>
      </c>
      <c r="B691" s="7" t="str">
        <f>"27732020121709312188"</f>
        <v>27732020121709312188</v>
      </c>
      <c r="C691" s="7" t="s">
        <v>19</v>
      </c>
      <c r="D691" s="7" t="str">
        <f>"符丹青"</f>
        <v>符丹青</v>
      </c>
      <c r="E691" s="7" t="str">
        <f>"男"</f>
        <v>男</v>
      </c>
    </row>
    <row r="692" spans="1:5" ht="30" customHeight="1">
      <c r="A692" s="6">
        <v>690</v>
      </c>
      <c r="B692" s="7" t="str">
        <f>"27732020121709320590"</f>
        <v>27732020121709320590</v>
      </c>
      <c r="C692" s="7" t="s">
        <v>19</v>
      </c>
      <c r="D692" s="7" t="str">
        <f>"符州明"</f>
        <v>符州明</v>
      </c>
      <c r="E692" s="7" t="str">
        <f>"男"</f>
        <v>男</v>
      </c>
    </row>
    <row r="693" spans="1:5" ht="30" customHeight="1">
      <c r="A693" s="6">
        <v>691</v>
      </c>
      <c r="B693" s="7" t="str">
        <f>"27732020121709320591"</f>
        <v>27732020121709320591</v>
      </c>
      <c r="C693" s="7" t="s">
        <v>19</v>
      </c>
      <c r="D693" s="7" t="str">
        <f>"朱康"</f>
        <v>朱康</v>
      </c>
      <c r="E693" s="7" t="str">
        <f>"男"</f>
        <v>男</v>
      </c>
    </row>
    <row r="694" spans="1:5" ht="30" customHeight="1">
      <c r="A694" s="6">
        <v>692</v>
      </c>
      <c r="B694" s="7" t="str">
        <f>"27732020121709323992"</f>
        <v>27732020121709323992</v>
      </c>
      <c r="C694" s="7" t="s">
        <v>19</v>
      </c>
      <c r="D694" s="7" t="str">
        <f>"羊彩思"</f>
        <v>羊彩思</v>
      </c>
      <c r="E694" s="7" t="str">
        <f>"女"</f>
        <v>女</v>
      </c>
    </row>
    <row r="695" spans="1:5" ht="30" customHeight="1">
      <c r="A695" s="6">
        <v>693</v>
      </c>
      <c r="B695" s="7" t="str">
        <f>"27732020121709325693"</f>
        <v>27732020121709325693</v>
      </c>
      <c r="C695" s="7" t="s">
        <v>19</v>
      </c>
      <c r="D695" s="7" t="str">
        <f>"万姗姗"</f>
        <v>万姗姗</v>
      </c>
      <c r="E695" s="7" t="str">
        <f>"女"</f>
        <v>女</v>
      </c>
    </row>
    <row r="696" spans="1:5" ht="30" customHeight="1">
      <c r="A696" s="6">
        <v>694</v>
      </c>
      <c r="B696" s="7" t="str">
        <f>"27732020121709331794"</f>
        <v>27732020121709331794</v>
      </c>
      <c r="C696" s="7" t="s">
        <v>19</v>
      </c>
      <c r="D696" s="7" t="str">
        <f>"曾婉珏"</f>
        <v>曾婉珏</v>
      </c>
      <c r="E696" s="7" t="str">
        <f>"女"</f>
        <v>女</v>
      </c>
    </row>
    <row r="697" spans="1:5" ht="30" customHeight="1">
      <c r="A697" s="6">
        <v>695</v>
      </c>
      <c r="B697" s="7" t="str">
        <f>"277320201217093836103"</f>
        <v>277320201217093836103</v>
      </c>
      <c r="C697" s="7" t="s">
        <v>19</v>
      </c>
      <c r="D697" s="7" t="str">
        <f>"符筱玥"</f>
        <v>符筱玥</v>
      </c>
      <c r="E697" s="7" t="str">
        <f>"女"</f>
        <v>女</v>
      </c>
    </row>
    <row r="698" spans="1:5" ht="30" customHeight="1">
      <c r="A698" s="6">
        <v>696</v>
      </c>
      <c r="B698" s="7" t="str">
        <f>"277320201217093910105"</f>
        <v>277320201217093910105</v>
      </c>
      <c r="C698" s="7" t="s">
        <v>19</v>
      </c>
      <c r="D698" s="7" t="str">
        <f>"刘双双"</f>
        <v>刘双双</v>
      </c>
      <c r="E698" s="7" t="str">
        <f>"女"</f>
        <v>女</v>
      </c>
    </row>
    <row r="699" spans="1:5" ht="30" customHeight="1">
      <c r="A699" s="6">
        <v>697</v>
      </c>
      <c r="B699" s="7" t="str">
        <f>"277320201217093930106"</f>
        <v>277320201217093930106</v>
      </c>
      <c r="C699" s="7" t="s">
        <v>19</v>
      </c>
      <c r="D699" s="7" t="str">
        <f>"郑惠新"</f>
        <v>郑惠新</v>
      </c>
      <c r="E699" s="7" t="str">
        <f>"男"</f>
        <v>男</v>
      </c>
    </row>
    <row r="700" spans="1:5" ht="30" customHeight="1">
      <c r="A700" s="6">
        <v>698</v>
      </c>
      <c r="B700" s="7" t="str">
        <f>"277320201217094319111"</f>
        <v>277320201217094319111</v>
      </c>
      <c r="C700" s="7" t="s">
        <v>19</v>
      </c>
      <c r="D700" s="7" t="str">
        <f>"符秋霜"</f>
        <v>符秋霜</v>
      </c>
      <c r="E700" s="7" t="str">
        <f>"女"</f>
        <v>女</v>
      </c>
    </row>
    <row r="701" spans="1:5" ht="30" customHeight="1">
      <c r="A701" s="6">
        <v>699</v>
      </c>
      <c r="B701" s="7" t="str">
        <f>"277320201217094342112"</f>
        <v>277320201217094342112</v>
      </c>
      <c r="C701" s="7" t="s">
        <v>19</v>
      </c>
      <c r="D701" s="7" t="str">
        <f>"麦玉秋"</f>
        <v>麦玉秋</v>
      </c>
      <c r="E701" s="7" t="str">
        <f>"女"</f>
        <v>女</v>
      </c>
    </row>
    <row r="702" spans="1:5" ht="30" customHeight="1">
      <c r="A702" s="6">
        <v>700</v>
      </c>
      <c r="B702" s="7" t="str">
        <f>"277320201217094404115"</f>
        <v>277320201217094404115</v>
      </c>
      <c r="C702" s="7" t="s">
        <v>19</v>
      </c>
      <c r="D702" s="7" t="str">
        <f>"符明媚"</f>
        <v>符明媚</v>
      </c>
      <c r="E702" s="7" t="str">
        <f>"女"</f>
        <v>女</v>
      </c>
    </row>
    <row r="703" spans="1:5" ht="30" customHeight="1">
      <c r="A703" s="6">
        <v>701</v>
      </c>
      <c r="B703" s="7" t="str">
        <f>"277320201217094417116"</f>
        <v>277320201217094417116</v>
      </c>
      <c r="C703" s="7" t="s">
        <v>19</v>
      </c>
      <c r="D703" s="7" t="str">
        <f>"符政贝"</f>
        <v>符政贝</v>
      </c>
      <c r="E703" s="7" t="str">
        <f>"女"</f>
        <v>女</v>
      </c>
    </row>
    <row r="704" spans="1:5" ht="30" customHeight="1">
      <c r="A704" s="6">
        <v>702</v>
      </c>
      <c r="B704" s="7" t="str">
        <f>"277320201217094636122"</f>
        <v>277320201217094636122</v>
      </c>
      <c r="C704" s="7" t="s">
        <v>19</v>
      </c>
      <c r="D704" s="7" t="str">
        <f>"符欣"</f>
        <v>符欣</v>
      </c>
      <c r="E704" s="7" t="str">
        <f>"女"</f>
        <v>女</v>
      </c>
    </row>
    <row r="705" spans="1:5" ht="30" customHeight="1">
      <c r="A705" s="6">
        <v>703</v>
      </c>
      <c r="B705" s="7" t="str">
        <f>"277320201217095018133"</f>
        <v>277320201217095018133</v>
      </c>
      <c r="C705" s="7" t="s">
        <v>19</v>
      </c>
      <c r="D705" s="7" t="str">
        <f>"陆建华"</f>
        <v>陆建华</v>
      </c>
      <c r="E705" s="7" t="str">
        <f>"男"</f>
        <v>男</v>
      </c>
    </row>
    <row r="706" spans="1:5" ht="30" customHeight="1">
      <c r="A706" s="6">
        <v>704</v>
      </c>
      <c r="B706" s="7" t="str">
        <f>"277320201217095149137"</f>
        <v>277320201217095149137</v>
      </c>
      <c r="C706" s="7" t="s">
        <v>19</v>
      </c>
      <c r="D706" s="7" t="str">
        <f>"韦玉珍"</f>
        <v>韦玉珍</v>
      </c>
      <c r="E706" s="7" t="str">
        <f>"女"</f>
        <v>女</v>
      </c>
    </row>
    <row r="707" spans="1:5" ht="30" customHeight="1">
      <c r="A707" s="6">
        <v>705</v>
      </c>
      <c r="B707" s="7" t="str">
        <f>"277320201217095348141"</f>
        <v>277320201217095348141</v>
      </c>
      <c r="C707" s="7" t="s">
        <v>19</v>
      </c>
      <c r="D707" s="7" t="str">
        <f>"杨宇艳"</f>
        <v>杨宇艳</v>
      </c>
      <c r="E707" s="7" t="str">
        <f>"女"</f>
        <v>女</v>
      </c>
    </row>
    <row r="708" spans="1:5" ht="30" customHeight="1">
      <c r="A708" s="6">
        <v>706</v>
      </c>
      <c r="B708" s="7" t="str">
        <f>"277320201217095609148"</f>
        <v>277320201217095609148</v>
      </c>
      <c r="C708" s="7" t="s">
        <v>19</v>
      </c>
      <c r="D708" s="7" t="str">
        <f>"黄晓莹"</f>
        <v>黄晓莹</v>
      </c>
      <c r="E708" s="7" t="str">
        <f>"女"</f>
        <v>女</v>
      </c>
    </row>
    <row r="709" spans="1:5" ht="30" customHeight="1">
      <c r="A709" s="6">
        <v>707</v>
      </c>
      <c r="B709" s="7" t="str">
        <f>"277320201217095624150"</f>
        <v>277320201217095624150</v>
      </c>
      <c r="C709" s="7" t="s">
        <v>19</v>
      </c>
      <c r="D709" s="7" t="str">
        <f>"符震"</f>
        <v>符震</v>
      </c>
      <c r="E709" s="7" t="str">
        <f>"男"</f>
        <v>男</v>
      </c>
    </row>
    <row r="710" spans="1:5" ht="30" customHeight="1">
      <c r="A710" s="6">
        <v>708</v>
      </c>
      <c r="B710" s="7" t="str">
        <f>"277320201217100001154"</f>
        <v>277320201217100001154</v>
      </c>
      <c r="C710" s="7" t="s">
        <v>19</v>
      </c>
      <c r="D710" s="7" t="str">
        <f>"高晓芹"</f>
        <v>高晓芹</v>
      </c>
      <c r="E710" s="7" t="str">
        <f>"女"</f>
        <v>女</v>
      </c>
    </row>
    <row r="711" spans="1:5" ht="30" customHeight="1">
      <c r="A711" s="6">
        <v>709</v>
      </c>
      <c r="B711" s="7" t="str">
        <f>"277320201217100332160"</f>
        <v>277320201217100332160</v>
      </c>
      <c r="C711" s="7" t="s">
        <v>19</v>
      </c>
      <c r="D711" s="7" t="str">
        <f>"符冲"</f>
        <v>符冲</v>
      </c>
      <c r="E711" s="7" t="str">
        <f>"男"</f>
        <v>男</v>
      </c>
    </row>
    <row r="712" spans="1:5" ht="30" customHeight="1">
      <c r="A712" s="6">
        <v>710</v>
      </c>
      <c r="B712" s="7" t="str">
        <f>"277320201217100355161"</f>
        <v>277320201217100355161</v>
      </c>
      <c r="C712" s="7" t="s">
        <v>19</v>
      </c>
      <c r="D712" s="7" t="str">
        <f>"王坚宇"</f>
        <v>王坚宇</v>
      </c>
      <c r="E712" s="7" t="str">
        <f>"男"</f>
        <v>男</v>
      </c>
    </row>
    <row r="713" spans="1:5" ht="30" customHeight="1">
      <c r="A713" s="6">
        <v>711</v>
      </c>
      <c r="B713" s="7" t="str">
        <f>"277320201217100847170"</f>
        <v>277320201217100847170</v>
      </c>
      <c r="C713" s="7" t="s">
        <v>19</v>
      </c>
      <c r="D713" s="7" t="str">
        <f>"王婷"</f>
        <v>王婷</v>
      </c>
      <c r="E713" s="7" t="str">
        <f>"女"</f>
        <v>女</v>
      </c>
    </row>
    <row r="714" spans="1:5" ht="30" customHeight="1">
      <c r="A714" s="6">
        <v>712</v>
      </c>
      <c r="B714" s="7" t="str">
        <f>"277320201217100912171"</f>
        <v>277320201217100912171</v>
      </c>
      <c r="C714" s="7" t="s">
        <v>19</v>
      </c>
      <c r="D714" s="7" t="str">
        <f>"符翠容"</f>
        <v>符翠容</v>
      </c>
      <c r="E714" s="7" t="str">
        <f>"女"</f>
        <v>女</v>
      </c>
    </row>
    <row r="715" spans="1:5" ht="30" customHeight="1">
      <c r="A715" s="6">
        <v>713</v>
      </c>
      <c r="B715" s="7" t="str">
        <f>"277320201217101040176"</f>
        <v>277320201217101040176</v>
      </c>
      <c r="C715" s="7" t="s">
        <v>19</v>
      </c>
      <c r="D715" s="7" t="str">
        <f>"符晓康"</f>
        <v>符晓康</v>
      </c>
      <c r="E715" s="7" t="str">
        <f>"男"</f>
        <v>男</v>
      </c>
    </row>
    <row r="716" spans="1:5" ht="30" customHeight="1">
      <c r="A716" s="6">
        <v>714</v>
      </c>
      <c r="B716" s="7" t="str">
        <f>"277320201217101050177"</f>
        <v>277320201217101050177</v>
      </c>
      <c r="C716" s="7" t="s">
        <v>19</v>
      </c>
      <c r="D716" s="7" t="str">
        <f>"王干"</f>
        <v>王干</v>
      </c>
      <c r="E716" s="7" t="str">
        <f>"男"</f>
        <v>男</v>
      </c>
    </row>
    <row r="717" spans="1:5" ht="30" customHeight="1">
      <c r="A717" s="6">
        <v>715</v>
      </c>
      <c r="B717" s="7" t="str">
        <f>"277320201217101102178"</f>
        <v>277320201217101102178</v>
      </c>
      <c r="C717" s="7" t="s">
        <v>19</v>
      </c>
      <c r="D717" s="7" t="str">
        <f>"符萍"</f>
        <v>符萍</v>
      </c>
      <c r="E717" s="7" t="str">
        <f>"女"</f>
        <v>女</v>
      </c>
    </row>
    <row r="718" spans="1:5" ht="30" customHeight="1">
      <c r="A718" s="6">
        <v>716</v>
      </c>
      <c r="B718" s="7" t="str">
        <f>"277320201217101153181"</f>
        <v>277320201217101153181</v>
      </c>
      <c r="C718" s="7" t="s">
        <v>19</v>
      </c>
      <c r="D718" s="7" t="str">
        <f>"梁红"</f>
        <v>梁红</v>
      </c>
      <c r="E718" s="7" t="str">
        <f>"女"</f>
        <v>女</v>
      </c>
    </row>
    <row r="719" spans="1:5" ht="30" customHeight="1">
      <c r="A719" s="6">
        <v>717</v>
      </c>
      <c r="B719" s="7" t="str">
        <f>"277320201217101154182"</f>
        <v>277320201217101154182</v>
      </c>
      <c r="C719" s="7" t="s">
        <v>19</v>
      </c>
      <c r="D719" s="7" t="str">
        <f>"梁宁权"</f>
        <v>梁宁权</v>
      </c>
      <c r="E719" s="7" t="str">
        <f>"男"</f>
        <v>男</v>
      </c>
    </row>
    <row r="720" spans="1:5" ht="30" customHeight="1">
      <c r="A720" s="6">
        <v>718</v>
      </c>
      <c r="B720" s="7" t="str">
        <f>"277320201217101233183"</f>
        <v>277320201217101233183</v>
      </c>
      <c r="C720" s="7" t="s">
        <v>19</v>
      </c>
      <c r="D720" s="7" t="str">
        <f>"黄雅琪"</f>
        <v>黄雅琪</v>
      </c>
      <c r="E720" s="7" t="str">
        <f>"女"</f>
        <v>女</v>
      </c>
    </row>
    <row r="721" spans="1:5" ht="30" customHeight="1">
      <c r="A721" s="6">
        <v>719</v>
      </c>
      <c r="B721" s="7" t="str">
        <f>"277320201217101247185"</f>
        <v>277320201217101247185</v>
      </c>
      <c r="C721" s="7" t="s">
        <v>19</v>
      </c>
      <c r="D721" s="7" t="str">
        <f>"李晓婷"</f>
        <v>李晓婷</v>
      </c>
      <c r="E721" s="7" t="str">
        <f>"女"</f>
        <v>女</v>
      </c>
    </row>
    <row r="722" spans="1:5" ht="30" customHeight="1">
      <c r="A722" s="6">
        <v>720</v>
      </c>
      <c r="B722" s="7" t="str">
        <f>"277320201217101248186"</f>
        <v>277320201217101248186</v>
      </c>
      <c r="C722" s="7" t="s">
        <v>19</v>
      </c>
      <c r="D722" s="7" t="str">
        <f>"王静"</f>
        <v>王静</v>
      </c>
      <c r="E722" s="7" t="str">
        <f>"女"</f>
        <v>女</v>
      </c>
    </row>
    <row r="723" spans="1:5" ht="30" customHeight="1">
      <c r="A723" s="6">
        <v>721</v>
      </c>
      <c r="B723" s="7" t="str">
        <f>"277320201217101553192"</f>
        <v>277320201217101553192</v>
      </c>
      <c r="C723" s="7" t="s">
        <v>19</v>
      </c>
      <c r="D723" s="7" t="str">
        <f>"王育"</f>
        <v>王育</v>
      </c>
      <c r="E723" s="7" t="str">
        <f>"女"</f>
        <v>女</v>
      </c>
    </row>
    <row r="724" spans="1:5" ht="30" customHeight="1">
      <c r="A724" s="6">
        <v>722</v>
      </c>
      <c r="B724" s="7" t="str">
        <f>"277320201217101854200"</f>
        <v>277320201217101854200</v>
      </c>
      <c r="C724" s="7" t="s">
        <v>19</v>
      </c>
      <c r="D724" s="7" t="str">
        <f>"符小夏"</f>
        <v>符小夏</v>
      </c>
      <c r="E724" s="7" t="str">
        <f>"女"</f>
        <v>女</v>
      </c>
    </row>
    <row r="725" spans="1:5" ht="30" customHeight="1">
      <c r="A725" s="6">
        <v>723</v>
      </c>
      <c r="B725" s="7" t="str">
        <f>"277320201217102154205"</f>
        <v>277320201217102154205</v>
      </c>
      <c r="C725" s="7" t="s">
        <v>19</v>
      </c>
      <c r="D725" s="7" t="str">
        <f>"韦明欢"</f>
        <v>韦明欢</v>
      </c>
      <c r="E725" s="7" t="str">
        <f>"男"</f>
        <v>男</v>
      </c>
    </row>
    <row r="726" spans="1:5" ht="30" customHeight="1">
      <c r="A726" s="6">
        <v>724</v>
      </c>
      <c r="B726" s="7" t="str">
        <f>"277320201217102328207"</f>
        <v>277320201217102328207</v>
      </c>
      <c r="C726" s="7" t="s">
        <v>19</v>
      </c>
      <c r="D726" s="7" t="str">
        <f>"符小丽"</f>
        <v>符小丽</v>
      </c>
      <c r="E726" s="7" t="str">
        <f>"女"</f>
        <v>女</v>
      </c>
    </row>
    <row r="727" spans="1:5" ht="30" customHeight="1">
      <c r="A727" s="6">
        <v>725</v>
      </c>
      <c r="B727" s="7" t="str">
        <f>"277320201217102405210"</f>
        <v>277320201217102405210</v>
      </c>
      <c r="C727" s="7" t="s">
        <v>19</v>
      </c>
      <c r="D727" s="7" t="str">
        <f>"甘艳婷"</f>
        <v>甘艳婷</v>
      </c>
      <c r="E727" s="7" t="str">
        <f>"女"</f>
        <v>女</v>
      </c>
    </row>
    <row r="728" spans="1:5" ht="30" customHeight="1">
      <c r="A728" s="6">
        <v>726</v>
      </c>
      <c r="B728" s="7" t="str">
        <f>"277320201217102508211"</f>
        <v>277320201217102508211</v>
      </c>
      <c r="C728" s="7" t="s">
        <v>19</v>
      </c>
      <c r="D728" s="7" t="str">
        <f>"符土园"</f>
        <v>符土园</v>
      </c>
      <c r="E728" s="7" t="str">
        <f>"女"</f>
        <v>女</v>
      </c>
    </row>
    <row r="729" spans="1:5" ht="30" customHeight="1">
      <c r="A729" s="6">
        <v>727</v>
      </c>
      <c r="B729" s="7" t="str">
        <f>"277320201217102545213"</f>
        <v>277320201217102545213</v>
      </c>
      <c r="C729" s="7" t="s">
        <v>19</v>
      </c>
      <c r="D729" s="7" t="str">
        <f>"郑桂星"</f>
        <v>郑桂星</v>
      </c>
      <c r="E729" s="7" t="str">
        <f>"男"</f>
        <v>男</v>
      </c>
    </row>
    <row r="730" spans="1:5" ht="30" customHeight="1">
      <c r="A730" s="6">
        <v>728</v>
      </c>
      <c r="B730" s="7" t="str">
        <f>"277320201217102636214"</f>
        <v>277320201217102636214</v>
      </c>
      <c r="C730" s="7" t="s">
        <v>19</v>
      </c>
      <c r="D730" s="7" t="str">
        <f>"刘佳"</f>
        <v>刘佳</v>
      </c>
      <c r="E730" s="7" t="str">
        <f>"女"</f>
        <v>女</v>
      </c>
    </row>
    <row r="731" spans="1:5" ht="30" customHeight="1">
      <c r="A731" s="6">
        <v>729</v>
      </c>
      <c r="B731" s="7" t="str">
        <f>"277320201217102836218"</f>
        <v>277320201217102836218</v>
      </c>
      <c r="C731" s="7" t="s">
        <v>19</v>
      </c>
      <c r="D731" s="7" t="str">
        <f>"彭文"</f>
        <v>彭文</v>
      </c>
      <c r="E731" s="7" t="str">
        <f>"男"</f>
        <v>男</v>
      </c>
    </row>
    <row r="732" spans="1:5" ht="30" customHeight="1">
      <c r="A732" s="6">
        <v>730</v>
      </c>
      <c r="B732" s="7" t="str">
        <f>"277320201217103019223"</f>
        <v>277320201217103019223</v>
      </c>
      <c r="C732" s="7" t="s">
        <v>19</v>
      </c>
      <c r="D732" s="7" t="str">
        <f>"王海玉"</f>
        <v>王海玉</v>
      </c>
      <c r="E732" s="7" t="str">
        <f>"女"</f>
        <v>女</v>
      </c>
    </row>
    <row r="733" spans="1:5" ht="30" customHeight="1">
      <c r="A733" s="6">
        <v>731</v>
      </c>
      <c r="B733" s="7" t="str">
        <f>"277320201217103415228"</f>
        <v>277320201217103415228</v>
      </c>
      <c r="C733" s="7" t="s">
        <v>19</v>
      </c>
      <c r="D733" s="7" t="str">
        <f>"羊子辉"</f>
        <v>羊子辉</v>
      </c>
      <c r="E733" s="7" t="str">
        <f>"男"</f>
        <v>男</v>
      </c>
    </row>
    <row r="734" spans="1:5" ht="30" customHeight="1">
      <c r="A734" s="6">
        <v>732</v>
      </c>
      <c r="B734" s="7" t="str">
        <f>"277320201217103515230"</f>
        <v>277320201217103515230</v>
      </c>
      <c r="C734" s="7" t="s">
        <v>19</v>
      </c>
      <c r="D734" s="7" t="str">
        <f>"符成巍"</f>
        <v>符成巍</v>
      </c>
      <c r="E734" s="7" t="str">
        <f>"男"</f>
        <v>男</v>
      </c>
    </row>
    <row r="735" spans="1:5" ht="30" customHeight="1">
      <c r="A735" s="6">
        <v>733</v>
      </c>
      <c r="B735" s="7" t="str">
        <f>"277320201217103554232"</f>
        <v>277320201217103554232</v>
      </c>
      <c r="C735" s="7" t="s">
        <v>19</v>
      </c>
      <c r="D735" s="7" t="str">
        <f>"黄卉依"</f>
        <v>黄卉依</v>
      </c>
      <c r="E735" s="7" t="str">
        <f>"女"</f>
        <v>女</v>
      </c>
    </row>
    <row r="736" spans="1:5" ht="30" customHeight="1">
      <c r="A736" s="6">
        <v>734</v>
      </c>
      <c r="B736" s="7" t="str">
        <f>"277320201217103757237"</f>
        <v>277320201217103757237</v>
      </c>
      <c r="C736" s="7" t="s">
        <v>19</v>
      </c>
      <c r="D736" s="7" t="str">
        <f>"符海妹"</f>
        <v>符海妹</v>
      </c>
      <c r="E736" s="7" t="str">
        <f>"女"</f>
        <v>女</v>
      </c>
    </row>
    <row r="737" spans="1:5" ht="30" customHeight="1">
      <c r="A737" s="6">
        <v>735</v>
      </c>
      <c r="B737" s="7" t="str">
        <f>"277320201217103929240"</f>
        <v>277320201217103929240</v>
      </c>
      <c r="C737" s="7" t="s">
        <v>19</v>
      </c>
      <c r="D737" s="7" t="str">
        <f>"陈晓弘"</f>
        <v>陈晓弘</v>
      </c>
      <c r="E737" s="7" t="str">
        <f>"女"</f>
        <v>女</v>
      </c>
    </row>
    <row r="738" spans="1:5" ht="30" customHeight="1">
      <c r="A738" s="6">
        <v>736</v>
      </c>
      <c r="B738" s="7" t="str">
        <f>"277320201217104307245"</f>
        <v>277320201217104307245</v>
      </c>
      <c r="C738" s="7" t="s">
        <v>19</v>
      </c>
      <c r="D738" s="7" t="str">
        <f>"洪发"</f>
        <v>洪发</v>
      </c>
      <c r="E738" s="7" t="str">
        <f>"男"</f>
        <v>男</v>
      </c>
    </row>
    <row r="739" spans="1:5" ht="30" customHeight="1">
      <c r="A739" s="6">
        <v>737</v>
      </c>
      <c r="B739" s="7" t="str">
        <f>"277320201217104453246"</f>
        <v>277320201217104453246</v>
      </c>
      <c r="C739" s="7" t="s">
        <v>19</v>
      </c>
      <c r="D739" s="7" t="str">
        <f>"许林静"</f>
        <v>许林静</v>
      </c>
      <c r="E739" s="7" t="str">
        <f>"女"</f>
        <v>女</v>
      </c>
    </row>
    <row r="740" spans="1:5" ht="30" customHeight="1">
      <c r="A740" s="6">
        <v>738</v>
      </c>
      <c r="B740" s="7" t="str">
        <f>"277320201217104644251"</f>
        <v>277320201217104644251</v>
      </c>
      <c r="C740" s="7" t="s">
        <v>19</v>
      </c>
      <c r="D740" s="7" t="str">
        <f>"符丽华"</f>
        <v>符丽华</v>
      </c>
      <c r="E740" s="7" t="str">
        <f>"女"</f>
        <v>女</v>
      </c>
    </row>
    <row r="741" spans="1:5" ht="30" customHeight="1">
      <c r="A741" s="6">
        <v>739</v>
      </c>
      <c r="B741" s="7" t="str">
        <f>"277320201217104822254"</f>
        <v>277320201217104822254</v>
      </c>
      <c r="C741" s="7" t="s">
        <v>19</v>
      </c>
      <c r="D741" s="7" t="str">
        <f>"王扬贤"</f>
        <v>王扬贤</v>
      </c>
      <c r="E741" s="7" t="str">
        <f>"女"</f>
        <v>女</v>
      </c>
    </row>
    <row r="742" spans="1:5" ht="30" customHeight="1">
      <c r="A742" s="6">
        <v>740</v>
      </c>
      <c r="B742" s="7" t="str">
        <f>"277320201217104839256"</f>
        <v>277320201217104839256</v>
      </c>
      <c r="C742" s="7" t="s">
        <v>19</v>
      </c>
      <c r="D742" s="7" t="str">
        <f>"符智槟"</f>
        <v>符智槟</v>
      </c>
      <c r="E742" s="7" t="str">
        <f>"男"</f>
        <v>男</v>
      </c>
    </row>
    <row r="743" spans="1:5" ht="30" customHeight="1">
      <c r="A743" s="6">
        <v>741</v>
      </c>
      <c r="B743" s="7" t="str">
        <f>"277320201217104934259"</f>
        <v>277320201217104934259</v>
      </c>
      <c r="C743" s="7" t="s">
        <v>19</v>
      </c>
      <c r="D743" s="7" t="str">
        <f>"何坚"</f>
        <v>何坚</v>
      </c>
      <c r="E743" s="7" t="str">
        <f>"男"</f>
        <v>男</v>
      </c>
    </row>
    <row r="744" spans="1:5" ht="30" customHeight="1">
      <c r="A744" s="6">
        <v>742</v>
      </c>
      <c r="B744" s="7" t="str">
        <f>"277320201217105057261"</f>
        <v>277320201217105057261</v>
      </c>
      <c r="C744" s="7" t="s">
        <v>19</v>
      </c>
      <c r="D744" s="7" t="str">
        <f>"李明青"</f>
        <v>李明青</v>
      </c>
      <c r="E744" s="7" t="str">
        <f>"男"</f>
        <v>男</v>
      </c>
    </row>
    <row r="745" spans="1:5" ht="30" customHeight="1">
      <c r="A745" s="6">
        <v>743</v>
      </c>
      <c r="B745" s="7" t="str">
        <f>"277320201217105156263"</f>
        <v>277320201217105156263</v>
      </c>
      <c r="C745" s="7" t="s">
        <v>19</v>
      </c>
      <c r="D745" s="7" t="str">
        <f>"田虹瑰"</f>
        <v>田虹瑰</v>
      </c>
      <c r="E745" s="7" t="str">
        <f>"女"</f>
        <v>女</v>
      </c>
    </row>
    <row r="746" spans="1:5" ht="30" customHeight="1">
      <c r="A746" s="6">
        <v>744</v>
      </c>
      <c r="B746" s="7" t="str">
        <f>"277320201217105304267"</f>
        <v>277320201217105304267</v>
      </c>
      <c r="C746" s="7" t="s">
        <v>19</v>
      </c>
      <c r="D746" s="7" t="str">
        <f>"罗婧"</f>
        <v>罗婧</v>
      </c>
      <c r="E746" s="7" t="str">
        <f>"女"</f>
        <v>女</v>
      </c>
    </row>
    <row r="747" spans="1:5" ht="30" customHeight="1">
      <c r="A747" s="6">
        <v>745</v>
      </c>
      <c r="B747" s="7" t="str">
        <f>"277320201217105322268"</f>
        <v>277320201217105322268</v>
      </c>
      <c r="C747" s="7" t="s">
        <v>19</v>
      </c>
      <c r="D747" s="7" t="str">
        <f>"王瑞谊"</f>
        <v>王瑞谊</v>
      </c>
      <c r="E747" s="7" t="str">
        <f>"女"</f>
        <v>女</v>
      </c>
    </row>
    <row r="748" spans="1:5" ht="30" customHeight="1">
      <c r="A748" s="6">
        <v>746</v>
      </c>
      <c r="B748" s="7" t="str">
        <f>"277320201217105352269"</f>
        <v>277320201217105352269</v>
      </c>
      <c r="C748" s="7" t="s">
        <v>19</v>
      </c>
      <c r="D748" s="7" t="str">
        <f>"麦欣"</f>
        <v>麦欣</v>
      </c>
      <c r="E748" s="7" t="str">
        <f>"女"</f>
        <v>女</v>
      </c>
    </row>
    <row r="749" spans="1:5" ht="30" customHeight="1">
      <c r="A749" s="6">
        <v>747</v>
      </c>
      <c r="B749" s="7" t="str">
        <f>"277320201217105444270"</f>
        <v>277320201217105444270</v>
      </c>
      <c r="C749" s="7" t="s">
        <v>19</v>
      </c>
      <c r="D749" s="7" t="str">
        <f>"符明"</f>
        <v>符明</v>
      </c>
      <c r="E749" s="7" t="str">
        <f>"男"</f>
        <v>男</v>
      </c>
    </row>
    <row r="750" spans="1:5" ht="30" customHeight="1">
      <c r="A750" s="6">
        <v>748</v>
      </c>
      <c r="B750" s="7" t="str">
        <f>"277320201217105620272"</f>
        <v>277320201217105620272</v>
      </c>
      <c r="C750" s="7" t="s">
        <v>19</v>
      </c>
      <c r="D750" s="7" t="str">
        <f>"王远志"</f>
        <v>王远志</v>
      </c>
      <c r="E750" s="7" t="str">
        <f>"男"</f>
        <v>男</v>
      </c>
    </row>
    <row r="751" spans="1:5" ht="30" customHeight="1">
      <c r="A751" s="6">
        <v>749</v>
      </c>
      <c r="B751" s="7" t="str">
        <f>"277320201217105717274"</f>
        <v>277320201217105717274</v>
      </c>
      <c r="C751" s="7" t="s">
        <v>19</v>
      </c>
      <c r="D751" s="7" t="str">
        <f>"曾进秋"</f>
        <v>曾进秋</v>
      </c>
      <c r="E751" s="7" t="str">
        <f>"女"</f>
        <v>女</v>
      </c>
    </row>
    <row r="752" spans="1:5" ht="30" customHeight="1">
      <c r="A752" s="6">
        <v>750</v>
      </c>
      <c r="B752" s="7" t="str">
        <f>"277320201217105914278"</f>
        <v>277320201217105914278</v>
      </c>
      <c r="C752" s="7" t="s">
        <v>19</v>
      </c>
      <c r="D752" s="7" t="str">
        <f>"符李丹"</f>
        <v>符李丹</v>
      </c>
      <c r="E752" s="7" t="str">
        <f>"女"</f>
        <v>女</v>
      </c>
    </row>
    <row r="753" spans="1:5" ht="30" customHeight="1">
      <c r="A753" s="6">
        <v>751</v>
      </c>
      <c r="B753" s="7" t="str">
        <f>"277320201217105934280"</f>
        <v>277320201217105934280</v>
      </c>
      <c r="C753" s="7" t="s">
        <v>19</v>
      </c>
      <c r="D753" s="7" t="str">
        <f>"王伟"</f>
        <v>王伟</v>
      </c>
      <c r="E753" s="7" t="str">
        <f>"男"</f>
        <v>男</v>
      </c>
    </row>
    <row r="754" spans="1:5" ht="30" customHeight="1">
      <c r="A754" s="6">
        <v>752</v>
      </c>
      <c r="B754" s="7" t="str">
        <f>"277320201217110011281"</f>
        <v>277320201217110011281</v>
      </c>
      <c r="C754" s="7" t="s">
        <v>19</v>
      </c>
      <c r="D754" s="7" t="str">
        <f>"符程腾"</f>
        <v>符程腾</v>
      </c>
      <c r="E754" s="7" t="str">
        <f>"男"</f>
        <v>男</v>
      </c>
    </row>
    <row r="755" spans="1:5" ht="30" customHeight="1">
      <c r="A755" s="6">
        <v>753</v>
      </c>
      <c r="B755" s="7" t="str">
        <f>"277320201217110046283"</f>
        <v>277320201217110046283</v>
      </c>
      <c r="C755" s="7" t="s">
        <v>19</v>
      </c>
      <c r="D755" s="7" t="str">
        <f>"刘欣琪"</f>
        <v>刘欣琪</v>
      </c>
      <c r="E755" s="7" t="str">
        <f aca="true" t="shared" si="24" ref="E755:E760">"女"</f>
        <v>女</v>
      </c>
    </row>
    <row r="756" spans="1:5" ht="30" customHeight="1">
      <c r="A756" s="6">
        <v>754</v>
      </c>
      <c r="B756" s="7" t="str">
        <f>"277320201217110548289"</f>
        <v>277320201217110548289</v>
      </c>
      <c r="C756" s="7" t="s">
        <v>19</v>
      </c>
      <c r="D756" s="7" t="str">
        <f>"王丽敏"</f>
        <v>王丽敏</v>
      </c>
      <c r="E756" s="7" t="str">
        <f t="shared" si="24"/>
        <v>女</v>
      </c>
    </row>
    <row r="757" spans="1:5" ht="30" customHeight="1">
      <c r="A757" s="6">
        <v>755</v>
      </c>
      <c r="B757" s="7" t="str">
        <f>"277320201217110642290"</f>
        <v>277320201217110642290</v>
      </c>
      <c r="C757" s="7" t="s">
        <v>19</v>
      </c>
      <c r="D757" s="7" t="str">
        <f>"符月芬"</f>
        <v>符月芬</v>
      </c>
      <c r="E757" s="7" t="str">
        <f t="shared" si="24"/>
        <v>女</v>
      </c>
    </row>
    <row r="758" spans="1:5" ht="30" customHeight="1">
      <c r="A758" s="6">
        <v>756</v>
      </c>
      <c r="B758" s="7" t="str">
        <f>"277320201217110725292"</f>
        <v>277320201217110725292</v>
      </c>
      <c r="C758" s="7" t="s">
        <v>19</v>
      </c>
      <c r="D758" s="7" t="str">
        <f>"邢意"</f>
        <v>邢意</v>
      </c>
      <c r="E758" s="7" t="str">
        <f t="shared" si="24"/>
        <v>女</v>
      </c>
    </row>
    <row r="759" spans="1:5" ht="30" customHeight="1">
      <c r="A759" s="6">
        <v>757</v>
      </c>
      <c r="B759" s="7" t="str">
        <f>"277320201217111154294"</f>
        <v>277320201217111154294</v>
      </c>
      <c r="C759" s="7" t="s">
        <v>19</v>
      </c>
      <c r="D759" s="7" t="str">
        <f>"符杰义"</f>
        <v>符杰义</v>
      </c>
      <c r="E759" s="7" t="str">
        <f t="shared" si="24"/>
        <v>女</v>
      </c>
    </row>
    <row r="760" spans="1:5" ht="30" customHeight="1">
      <c r="A760" s="6">
        <v>758</v>
      </c>
      <c r="B760" s="7" t="str">
        <f>"277320201217111410298"</f>
        <v>277320201217111410298</v>
      </c>
      <c r="C760" s="7" t="s">
        <v>19</v>
      </c>
      <c r="D760" s="7" t="str">
        <f>"符晓珊"</f>
        <v>符晓珊</v>
      </c>
      <c r="E760" s="7" t="str">
        <f t="shared" si="24"/>
        <v>女</v>
      </c>
    </row>
    <row r="761" spans="1:5" ht="30" customHeight="1">
      <c r="A761" s="6">
        <v>759</v>
      </c>
      <c r="B761" s="7" t="str">
        <f>"277320201217111621301"</f>
        <v>277320201217111621301</v>
      </c>
      <c r="C761" s="7" t="s">
        <v>19</v>
      </c>
      <c r="D761" s="7" t="str">
        <f>"李成钻"</f>
        <v>李成钻</v>
      </c>
      <c r="E761" s="7" t="str">
        <f>"男"</f>
        <v>男</v>
      </c>
    </row>
    <row r="762" spans="1:5" ht="30" customHeight="1">
      <c r="A762" s="6">
        <v>760</v>
      </c>
      <c r="B762" s="7" t="str">
        <f>"277320201217111933306"</f>
        <v>277320201217111933306</v>
      </c>
      <c r="C762" s="7" t="s">
        <v>19</v>
      </c>
      <c r="D762" s="7" t="str">
        <f>"董文伟"</f>
        <v>董文伟</v>
      </c>
      <c r="E762" s="7" t="str">
        <f>"男"</f>
        <v>男</v>
      </c>
    </row>
    <row r="763" spans="1:5" ht="30" customHeight="1">
      <c r="A763" s="6">
        <v>761</v>
      </c>
      <c r="B763" s="7" t="str">
        <f>"277320201217112146309"</f>
        <v>277320201217112146309</v>
      </c>
      <c r="C763" s="7" t="s">
        <v>19</v>
      </c>
      <c r="D763" s="7" t="str">
        <f>"曾维莹"</f>
        <v>曾维莹</v>
      </c>
      <c r="E763" s="7" t="str">
        <f>"女"</f>
        <v>女</v>
      </c>
    </row>
    <row r="764" spans="1:5" ht="30" customHeight="1">
      <c r="A764" s="6">
        <v>762</v>
      </c>
      <c r="B764" s="7" t="str">
        <f>"277320201217112755315"</f>
        <v>277320201217112755315</v>
      </c>
      <c r="C764" s="7" t="s">
        <v>19</v>
      </c>
      <c r="D764" s="7" t="str">
        <f>"张媛善"</f>
        <v>张媛善</v>
      </c>
      <c r="E764" s="7" t="str">
        <f>"女"</f>
        <v>女</v>
      </c>
    </row>
    <row r="765" spans="1:5" ht="30" customHeight="1">
      <c r="A765" s="6">
        <v>763</v>
      </c>
      <c r="B765" s="7" t="str">
        <f>"277320201217112856316"</f>
        <v>277320201217112856316</v>
      </c>
      <c r="C765" s="7" t="s">
        <v>19</v>
      </c>
      <c r="D765" s="7" t="str">
        <f>"符臣锋"</f>
        <v>符臣锋</v>
      </c>
      <c r="E765" s="7" t="str">
        <f>"男"</f>
        <v>男</v>
      </c>
    </row>
    <row r="766" spans="1:5" ht="30" customHeight="1">
      <c r="A766" s="6">
        <v>764</v>
      </c>
      <c r="B766" s="7" t="str">
        <f>"277320201217113715324"</f>
        <v>277320201217113715324</v>
      </c>
      <c r="C766" s="7" t="s">
        <v>19</v>
      </c>
      <c r="D766" s="7" t="str">
        <f>"陈应美"</f>
        <v>陈应美</v>
      </c>
      <c r="E766" s="7" t="str">
        <f aca="true" t="shared" si="25" ref="E766:E771">"女"</f>
        <v>女</v>
      </c>
    </row>
    <row r="767" spans="1:5" ht="30" customHeight="1">
      <c r="A767" s="6">
        <v>765</v>
      </c>
      <c r="B767" s="7" t="str">
        <f>"277320201217114301328"</f>
        <v>277320201217114301328</v>
      </c>
      <c r="C767" s="7" t="s">
        <v>19</v>
      </c>
      <c r="D767" s="7" t="str">
        <f>"符佳香"</f>
        <v>符佳香</v>
      </c>
      <c r="E767" s="7" t="str">
        <f t="shared" si="25"/>
        <v>女</v>
      </c>
    </row>
    <row r="768" spans="1:5" ht="30" customHeight="1">
      <c r="A768" s="6">
        <v>766</v>
      </c>
      <c r="B768" s="7" t="str">
        <f>"277320201217114302329"</f>
        <v>277320201217114302329</v>
      </c>
      <c r="C768" s="7" t="s">
        <v>19</v>
      </c>
      <c r="D768" s="7" t="str">
        <f>"韦微"</f>
        <v>韦微</v>
      </c>
      <c r="E768" s="7" t="str">
        <f t="shared" si="25"/>
        <v>女</v>
      </c>
    </row>
    <row r="769" spans="1:5" ht="30" customHeight="1">
      <c r="A769" s="6">
        <v>767</v>
      </c>
      <c r="B769" s="7" t="str">
        <f>"277320201217114840339"</f>
        <v>277320201217114840339</v>
      </c>
      <c r="C769" s="7" t="s">
        <v>19</v>
      </c>
      <c r="D769" s="7" t="str">
        <f>"符丽琼"</f>
        <v>符丽琼</v>
      </c>
      <c r="E769" s="7" t="str">
        <f t="shared" si="25"/>
        <v>女</v>
      </c>
    </row>
    <row r="770" spans="1:5" ht="30" customHeight="1">
      <c r="A770" s="6">
        <v>768</v>
      </c>
      <c r="B770" s="7" t="str">
        <f>"277320201217115703349"</f>
        <v>277320201217115703349</v>
      </c>
      <c r="C770" s="7" t="s">
        <v>19</v>
      </c>
      <c r="D770" s="7" t="str">
        <f>"韦小寒"</f>
        <v>韦小寒</v>
      </c>
      <c r="E770" s="7" t="str">
        <f t="shared" si="25"/>
        <v>女</v>
      </c>
    </row>
    <row r="771" spans="1:5" ht="30" customHeight="1">
      <c r="A771" s="6">
        <v>769</v>
      </c>
      <c r="B771" s="7" t="str">
        <f>"277320201217120040351"</f>
        <v>277320201217120040351</v>
      </c>
      <c r="C771" s="7" t="s">
        <v>19</v>
      </c>
      <c r="D771" s="7" t="str">
        <f>"吴舒颖"</f>
        <v>吴舒颖</v>
      </c>
      <c r="E771" s="7" t="str">
        <f t="shared" si="25"/>
        <v>女</v>
      </c>
    </row>
    <row r="772" spans="1:5" ht="30" customHeight="1">
      <c r="A772" s="6">
        <v>770</v>
      </c>
      <c r="B772" s="7" t="str">
        <f>"277320201217120432353"</f>
        <v>277320201217120432353</v>
      </c>
      <c r="C772" s="7" t="s">
        <v>19</v>
      </c>
      <c r="D772" s="7" t="str">
        <f>"羊由开"</f>
        <v>羊由开</v>
      </c>
      <c r="E772" s="7" t="str">
        <f>"男"</f>
        <v>男</v>
      </c>
    </row>
    <row r="773" spans="1:5" ht="30" customHeight="1">
      <c r="A773" s="6">
        <v>771</v>
      </c>
      <c r="B773" s="7" t="str">
        <f>"277320201217120733360"</f>
        <v>277320201217120733360</v>
      </c>
      <c r="C773" s="7" t="s">
        <v>19</v>
      </c>
      <c r="D773" s="7" t="str">
        <f>"符洪柳"</f>
        <v>符洪柳</v>
      </c>
      <c r="E773" s="7" t="str">
        <f>"女"</f>
        <v>女</v>
      </c>
    </row>
    <row r="774" spans="1:5" ht="30" customHeight="1">
      <c r="A774" s="6">
        <v>772</v>
      </c>
      <c r="B774" s="7" t="str">
        <f>"277320201217121227366"</f>
        <v>277320201217121227366</v>
      </c>
      <c r="C774" s="7" t="s">
        <v>19</v>
      </c>
      <c r="D774" s="7" t="str">
        <f>"王贵威"</f>
        <v>王贵威</v>
      </c>
      <c r="E774" s="7" t="str">
        <f>"男"</f>
        <v>男</v>
      </c>
    </row>
    <row r="775" spans="1:5" ht="30" customHeight="1">
      <c r="A775" s="6">
        <v>773</v>
      </c>
      <c r="B775" s="7" t="str">
        <f>"277320201217121500370"</f>
        <v>277320201217121500370</v>
      </c>
      <c r="C775" s="7" t="s">
        <v>19</v>
      </c>
      <c r="D775" s="7" t="str">
        <f>"王金泽"</f>
        <v>王金泽</v>
      </c>
      <c r="E775" s="7" t="str">
        <f>"男"</f>
        <v>男</v>
      </c>
    </row>
    <row r="776" spans="1:5" ht="30" customHeight="1">
      <c r="A776" s="6">
        <v>774</v>
      </c>
      <c r="B776" s="7" t="str">
        <f>"277320201217121623372"</f>
        <v>277320201217121623372</v>
      </c>
      <c r="C776" s="7" t="s">
        <v>19</v>
      </c>
      <c r="D776" s="7" t="str">
        <f>"张勇"</f>
        <v>张勇</v>
      </c>
      <c r="E776" s="7" t="str">
        <f>"男"</f>
        <v>男</v>
      </c>
    </row>
    <row r="777" spans="1:5" ht="30" customHeight="1">
      <c r="A777" s="6">
        <v>775</v>
      </c>
      <c r="B777" s="7" t="str">
        <f>"277320201217122110377"</f>
        <v>277320201217122110377</v>
      </c>
      <c r="C777" s="7" t="s">
        <v>19</v>
      </c>
      <c r="D777" s="7" t="str">
        <f>"符东"</f>
        <v>符东</v>
      </c>
      <c r="E777" s="7" t="str">
        <f>"男"</f>
        <v>男</v>
      </c>
    </row>
    <row r="778" spans="1:5" ht="30" customHeight="1">
      <c r="A778" s="6">
        <v>776</v>
      </c>
      <c r="B778" s="7" t="str">
        <f>"277320201217122245378"</f>
        <v>277320201217122245378</v>
      </c>
      <c r="C778" s="7" t="s">
        <v>19</v>
      </c>
      <c r="D778" s="7" t="str">
        <f>"曾建伟"</f>
        <v>曾建伟</v>
      </c>
      <c r="E778" s="7" t="str">
        <f>"男"</f>
        <v>男</v>
      </c>
    </row>
    <row r="779" spans="1:5" ht="30" customHeight="1">
      <c r="A779" s="6">
        <v>777</v>
      </c>
      <c r="B779" s="7" t="str">
        <f>"277320201217123021383"</f>
        <v>277320201217123021383</v>
      </c>
      <c r="C779" s="7" t="s">
        <v>19</v>
      </c>
      <c r="D779" s="7" t="str">
        <f>"符朝惠"</f>
        <v>符朝惠</v>
      </c>
      <c r="E779" s="7" t="str">
        <f>"女"</f>
        <v>女</v>
      </c>
    </row>
    <row r="780" spans="1:5" ht="30" customHeight="1">
      <c r="A780" s="6">
        <v>778</v>
      </c>
      <c r="B780" s="7" t="str">
        <f>"277320201217123234386"</f>
        <v>277320201217123234386</v>
      </c>
      <c r="C780" s="7" t="s">
        <v>19</v>
      </c>
      <c r="D780" s="7" t="str">
        <f>"羊洪滩"</f>
        <v>羊洪滩</v>
      </c>
      <c r="E780" s="7" t="str">
        <f>"女"</f>
        <v>女</v>
      </c>
    </row>
    <row r="781" spans="1:5" ht="30" customHeight="1">
      <c r="A781" s="6">
        <v>779</v>
      </c>
      <c r="B781" s="7" t="str">
        <f>"277320201217123259387"</f>
        <v>277320201217123259387</v>
      </c>
      <c r="C781" s="7" t="s">
        <v>19</v>
      </c>
      <c r="D781" s="7" t="str">
        <f>"谢维"</f>
        <v>谢维</v>
      </c>
      <c r="E781" s="7" t="str">
        <f>"男"</f>
        <v>男</v>
      </c>
    </row>
    <row r="782" spans="1:5" ht="30" customHeight="1">
      <c r="A782" s="6">
        <v>780</v>
      </c>
      <c r="B782" s="7" t="str">
        <f>"277320201217124210396"</f>
        <v>277320201217124210396</v>
      </c>
      <c r="C782" s="7" t="s">
        <v>19</v>
      </c>
      <c r="D782" s="7" t="str">
        <f>"符雅琪"</f>
        <v>符雅琪</v>
      </c>
      <c r="E782" s="7" t="str">
        <f>"女"</f>
        <v>女</v>
      </c>
    </row>
    <row r="783" spans="1:5" ht="30" customHeight="1">
      <c r="A783" s="6">
        <v>781</v>
      </c>
      <c r="B783" s="7" t="str">
        <f>"277320201217124551398"</f>
        <v>277320201217124551398</v>
      </c>
      <c r="C783" s="7" t="s">
        <v>19</v>
      </c>
      <c r="D783" s="7" t="str">
        <f>"符琦艺"</f>
        <v>符琦艺</v>
      </c>
      <c r="E783" s="7" t="str">
        <f>"女"</f>
        <v>女</v>
      </c>
    </row>
    <row r="784" spans="1:5" ht="30" customHeight="1">
      <c r="A784" s="6">
        <v>782</v>
      </c>
      <c r="B784" s="7" t="str">
        <f>"277320201217125253401"</f>
        <v>277320201217125253401</v>
      </c>
      <c r="C784" s="7" t="s">
        <v>19</v>
      </c>
      <c r="D784" s="7" t="str">
        <f>"符淑玉"</f>
        <v>符淑玉</v>
      </c>
      <c r="E784" s="7" t="str">
        <f>"女"</f>
        <v>女</v>
      </c>
    </row>
    <row r="785" spans="1:5" ht="30" customHeight="1">
      <c r="A785" s="6">
        <v>783</v>
      </c>
      <c r="B785" s="7" t="str">
        <f>"277320201217130550413"</f>
        <v>277320201217130550413</v>
      </c>
      <c r="C785" s="7" t="s">
        <v>19</v>
      </c>
      <c r="D785" s="7" t="str">
        <f>"郑渊洁"</f>
        <v>郑渊洁</v>
      </c>
      <c r="E785" s="7" t="str">
        <f>"女"</f>
        <v>女</v>
      </c>
    </row>
    <row r="786" spans="1:5" ht="30" customHeight="1">
      <c r="A786" s="6">
        <v>784</v>
      </c>
      <c r="B786" s="7" t="str">
        <f>"277320201217132811424"</f>
        <v>277320201217132811424</v>
      </c>
      <c r="C786" s="7" t="s">
        <v>19</v>
      </c>
      <c r="D786" s="7" t="str">
        <f>"符慧民"</f>
        <v>符慧民</v>
      </c>
      <c r="E786" s="7" t="str">
        <f>"男"</f>
        <v>男</v>
      </c>
    </row>
    <row r="787" spans="1:5" ht="30" customHeight="1">
      <c r="A787" s="6">
        <v>785</v>
      </c>
      <c r="B787" s="7" t="str">
        <f>"277320201217133812428"</f>
        <v>277320201217133812428</v>
      </c>
      <c r="C787" s="7" t="s">
        <v>19</v>
      </c>
      <c r="D787" s="7" t="str">
        <f>"符冬雪"</f>
        <v>符冬雪</v>
      </c>
      <c r="E787" s="7" t="str">
        <f>"女"</f>
        <v>女</v>
      </c>
    </row>
    <row r="788" spans="1:5" ht="30" customHeight="1">
      <c r="A788" s="6">
        <v>786</v>
      </c>
      <c r="B788" s="7" t="str">
        <f>"277320201217134806432"</f>
        <v>277320201217134806432</v>
      </c>
      <c r="C788" s="7" t="s">
        <v>19</v>
      </c>
      <c r="D788" s="7" t="str">
        <f>"刘文果"</f>
        <v>刘文果</v>
      </c>
      <c r="E788" s="7" t="str">
        <f>"男"</f>
        <v>男</v>
      </c>
    </row>
    <row r="789" spans="1:5" ht="30" customHeight="1">
      <c r="A789" s="6">
        <v>787</v>
      </c>
      <c r="B789" s="7" t="str">
        <f>"277320201217135008433"</f>
        <v>277320201217135008433</v>
      </c>
      <c r="C789" s="7" t="s">
        <v>19</v>
      </c>
      <c r="D789" s="7" t="str">
        <f>"洪梅芳"</f>
        <v>洪梅芳</v>
      </c>
      <c r="E789" s="7" t="str">
        <f>"女"</f>
        <v>女</v>
      </c>
    </row>
    <row r="790" spans="1:5" ht="30" customHeight="1">
      <c r="A790" s="6">
        <v>788</v>
      </c>
      <c r="B790" s="7" t="str">
        <f>"277320201217140246437"</f>
        <v>277320201217140246437</v>
      </c>
      <c r="C790" s="7" t="s">
        <v>19</v>
      </c>
      <c r="D790" s="7" t="str">
        <f>"符冬蕾"</f>
        <v>符冬蕾</v>
      </c>
      <c r="E790" s="7" t="str">
        <f>"女"</f>
        <v>女</v>
      </c>
    </row>
    <row r="791" spans="1:5" ht="30" customHeight="1">
      <c r="A791" s="6">
        <v>789</v>
      </c>
      <c r="B791" s="7" t="str">
        <f>"277320201217140456438"</f>
        <v>277320201217140456438</v>
      </c>
      <c r="C791" s="7" t="s">
        <v>19</v>
      </c>
      <c r="D791" s="7" t="str">
        <f>"符宝弟"</f>
        <v>符宝弟</v>
      </c>
      <c r="E791" s="7" t="str">
        <f>"男"</f>
        <v>男</v>
      </c>
    </row>
    <row r="792" spans="1:5" ht="30" customHeight="1">
      <c r="A792" s="6">
        <v>790</v>
      </c>
      <c r="B792" s="7" t="str">
        <f>"277320201217140934440"</f>
        <v>277320201217140934440</v>
      </c>
      <c r="C792" s="7" t="s">
        <v>19</v>
      </c>
      <c r="D792" s="7" t="str">
        <f>"王形昌"</f>
        <v>王形昌</v>
      </c>
      <c r="E792" s="7" t="str">
        <f>"男"</f>
        <v>男</v>
      </c>
    </row>
    <row r="793" spans="1:5" ht="30" customHeight="1">
      <c r="A793" s="6">
        <v>791</v>
      </c>
      <c r="B793" s="7" t="str">
        <f>"277320201217143904453"</f>
        <v>277320201217143904453</v>
      </c>
      <c r="C793" s="7" t="s">
        <v>19</v>
      </c>
      <c r="D793" s="7" t="str">
        <f>"符小令"</f>
        <v>符小令</v>
      </c>
      <c r="E793" s="7" t="str">
        <f>"女"</f>
        <v>女</v>
      </c>
    </row>
    <row r="794" spans="1:5" ht="30" customHeight="1">
      <c r="A794" s="6">
        <v>792</v>
      </c>
      <c r="B794" s="7" t="str">
        <f>"277320201217143938454"</f>
        <v>277320201217143938454</v>
      </c>
      <c r="C794" s="7" t="s">
        <v>19</v>
      </c>
      <c r="D794" s="7" t="str">
        <f>"符文进"</f>
        <v>符文进</v>
      </c>
      <c r="E794" s="7" t="str">
        <f>"男"</f>
        <v>男</v>
      </c>
    </row>
    <row r="795" spans="1:5" ht="30" customHeight="1">
      <c r="A795" s="6">
        <v>793</v>
      </c>
      <c r="B795" s="7" t="str">
        <f>"277320201217144022455"</f>
        <v>277320201217144022455</v>
      </c>
      <c r="C795" s="7" t="s">
        <v>19</v>
      </c>
      <c r="D795" s="7" t="str">
        <f>"王秋月"</f>
        <v>王秋月</v>
      </c>
      <c r="E795" s="7" t="str">
        <f aca="true" t="shared" si="26" ref="E795:E803">"女"</f>
        <v>女</v>
      </c>
    </row>
    <row r="796" spans="1:5" ht="30" customHeight="1">
      <c r="A796" s="6">
        <v>794</v>
      </c>
      <c r="B796" s="7" t="str">
        <f>"277320201217150200469"</f>
        <v>277320201217150200469</v>
      </c>
      <c r="C796" s="7" t="s">
        <v>19</v>
      </c>
      <c r="D796" s="7" t="str">
        <f>"王夏霜"</f>
        <v>王夏霜</v>
      </c>
      <c r="E796" s="7" t="str">
        <f t="shared" si="26"/>
        <v>女</v>
      </c>
    </row>
    <row r="797" spans="1:5" ht="30" customHeight="1">
      <c r="A797" s="6">
        <v>795</v>
      </c>
      <c r="B797" s="7" t="str">
        <f>"277320201217150250471"</f>
        <v>277320201217150250471</v>
      </c>
      <c r="C797" s="7" t="s">
        <v>19</v>
      </c>
      <c r="D797" s="7" t="str">
        <f>"蔡亲贝"</f>
        <v>蔡亲贝</v>
      </c>
      <c r="E797" s="7" t="str">
        <f t="shared" si="26"/>
        <v>女</v>
      </c>
    </row>
    <row r="798" spans="1:5" ht="30" customHeight="1">
      <c r="A798" s="6">
        <v>796</v>
      </c>
      <c r="B798" s="7" t="str">
        <f>"277320201217150821476"</f>
        <v>277320201217150821476</v>
      </c>
      <c r="C798" s="7" t="s">
        <v>19</v>
      </c>
      <c r="D798" s="7" t="str">
        <f>"符秋念"</f>
        <v>符秋念</v>
      </c>
      <c r="E798" s="7" t="str">
        <f t="shared" si="26"/>
        <v>女</v>
      </c>
    </row>
    <row r="799" spans="1:5" ht="30" customHeight="1">
      <c r="A799" s="6">
        <v>797</v>
      </c>
      <c r="B799" s="7" t="str">
        <f>"277320201217151701483"</f>
        <v>277320201217151701483</v>
      </c>
      <c r="C799" s="7" t="s">
        <v>19</v>
      </c>
      <c r="D799" s="7" t="str">
        <f>"符小飞"</f>
        <v>符小飞</v>
      </c>
      <c r="E799" s="7" t="str">
        <f t="shared" si="26"/>
        <v>女</v>
      </c>
    </row>
    <row r="800" spans="1:5" ht="30" customHeight="1">
      <c r="A800" s="6">
        <v>798</v>
      </c>
      <c r="B800" s="7" t="str">
        <f>"277320201217151845486"</f>
        <v>277320201217151845486</v>
      </c>
      <c r="C800" s="7" t="s">
        <v>19</v>
      </c>
      <c r="D800" s="7" t="str">
        <f>"符海媚"</f>
        <v>符海媚</v>
      </c>
      <c r="E800" s="7" t="str">
        <f t="shared" si="26"/>
        <v>女</v>
      </c>
    </row>
    <row r="801" spans="1:5" ht="30" customHeight="1">
      <c r="A801" s="6">
        <v>799</v>
      </c>
      <c r="B801" s="7" t="str">
        <f>"277320201217151905487"</f>
        <v>277320201217151905487</v>
      </c>
      <c r="C801" s="7" t="s">
        <v>19</v>
      </c>
      <c r="D801" s="7" t="str">
        <f>"王秋静"</f>
        <v>王秋静</v>
      </c>
      <c r="E801" s="7" t="str">
        <f t="shared" si="26"/>
        <v>女</v>
      </c>
    </row>
    <row r="802" spans="1:5" ht="30" customHeight="1">
      <c r="A802" s="6">
        <v>800</v>
      </c>
      <c r="B802" s="7" t="str">
        <f>"277320201217151909488"</f>
        <v>277320201217151909488</v>
      </c>
      <c r="C802" s="7" t="s">
        <v>19</v>
      </c>
      <c r="D802" s="7" t="str">
        <f>"符佩佩"</f>
        <v>符佩佩</v>
      </c>
      <c r="E802" s="7" t="str">
        <f t="shared" si="26"/>
        <v>女</v>
      </c>
    </row>
    <row r="803" spans="1:5" ht="30" customHeight="1">
      <c r="A803" s="6">
        <v>801</v>
      </c>
      <c r="B803" s="7" t="str">
        <f>"277320201217152626496"</f>
        <v>277320201217152626496</v>
      </c>
      <c r="C803" s="7" t="s">
        <v>19</v>
      </c>
      <c r="D803" s="7" t="str">
        <f>"符慧珍"</f>
        <v>符慧珍</v>
      </c>
      <c r="E803" s="7" t="str">
        <f t="shared" si="26"/>
        <v>女</v>
      </c>
    </row>
    <row r="804" spans="1:5" ht="30" customHeight="1">
      <c r="A804" s="6">
        <v>802</v>
      </c>
      <c r="B804" s="7" t="str">
        <f>"277320201217152728497"</f>
        <v>277320201217152728497</v>
      </c>
      <c r="C804" s="7" t="s">
        <v>19</v>
      </c>
      <c r="D804" s="7" t="str">
        <f>"王国乾"</f>
        <v>王国乾</v>
      </c>
      <c r="E804" s="7" t="str">
        <f>"男"</f>
        <v>男</v>
      </c>
    </row>
    <row r="805" spans="1:5" ht="30" customHeight="1">
      <c r="A805" s="6">
        <v>803</v>
      </c>
      <c r="B805" s="7" t="str">
        <f>"277320201217152728498"</f>
        <v>277320201217152728498</v>
      </c>
      <c r="C805" s="7" t="s">
        <v>19</v>
      </c>
      <c r="D805" s="7" t="str">
        <f>"曾丽莉"</f>
        <v>曾丽莉</v>
      </c>
      <c r="E805" s="7" t="str">
        <f aca="true" t="shared" si="27" ref="E805:E810">"女"</f>
        <v>女</v>
      </c>
    </row>
    <row r="806" spans="1:5" ht="30" customHeight="1">
      <c r="A806" s="6">
        <v>804</v>
      </c>
      <c r="B806" s="7" t="str">
        <f>"277320201217152748500"</f>
        <v>277320201217152748500</v>
      </c>
      <c r="C806" s="7" t="s">
        <v>19</v>
      </c>
      <c r="D806" s="7" t="str">
        <f>"尹萍"</f>
        <v>尹萍</v>
      </c>
      <c r="E806" s="7" t="str">
        <f t="shared" si="27"/>
        <v>女</v>
      </c>
    </row>
    <row r="807" spans="1:5" ht="30" customHeight="1">
      <c r="A807" s="6">
        <v>805</v>
      </c>
      <c r="B807" s="7" t="str">
        <f>"277320201217153201501"</f>
        <v>277320201217153201501</v>
      </c>
      <c r="C807" s="7" t="s">
        <v>19</v>
      </c>
      <c r="D807" s="7" t="str">
        <f>"符丽菲"</f>
        <v>符丽菲</v>
      </c>
      <c r="E807" s="7" t="str">
        <f t="shared" si="27"/>
        <v>女</v>
      </c>
    </row>
    <row r="808" spans="1:5" ht="30" customHeight="1">
      <c r="A808" s="6">
        <v>806</v>
      </c>
      <c r="B808" s="7" t="str">
        <f>"277320201217153321502"</f>
        <v>277320201217153321502</v>
      </c>
      <c r="C808" s="7" t="s">
        <v>19</v>
      </c>
      <c r="D808" s="7" t="str">
        <f>"符贝恩"</f>
        <v>符贝恩</v>
      </c>
      <c r="E808" s="7" t="str">
        <f t="shared" si="27"/>
        <v>女</v>
      </c>
    </row>
    <row r="809" spans="1:5" ht="30" customHeight="1">
      <c r="A809" s="6">
        <v>807</v>
      </c>
      <c r="B809" s="7" t="str">
        <f>"277320201217153641505"</f>
        <v>277320201217153641505</v>
      </c>
      <c r="C809" s="7" t="s">
        <v>19</v>
      </c>
      <c r="D809" s="7" t="str">
        <f>"叶慧婷"</f>
        <v>叶慧婷</v>
      </c>
      <c r="E809" s="7" t="str">
        <f t="shared" si="27"/>
        <v>女</v>
      </c>
    </row>
    <row r="810" spans="1:5" ht="30" customHeight="1">
      <c r="A810" s="6">
        <v>808</v>
      </c>
      <c r="B810" s="7" t="str">
        <f>"277320201217154055509"</f>
        <v>277320201217154055509</v>
      </c>
      <c r="C810" s="7" t="s">
        <v>19</v>
      </c>
      <c r="D810" s="7" t="str">
        <f>"符琪林"</f>
        <v>符琪林</v>
      </c>
      <c r="E810" s="7" t="str">
        <f t="shared" si="27"/>
        <v>女</v>
      </c>
    </row>
    <row r="811" spans="1:5" ht="30" customHeight="1">
      <c r="A811" s="6">
        <v>809</v>
      </c>
      <c r="B811" s="7" t="str">
        <f>"277320201217154210510"</f>
        <v>277320201217154210510</v>
      </c>
      <c r="C811" s="7" t="s">
        <v>19</v>
      </c>
      <c r="D811" s="7" t="str">
        <f>"符家鸿"</f>
        <v>符家鸿</v>
      </c>
      <c r="E811" s="7" t="str">
        <f>"男"</f>
        <v>男</v>
      </c>
    </row>
    <row r="812" spans="1:5" ht="30" customHeight="1">
      <c r="A812" s="6">
        <v>810</v>
      </c>
      <c r="B812" s="7" t="str">
        <f>"277320201217154211511"</f>
        <v>277320201217154211511</v>
      </c>
      <c r="C812" s="7" t="s">
        <v>19</v>
      </c>
      <c r="D812" s="7" t="str">
        <f>"符永宇"</f>
        <v>符永宇</v>
      </c>
      <c r="E812" s="7" t="str">
        <f>"男"</f>
        <v>男</v>
      </c>
    </row>
    <row r="813" spans="1:5" ht="30" customHeight="1">
      <c r="A813" s="6">
        <v>811</v>
      </c>
      <c r="B813" s="7" t="str">
        <f>"277320201217154444515"</f>
        <v>277320201217154444515</v>
      </c>
      <c r="C813" s="7" t="s">
        <v>19</v>
      </c>
      <c r="D813" s="7" t="str">
        <f>"符茜"</f>
        <v>符茜</v>
      </c>
      <c r="E813" s="7" t="str">
        <f>"女"</f>
        <v>女</v>
      </c>
    </row>
    <row r="814" spans="1:5" ht="30" customHeight="1">
      <c r="A814" s="6">
        <v>812</v>
      </c>
      <c r="B814" s="7" t="str">
        <f>"277320201217160004527"</f>
        <v>277320201217160004527</v>
      </c>
      <c r="C814" s="7" t="s">
        <v>19</v>
      </c>
      <c r="D814" s="7" t="str">
        <f>"王慧丹"</f>
        <v>王慧丹</v>
      </c>
      <c r="E814" s="7" t="str">
        <f>"女"</f>
        <v>女</v>
      </c>
    </row>
    <row r="815" spans="1:5" ht="30" customHeight="1">
      <c r="A815" s="6">
        <v>813</v>
      </c>
      <c r="B815" s="7" t="str">
        <f>"277320201217160157530"</f>
        <v>277320201217160157530</v>
      </c>
      <c r="C815" s="7" t="s">
        <v>19</v>
      </c>
      <c r="D815" s="7" t="str">
        <f>"孙智平"</f>
        <v>孙智平</v>
      </c>
      <c r="E815" s="7" t="str">
        <f>"男"</f>
        <v>男</v>
      </c>
    </row>
    <row r="816" spans="1:5" ht="30" customHeight="1">
      <c r="A816" s="6">
        <v>814</v>
      </c>
      <c r="B816" s="7" t="str">
        <f>"277320201217160606536"</f>
        <v>277320201217160606536</v>
      </c>
      <c r="C816" s="7" t="s">
        <v>19</v>
      </c>
      <c r="D816" s="7" t="str">
        <f>"刘佳佳"</f>
        <v>刘佳佳</v>
      </c>
      <c r="E816" s="7" t="str">
        <f>"女"</f>
        <v>女</v>
      </c>
    </row>
    <row r="817" spans="1:5" ht="30" customHeight="1">
      <c r="A817" s="6">
        <v>815</v>
      </c>
      <c r="B817" s="7" t="str">
        <f>"277320201217160742539"</f>
        <v>277320201217160742539</v>
      </c>
      <c r="C817" s="7" t="s">
        <v>19</v>
      </c>
      <c r="D817" s="7" t="str">
        <f>"符小庆"</f>
        <v>符小庆</v>
      </c>
      <c r="E817" s="7" t="str">
        <f>"女"</f>
        <v>女</v>
      </c>
    </row>
    <row r="818" spans="1:5" ht="30" customHeight="1">
      <c r="A818" s="6">
        <v>816</v>
      </c>
      <c r="B818" s="7" t="str">
        <f>"277320201217160824540"</f>
        <v>277320201217160824540</v>
      </c>
      <c r="C818" s="7" t="s">
        <v>19</v>
      </c>
      <c r="D818" s="7" t="str">
        <f>"王佩"</f>
        <v>王佩</v>
      </c>
      <c r="E818" s="7" t="str">
        <f>"女"</f>
        <v>女</v>
      </c>
    </row>
    <row r="819" spans="1:5" ht="30" customHeight="1">
      <c r="A819" s="6">
        <v>817</v>
      </c>
      <c r="B819" s="7" t="str">
        <f>"277320201217160954543"</f>
        <v>277320201217160954543</v>
      </c>
      <c r="C819" s="7" t="s">
        <v>19</v>
      </c>
      <c r="D819" s="7" t="str">
        <f>"熊文汇"</f>
        <v>熊文汇</v>
      </c>
      <c r="E819" s="7" t="str">
        <f>"女"</f>
        <v>女</v>
      </c>
    </row>
    <row r="820" spans="1:5" ht="30" customHeight="1">
      <c r="A820" s="6">
        <v>818</v>
      </c>
      <c r="B820" s="7" t="str">
        <f>"277320201217161424548"</f>
        <v>277320201217161424548</v>
      </c>
      <c r="C820" s="7" t="s">
        <v>19</v>
      </c>
      <c r="D820" s="7" t="str">
        <f>"王宏宇"</f>
        <v>王宏宇</v>
      </c>
      <c r="E820" s="7" t="str">
        <f>"男"</f>
        <v>男</v>
      </c>
    </row>
    <row r="821" spans="1:5" ht="30" customHeight="1">
      <c r="A821" s="6">
        <v>819</v>
      </c>
      <c r="B821" s="7" t="str">
        <f>"277320201217162512554"</f>
        <v>277320201217162512554</v>
      </c>
      <c r="C821" s="7" t="s">
        <v>19</v>
      </c>
      <c r="D821" s="7" t="str">
        <f>"曾丽娜"</f>
        <v>曾丽娜</v>
      </c>
      <c r="E821" s="7" t="str">
        <f>"女"</f>
        <v>女</v>
      </c>
    </row>
    <row r="822" spans="1:5" ht="30" customHeight="1">
      <c r="A822" s="6">
        <v>820</v>
      </c>
      <c r="B822" s="7" t="str">
        <f>"277320201217163452559"</f>
        <v>277320201217163452559</v>
      </c>
      <c r="C822" s="7" t="s">
        <v>19</v>
      </c>
      <c r="D822" s="7" t="str">
        <f>"杨庆利"</f>
        <v>杨庆利</v>
      </c>
      <c r="E822" s="7" t="str">
        <f>"男"</f>
        <v>男</v>
      </c>
    </row>
    <row r="823" spans="1:5" ht="30" customHeight="1">
      <c r="A823" s="6">
        <v>821</v>
      </c>
      <c r="B823" s="7" t="str">
        <f>"277320201217163622560"</f>
        <v>277320201217163622560</v>
      </c>
      <c r="C823" s="7" t="s">
        <v>19</v>
      </c>
      <c r="D823" s="7" t="str">
        <f>"符晓静"</f>
        <v>符晓静</v>
      </c>
      <c r="E823" s="7" t="str">
        <f>"女"</f>
        <v>女</v>
      </c>
    </row>
    <row r="824" spans="1:5" ht="30" customHeight="1">
      <c r="A824" s="6">
        <v>822</v>
      </c>
      <c r="B824" s="7" t="str">
        <f>"277320201217163812562"</f>
        <v>277320201217163812562</v>
      </c>
      <c r="C824" s="7" t="s">
        <v>19</v>
      </c>
      <c r="D824" s="7" t="str">
        <f>"王智"</f>
        <v>王智</v>
      </c>
      <c r="E824" s="7" t="str">
        <f>"男"</f>
        <v>男</v>
      </c>
    </row>
    <row r="825" spans="1:5" ht="30" customHeight="1">
      <c r="A825" s="6">
        <v>823</v>
      </c>
      <c r="B825" s="7" t="str">
        <f>"277320201217164040564"</f>
        <v>277320201217164040564</v>
      </c>
      <c r="C825" s="7" t="s">
        <v>19</v>
      </c>
      <c r="D825" s="7" t="str">
        <f>"蒙贤"</f>
        <v>蒙贤</v>
      </c>
      <c r="E825" s="7" t="str">
        <f>"女"</f>
        <v>女</v>
      </c>
    </row>
    <row r="826" spans="1:5" ht="30" customHeight="1">
      <c r="A826" s="6">
        <v>824</v>
      </c>
      <c r="B826" s="7" t="str">
        <f>"277320201217164215565"</f>
        <v>277320201217164215565</v>
      </c>
      <c r="C826" s="7" t="s">
        <v>19</v>
      </c>
      <c r="D826" s="7" t="str">
        <f>"符良君"</f>
        <v>符良君</v>
      </c>
      <c r="E826" s="7" t="str">
        <f>"男"</f>
        <v>男</v>
      </c>
    </row>
    <row r="827" spans="1:5" ht="30" customHeight="1">
      <c r="A827" s="6">
        <v>825</v>
      </c>
      <c r="B827" s="7" t="str">
        <f>"277320201217165200573"</f>
        <v>277320201217165200573</v>
      </c>
      <c r="C827" s="7" t="s">
        <v>19</v>
      </c>
      <c r="D827" s="7" t="str">
        <f>"符春梦"</f>
        <v>符春梦</v>
      </c>
      <c r="E827" s="7" t="str">
        <f>"女"</f>
        <v>女</v>
      </c>
    </row>
    <row r="828" spans="1:5" ht="30" customHeight="1">
      <c r="A828" s="6">
        <v>826</v>
      </c>
      <c r="B828" s="7" t="str">
        <f>"277320201217165420575"</f>
        <v>277320201217165420575</v>
      </c>
      <c r="C828" s="7" t="s">
        <v>19</v>
      </c>
      <c r="D828" s="7" t="str">
        <f>"林师贤"</f>
        <v>林师贤</v>
      </c>
      <c r="E828" s="7" t="str">
        <f>"男"</f>
        <v>男</v>
      </c>
    </row>
    <row r="829" spans="1:5" ht="30" customHeight="1">
      <c r="A829" s="6">
        <v>827</v>
      </c>
      <c r="B829" s="7" t="str">
        <f>"277320201217170239582"</f>
        <v>277320201217170239582</v>
      </c>
      <c r="C829" s="7" t="s">
        <v>19</v>
      </c>
      <c r="D829" s="7" t="str">
        <f>"孙晓卓"</f>
        <v>孙晓卓</v>
      </c>
      <c r="E829" s="7" t="str">
        <f>"男"</f>
        <v>男</v>
      </c>
    </row>
    <row r="830" spans="1:5" ht="30" customHeight="1">
      <c r="A830" s="6">
        <v>828</v>
      </c>
      <c r="B830" s="7" t="str">
        <f>"277320201217171305585"</f>
        <v>277320201217171305585</v>
      </c>
      <c r="C830" s="7" t="s">
        <v>19</v>
      </c>
      <c r="D830" s="7" t="str">
        <f>"符小叶"</f>
        <v>符小叶</v>
      </c>
      <c r="E830" s="7" t="str">
        <f>"女"</f>
        <v>女</v>
      </c>
    </row>
    <row r="831" spans="1:5" ht="30" customHeight="1">
      <c r="A831" s="6">
        <v>829</v>
      </c>
      <c r="B831" s="7" t="str">
        <f>"277320201217171757588"</f>
        <v>277320201217171757588</v>
      </c>
      <c r="C831" s="7" t="s">
        <v>19</v>
      </c>
      <c r="D831" s="7" t="str">
        <f>"董小妹"</f>
        <v>董小妹</v>
      </c>
      <c r="E831" s="7" t="str">
        <f>"女"</f>
        <v>女</v>
      </c>
    </row>
    <row r="832" spans="1:5" ht="30" customHeight="1">
      <c r="A832" s="6">
        <v>830</v>
      </c>
      <c r="B832" s="7" t="str">
        <f>"277320201217173323593"</f>
        <v>277320201217173323593</v>
      </c>
      <c r="C832" s="7" t="s">
        <v>19</v>
      </c>
      <c r="D832" s="7" t="str">
        <f>"符建熙"</f>
        <v>符建熙</v>
      </c>
      <c r="E832" s="7" t="str">
        <f>"女"</f>
        <v>女</v>
      </c>
    </row>
    <row r="833" spans="1:5" ht="30" customHeight="1">
      <c r="A833" s="6">
        <v>831</v>
      </c>
      <c r="B833" s="7" t="str">
        <f>"277320201217173404595"</f>
        <v>277320201217173404595</v>
      </c>
      <c r="C833" s="7" t="s">
        <v>19</v>
      </c>
      <c r="D833" s="7" t="str">
        <f>"符建君"</f>
        <v>符建君</v>
      </c>
      <c r="E833" s="7" t="str">
        <f>"男"</f>
        <v>男</v>
      </c>
    </row>
    <row r="834" spans="1:5" ht="30" customHeight="1">
      <c r="A834" s="6">
        <v>832</v>
      </c>
      <c r="B834" s="7" t="str">
        <f>"277320201217175347605"</f>
        <v>277320201217175347605</v>
      </c>
      <c r="C834" s="7" t="s">
        <v>19</v>
      </c>
      <c r="D834" s="7" t="str">
        <f>"符家月"</f>
        <v>符家月</v>
      </c>
      <c r="E834" s="7" t="str">
        <f>"女"</f>
        <v>女</v>
      </c>
    </row>
    <row r="835" spans="1:5" ht="30" customHeight="1">
      <c r="A835" s="6">
        <v>833</v>
      </c>
      <c r="B835" s="7" t="str">
        <f>"277320201217180157612"</f>
        <v>277320201217180157612</v>
      </c>
      <c r="C835" s="7" t="s">
        <v>19</v>
      </c>
      <c r="D835" s="7" t="str">
        <f>"符丽艳"</f>
        <v>符丽艳</v>
      </c>
      <c r="E835" s="7" t="str">
        <f>"女"</f>
        <v>女</v>
      </c>
    </row>
    <row r="836" spans="1:5" ht="30" customHeight="1">
      <c r="A836" s="6">
        <v>834</v>
      </c>
      <c r="B836" s="7" t="str">
        <f>"277320201217180731616"</f>
        <v>277320201217180731616</v>
      </c>
      <c r="C836" s="7" t="s">
        <v>19</v>
      </c>
      <c r="D836" s="7" t="str">
        <f>"王雪青"</f>
        <v>王雪青</v>
      </c>
      <c r="E836" s="7" t="str">
        <f>"女"</f>
        <v>女</v>
      </c>
    </row>
    <row r="837" spans="1:5" ht="30" customHeight="1">
      <c r="A837" s="6">
        <v>835</v>
      </c>
      <c r="B837" s="7" t="str">
        <f>"277320201217181753624"</f>
        <v>277320201217181753624</v>
      </c>
      <c r="C837" s="7" t="s">
        <v>19</v>
      </c>
      <c r="D837" s="7" t="str">
        <f>"符圣安"</f>
        <v>符圣安</v>
      </c>
      <c r="E837" s="7" t="str">
        <f>"男"</f>
        <v>男</v>
      </c>
    </row>
    <row r="838" spans="1:5" ht="30" customHeight="1">
      <c r="A838" s="6">
        <v>836</v>
      </c>
      <c r="B838" s="7" t="str">
        <f>"277320201217181949626"</f>
        <v>277320201217181949626</v>
      </c>
      <c r="C838" s="7" t="s">
        <v>19</v>
      </c>
      <c r="D838" s="7" t="str">
        <f>"符丽娜"</f>
        <v>符丽娜</v>
      </c>
      <c r="E838" s="7" t="str">
        <f>"女"</f>
        <v>女</v>
      </c>
    </row>
    <row r="839" spans="1:5" ht="30" customHeight="1">
      <c r="A839" s="6">
        <v>837</v>
      </c>
      <c r="B839" s="7" t="str">
        <f>"277320201217182009627"</f>
        <v>277320201217182009627</v>
      </c>
      <c r="C839" s="7" t="s">
        <v>19</v>
      </c>
      <c r="D839" s="7" t="str">
        <f>"李超"</f>
        <v>李超</v>
      </c>
      <c r="E839" s="7" t="str">
        <f>"男"</f>
        <v>男</v>
      </c>
    </row>
    <row r="840" spans="1:5" ht="30" customHeight="1">
      <c r="A840" s="6">
        <v>838</v>
      </c>
      <c r="B840" s="7" t="str">
        <f>"277320201217182040628"</f>
        <v>277320201217182040628</v>
      </c>
      <c r="C840" s="7" t="s">
        <v>19</v>
      </c>
      <c r="D840" s="7" t="str">
        <f>"裴洪智"</f>
        <v>裴洪智</v>
      </c>
      <c r="E840" s="7" t="str">
        <f>"男"</f>
        <v>男</v>
      </c>
    </row>
    <row r="841" spans="1:5" ht="30" customHeight="1">
      <c r="A841" s="6">
        <v>839</v>
      </c>
      <c r="B841" s="7" t="str">
        <f>"277320201217182418631"</f>
        <v>277320201217182418631</v>
      </c>
      <c r="C841" s="7" t="s">
        <v>19</v>
      </c>
      <c r="D841" s="7" t="str">
        <f>"周巧"</f>
        <v>周巧</v>
      </c>
      <c r="E841" s="7" t="str">
        <f>"女"</f>
        <v>女</v>
      </c>
    </row>
    <row r="842" spans="1:5" ht="30" customHeight="1">
      <c r="A842" s="6">
        <v>840</v>
      </c>
      <c r="B842" s="7" t="str">
        <f>"277320201217182825632"</f>
        <v>277320201217182825632</v>
      </c>
      <c r="C842" s="7" t="s">
        <v>19</v>
      </c>
      <c r="D842" s="7" t="str">
        <f>"张秀敏"</f>
        <v>张秀敏</v>
      </c>
      <c r="E842" s="7" t="str">
        <f>"女"</f>
        <v>女</v>
      </c>
    </row>
    <row r="843" spans="1:5" ht="30" customHeight="1">
      <c r="A843" s="6">
        <v>841</v>
      </c>
      <c r="B843" s="7" t="str">
        <f>"277320201217183046633"</f>
        <v>277320201217183046633</v>
      </c>
      <c r="C843" s="7" t="s">
        <v>19</v>
      </c>
      <c r="D843" s="7" t="str">
        <f>"黄昱"</f>
        <v>黄昱</v>
      </c>
      <c r="E843" s="7" t="str">
        <f>"女"</f>
        <v>女</v>
      </c>
    </row>
    <row r="844" spans="1:5" ht="30" customHeight="1">
      <c r="A844" s="6">
        <v>842</v>
      </c>
      <c r="B844" s="7" t="str">
        <f>"277320201217183416637"</f>
        <v>277320201217183416637</v>
      </c>
      <c r="C844" s="7" t="s">
        <v>19</v>
      </c>
      <c r="D844" s="7" t="str">
        <f>"吴英伦"</f>
        <v>吴英伦</v>
      </c>
      <c r="E844" s="7" t="str">
        <f>"男"</f>
        <v>男</v>
      </c>
    </row>
    <row r="845" spans="1:5" ht="30" customHeight="1">
      <c r="A845" s="6">
        <v>843</v>
      </c>
      <c r="B845" s="7" t="str">
        <f>"277320201217183915639"</f>
        <v>277320201217183915639</v>
      </c>
      <c r="C845" s="7" t="s">
        <v>19</v>
      </c>
      <c r="D845" s="7" t="str">
        <f>"陈祖滢"</f>
        <v>陈祖滢</v>
      </c>
      <c r="E845" s="7" t="str">
        <f>"女"</f>
        <v>女</v>
      </c>
    </row>
    <row r="846" spans="1:5" ht="30" customHeight="1">
      <c r="A846" s="6">
        <v>844</v>
      </c>
      <c r="B846" s="7" t="str">
        <f>"277320201217184518641"</f>
        <v>277320201217184518641</v>
      </c>
      <c r="C846" s="7" t="s">
        <v>19</v>
      </c>
      <c r="D846" s="7" t="str">
        <f>"羊秀娇"</f>
        <v>羊秀娇</v>
      </c>
      <c r="E846" s="7" t="str">
        <f>"女"</f>
        <v>女</v>
      </c>
    </row>
    <row r="847" spans="1:5" ht="30" customHeight="1">
      <c r="A847" s="6">
        <v>845</v>
      </c>
      <c r="B847" s="7" t="str">
        <f>"277320201217184631642"</f>
        <v>277320201217184631642</v>
      </c>
      <c r="C847" s="7" t="s">
        <v>19</v>
      </c>
      <c r="D847" s="7" t="str">
        <f>"王一棉"</f>
        <v>王一棉</v>
      </c>
      <c r="E847" s="7" t="str">
        <f>"女"</f>
        <v>女</v>
      </c>
    </row>
    <row r="848" spans="1:5" ht="30" customHeight="1">
      <c r="A848" s="6">
        <v>846</v>
      </c>
      <c r="B848" s="7" t="str">
        <f>"277320201217185654649"</f>
        <v>277320201217185654649</v>
      </c>
      <c r="C848" s="7" t="s">
        <v>19</v>
      </c>
      <c r="D848" s="7" t="str">
        <f>"张嘉雯"</f>
        <v>张嘉雯</v>
      </c>
      <c r="E848" s="7" t="str">
        <f>"女"</f>
        <v>女</v>
      </c>
    </row>
    <row r="849" spans="1:5" ht="30" customHeight="1">
      <c r="A849" s="6">
        <v>847</v>
      </c>
      <c r="B849" s="7" t="str">
        <f>"277320201217190124652"</f>
        <v>277320201217190124652</v>
      </c>
      <c r="C849" s="7" t="s">
        <v>19</v>
      </c>
      <c r="D849" s="7" t="str">
        <f>"王巨司"</f>
        <v>王巨司</v>
      </c>
      <c r="E849" s="7" t="str">
        <f>"男"</f>
        <v>男</v>
      </c>
    </row>
    <row r="850" spans="1:5" ht="30" customHeight="1">
      <c r="A850" s="6">
        <v>848</v>
      </c>
      <c r="B850" s="7" t="str">
        <f>"277320201217191240656"</f>
        <v>277320201217191240656</v>
      </c>
      <c r="C850" s="7" t="s">
        <v>19</v>
      </c>
      <c r="D850" s="7" t="str">
        <f>"符丽芳"</f>
        <v>符丽芳</v>
      </c>
      <c r="E850" s="7" t="str">
        <f>"女"</f>
        <v>女</v>
      </c>
    </row>
    <row r="851" spans="1:5" ht="30" customHeight="1">
      <c r="A851" s="6">
        <v>849</v>
      </c>
      <c r="B851" s="7" t="str">
        <f>"277320201217192033663"</f>
        <v>277320201217192033663</v>
      </c>
      <c r="C851" s="7" t="s">
        <v>19</v>
      </c>
      <c r="D851" s="7" t="str">
        <f>"王丹婷"</f>
        <v>王丹婷</v>
      </c>
      <c r="E851" s="7" t="str">
        <f>"女"</f>
        <v>女</v>
      </c>
    </row>
    <row r="852" spans="1:5" ht="30" customHeight="1">
      <c r="A852" s="6">
        <v>850</v>
      </c>
      <c r="B852" s="7" t="str">
        <f>"277320201217192035664"</f>
        <v>277320201217192035664</v>
      </c>
      <c r="C852" s="7" t="s">
        <v>19</v>
      </c>
      <c r="D852" s="7" t="str">
        <f>"高富春"</f>
        <v>高富春</v>
      </c>
      <c r="E852" s="7" t="str">
        <f>"男"</f>
        <v>男</v>
      </c>
    </row>
    <row r="853" spans="1:5" ht="30" customHeight="1">
      <c r="A853" s="6">
        <v>851</v>
      </c>
      <c r="B853" s="7" t="str">
        <f>"277320201217193038671"</f>
        <v>277320201217193038671</v>
      </c>
      <c r="C853" s="7" t="s">
        <v>19</v>
      </c>
      <c r="D853" s="7" t="str">
        <f>"符婉婷"</f>
        <v>符婉婷</v>
      </c>
      <c r="E853" s="7" t="str">
        <f aca="true" t="shared" si="28" ref="E853:E858">"女"</f>
        <v>女</v>
      </c>
    </row>
    <row r="854" spans="1:5" ht="30" customHeight="1">
      <c r="A854" s="6">
        <v>852</v>
      </c>
      <c r="B854" s="7" t="str">
        <f>"277320201217193053672"</f>
        <v>277320201217193053672</v>
      </c>
      <c r="C854" s="7" t="s">
        <v>19</v>
      </c>
      <c r="D854" s="7" t="str">
        <f>"杨霖"</f>
        <v>杨霖</v>
      </c>
      <c r="E854" s="7" t="str">
        <f t="shared" si="28"/>
        <v>女</v>
      </c>
    </row>
    <row r="855" spans="1:5" ht="30" customHeight="1">
      <c r="A855" s="6">
        <v>853</v>
      </c>
      <c r="B855" s="7" t="str">
        <f>"277320201217193453675"</f>
        <v>277320201217193453675</v>
      </c>
      <c r="C855" s="7" t="s">
        <v>19</v>
      </c>
      <c r="D855" s="7" t="str">
        <f>"唐海婷"</f>
        <v>唐海婷</v>
      </c>
      <c r="E855" s="7" t="str">
        <f t="shared" si="28"/>
        <v>女</v>
      </c>
    </row>
    <row r="856" spans="1:5" ht="30" customHeight="1">
      <c r="A856" s="6">
        <v>854</v>
      </c>
      <c r="B856" s="7" t="str">
        <f>"277320201217193739677"</f>
        <v>277320201217193739677</v>
      </c>
      <c r="C856" s="7" t="s">
        <v>19</v>
      </c>
      <c r="D856" s="7" t="str">
        <f>"李晓园"</f>
        <v>李晓园</v>
      </c>
      <c r="E856" s="7" t="str">
        <f t="shared" si="28"/>
        <v>女</v>
      </c>
    </row>
    <row r="857" spans="1:5" ht="30" customHeight="1">
      <c r="A857" s="6">
        <v>855</v>
      </c>
      <c r="B857" s="7" t="str">
        <f>"277320201217194117679"</f>
        <v>277320201217194117679</v>
      </c>
      <c r="C857" s="7" t="s">
        <v>19</v>
      </c>
      <c r="D857" s="7" t="str">
        <f>"符少琴"</f>
        <v>符少琴</v>
      </c>
      <c r="E857" s="7" t="str">
        <f t="shared" si="28"/>
        <v>女</v>
      </c>
    </row>
    <row r="858" spans="1:5" ht="30" customHeight="1">
      <c r="A858" s="6">
        <v>856</v>
      </c>
      <c r="B858" s="7" t="str">
        <f>"277320201217194751680"</f>
        <v>277320201217194751680</v>
      </c>
      <c r="C858" s="7" t="s">
        <v>19</v>
      </c>
      <c r="D858" s="7" t="str">
        <f>"符秋益"</f>
        <v>符秋益</v>
      </c>
      <c r="E858" s="7" t="str">
        <f t="shared" si="28"/>
        <v>女</v>
      </c>
    </row>
    <row r="859" spans="1:5" ht="30" customHeight="1">
      <c r="A859" s="6">
        <v>857</v>
      </c>
      <c r="B859" s="7" t="str">
        <f>"277320201217200225685"</f>
        <v>277320201217200225685</v>
      </c>
      <c r="C859" s="7" t="s">
        <v>19</v>
      </c>
      <c r="D859" s="7" t="str">
        <f>"刘学明"</f>
        <v>刘学明</v>
      </c>
      <c r="E859" s="7" t="str">
        <f>"男"</f>
        <v>男</v>
      </c>
    </row>
    <row r="860" spans="1:5" ht="30" customHeight="1">
      <c r="A860" s="6">
        <v>858</v>
      </c>
      <c r="B860" s="7" t="str">
        <f>"277320201217201204687"</f>
        <v>277320201217201204687</v>
      </c>
      <c r="C860" s="7" t="s">
        <v>19</v>
      </c>
      <c r="D860" s="7" t="str">
        <f>"符玉爽"</f>
        <v>符玉爽</v>
      </c>
      <c r="E860" s="7" t="str">
        <f aca="true" t="shared" si="29" ref="E860:E865">"女"</f>
        <v>女</v>
      </c>
    </row>
    <row r="861" spans="1:5" ht="30" customHeight="1">
      <c r="A861" s="6">
        <v>859</v>
      </c>
      <c r="B861" s="7" t="str">
        <f>"277320201217201209688"</f>
        <v>277320201217201209688</v>
      </c>
      <c r="C861" s="7" t="s">
        <v>19</v>
      </c>
      <c r="D861" s="7" t="str">
        <f>"高小娜"</f>
        <v>高小娜</v>
      </c>
      <c r="E861" s="7" t="str">
        <f t="shared" si="29"/>
        <v>女</v>
      </c>
    </row>
    <row r="862" spans="1:5" ht="30" customHeight="1">
      <c r="A862" s="6">
        <v>860</v>
      </c>
      <c r="B862" s="7" t="str">
        <f>"277320201217201857693"</f>
        <v>277320201217201857693</v>
      </c>
      <c r="C862" s="7" t="s">
        <v>19</v>
      </c>
      <c r="D862" s="7" t="str">
        <f>"王晓霞"</f>
        <v>王晓霞</v>
      </c>
      <c r="E862" s="7" t="str">
        <f t="shared" si="29"/>
        <v>女</v>
      </c>
    </row>
    <row r="863" spans="1:5" ht="30" customHeight="1">
      <c r="A863" s="6">
        <v>861</v>
      </c>
      <c r="B863" s="7" t="str">
        <f>"277320201217201949694"</f>
        <v>277320201217201949694</v>
      </c>
      <c r="C863" s="7" t="s">
        <v>19</v>
      </c>
      <c r="D863" s="7" t="str">
        <f>"钟丽莎"</f>
        <v>钟丽莎</v>
      </c>
      <c r="E863" s="7" t="str">
        <f t="shared" si="29"/>
        <v>女</v>
      </c>
    </row>
    <row r="864" spans="1:5" ht="30" customHeight="1">
      <c r="A864" s="6">
        <v>862</v>
      </c>
      <c r="B864" s="7" t="str">
        <f>"277320201217203405703"</f>
        <v>277320201217203405703</v>
      </c>
      <c r="C864" s="7" t="s">
        <v>19</v>
      </c>
      <c r="D864" s="7" t="str">
        <f>"符叶飘"</f>
        <v>符叶飘</v>
      </c>
      <c r="E864" s="7" t="str">
        <f t="shared" si="29"/>
        <v>女</v>
      </c>
    </row>
    <row r="865" spans="1:5" ht="30" customHeight="1">
      <c r="A865" s="6">
        <v>863</v>
      </c>
      <c r="B865" s="7" t="str">
        <f>"277320201217203501704"</f>
        <v>277320201217203501704</v>
      </c>
      <c r="C865" s="7" t="s">
        <v>19</v>
      </c>
      <c r="D865" s="7" t="str">
        <f>"符淑婷"</f>
        <v>符淑婷</v>
      </c>
      <c r="E865" s="7" t="str">
        <f t="shared" si="29"/>
        <v>女</v>
      </c>
    </row>
    <row r="866" spans="1:5" ht="30" customHeight="1">
      <c r="A866" s="6">
        <v>864</v>
      </c>
      <c r="B866" s="7" t="str">
        <f>"277320201217203720707"</f>
        <v>277320201217203720707</v>
      </c>
      <c r="C866" s="7" t="s">
        <v>19</v>
      </c>
      <c r="D866" s="7" t="str">
        <f>"陈信裕"</f>
        <v>陈信裕</v>
      </c>
      <c r="E866" s="7" t="str">
        <f>"男"</f>
        <v>男</v>
      </c>
    </row>
    <row r="867" spans="1:5" ht="30" customHeight="1">
      <c r="A867" s="6">
        <v>865</v>
      </c>
      <c r="B867" s="7" t="str">
        <f>"277320201217204721712"</f>
        <v>277320201217204721712</v>
      </c>
      <c r="C867" s="7" t="s">
        <v>19</v>
      </c>
      <c r="D867" s="7" t="str">
        <f>"符政芳"</f>
        <v>符政芳</v>
      </c>
      <c r="E867" s="7" t="str">
        <f>"女"</f>
        <v>女</v>
      </c>
    </row>
    <row r="868" spans="1:5" ht="30" customHeight="1">
      <c r="A868" s="6">
        <v>866</v>
      </c>
      <c r="B868" s="7" t="str">
        <f>"277320201217205444719"</f>
        <v>277320201217205444719</v>
      </c>
      <c r="C868" s="7" t="s">
        <v>19</v>
      </c>
      <c r="D868" s="7" t="str">
        <f>"王玉叶"</f>
        <v>王玉叶</v>
      </c>
      <c r="E868" s="7" t="str">
        <f>"女"</f>
        <v>女</v>
      </c>
    </row>
    <row r="869" spans="1:5" ht="30" customHeight="1">
      <c r="A869" s="6">
        <v>867</v>
      </c>
      <c r="B869" s="7" t="str">
        <f>"277320201217211124728"</f>
        <v>277320201217211124728</v>
      </c>
      <c r="C869" s="7" t="s">
        <v>19</v>
      </c>
      <c r="D869" s="7" t="str">
        <f>"符叶青"</f>
        <v>符叶青</v>
      </c>
      <c r="E869" s="7" t="str">
        <f>"女"</f>
        <v>女</v>
      </c>
    </row>
    <row r="870" spans="1:5" ht="30" customHeight="1">
      <c r="A870" s="6">
        <v>868</v>
      </c>
      <c r="B870" s="7" t="str">
        <f>"277320201217211903731"</f>
        <v>277320201217211903731</v>
      </c>
      <c r="C870" s="7" t="s">
        <v>19</v>
      </c>
      <c r="D870" s="7" t="str">
        <f>"符杰云"</f>
        <v>符杰云</v>
      </c>
      <c r="E870" s="7" t="str">
        <f>"男"</f>
        <v>男</v>
      </c>
    </row>
    <row r="871" spans="1:5" ht="30" customHeight="1">
      <c r="A871" s="6">
        <v>869</v>
      </c>
      <c r="B871" s="7" t="str">
        <f>"277320201217215735755"</f>
        <v>277320201217215735755</v>
      </c>
      <c r="C871" s="7" t="s">
        <v>19</v>
      </c>
      <c r="D871" s="7" t="str">
        <f>"符帝宝"</f>
        <v>符帝宝</v>
      </c>
      <c r="E871" s="7" t="str">
        <f>"男"</f>
        <v>男</v>
      </c>
    </row>
    <row r="872" spans="1:5" ht="30" customHeight="1">
      <c r="A872" s="6">
        <v>870</v>
      </c>
      <c r="B872" s="7" t="str">
        <f>"277320201217220344758"</f>
        <v>277320201217220344758</v>
      </c>
      <c r="C872" s="7" t="s">
        <v>19</v>
      </c>
      <c r="D872" s="7" t="str">
        <f>"张慧清"</f>
        <v>张慧清</v>
      </c>
      <c r="E872" s="7" t="str">
        <f>"女"</f>
        <v>女</v>
      </c>
    </row>
    <row r="873" spans="1:5" ht="30" customHeight="1">
      <c r="A873" s="6">
        <v>871</v>
      </c>
      <c r="B873" s="7" t="str">
        <f>"277320201217220400759"</f>
        <v>277320201217220400759</v>
      </c>
      <c r="C873" s="7" t="s">
        <v>19</v>
      </c>
      <c r="D873" s="7" t="str">
        <f>"包莹莹"</f>
        <v>包莹莹</v>
      </c>
      <c r="E873" s="7" t="str">
        <f>"女"</f>
        <v>女</v>
      </c>
    </row>
    <row r="874" spans="1:5" ht="30" customHeight="1">
      <c r="A874" s="6">
        <v>872</v>
      </c>
      <c r="B874" s="7" t="str">
        <f>"277320201217220915761"</f>
        <v>277320201217220915761</v>
      </c>
      <c r="C874" s="7" t="s">
        <v>19</v>
      </c>
      <c r="D874" s="7" t="str">
        <f>"范妙莉"</f>
        <v>范妙莉</v>
      </c>
      <c r="E874" s="7" t="str">
        <f>"女"</f>
        <v>女</v>
      </c>
    </row>
    <row r="875" spans="1:5" ht="30" customHeight="1">
      <c r="A875" s="6">
        <v>873</v>
      </c>
      <c r="B875" s="7" t="str">
        <f>"277320201217221701766"</f>
        <v>277320201217221701766</v>
      </c>
      <c r="C875" s="7" t="s">
        <v>19</v>
      </c>
      <c r="D875" s="7" t="str">
        <f>"谭俊"</f>
        <v>谭俊</v>
      </c>
      <c r="E875" s="7" t="str">
        <f>"男"</f>
        <v>男</v>
      </c>
    </row>
    <row r="876" spans="1:5" ht="30" customHeight="1">
      <c r="A876" s="6">
        <v>874</v>
      </c>
      <c r="B876" s="7" t="str">
        <f>"277320201217221733767"</f>
        <v>277320201217221733767</v>
      </c>
      <c r="C876" s="7" t="s">
        <v>19</v>
      </c>
      <c r="D876" s="7" t="str">
        <f>"符帝鹊"</f>
        <v>符帝鹊</v>
      </c>
      <c r="E876" s="7" t="str">
        <f>"男"</f>
        <v>男</v>
      </c>
    </row>
    <row r="877" spans="1:5" ht="30" customHeight="1">
      <c r="A877" s="6">
        <v>875</v>
      </c>
      <c r="B877" s="7" t="str">
        <f>"277320201217222705772"</f>
        <v>277320201217222705772</v>
      </c>
      <c r="C877" s="7" t="s">
        <v>19</v>
      </c>
      <c r="D877" s="7" t="str">
        <f>"符才丹"</f>
        <v>符才丹</v>
      </c>
      <c r="E877" s="7" t="str">
        <f>"女"</f>
        <v>女</v>
      </c>
    </row>
    <row r="878" spans="1:5" ht="30" customHeight="1">
      <c r="A878" s="6">
        <v>876</v>
      </c>
      <c r="B878" s="7" t="str">
        <f>"277320201217223028775"</f>
        <v>277320201217223028775</v>
      </c>
      <c r="C878" s="7" t="s">
        <v>19</v>
      </c>
      <c r="D878" s="7" t="str">
        <f>"符晓菲"</f>
        <v>符晓菲</v>
      </c>
      <c r="E878" s="7" t="str">
        <f>"女"</f>
        <v>女</v>
      </c>
    </row>
    <row r="879" spans="1:5" ht="30" customHeight="1">
      <c r="A879" s="6">
        <v>877</v>
      </c>
      <c r="B879" s="7" t="str">
        <f>"277320201217223044776"</f>
        <v>277320201217223044776</v>
      </c>
      <c r="C879" s="7" t="s">
        <v>19</v>
      </c>
      <c r="D879" s="7" t="str">
        <f>"周丽虹"</f>
        <v>周丽虹</v>
      </c>
      <c r="E879" s="7" t="str">
        <f>"女"</f>
        <v>女</v>
      </c>
    </row>
    <row r="880" spans="1:5" ht="30" customHeight="1">
      <c r="A880" s="6">
        <v>878</v>
      </c>
      <c r="B880" s="7" t="str">
        <f>"277320201217230735786"</f>
        <v>277320201217230735786</v>
      </c>
      <c r="C880" s="7" t="s">
        <v>19</v>
      </c>
      <c r="D880" s="7" t="str">
        <f>"林思茜"</f>
        <v>林思茜</v>
      </c>
      <c r="E880" s="7" t="str">
        <f>"女"</f>
        <v>女</v>
      </c>
    </row>
    <row r="881" spans="1:5" ht="30" customHeight="1">
      <c r="A881" s="6">
        <v>879</v>
      </c>
      <c r="B881" s="7" t="str">
        <f>"277320201217230940787"</f>
        <v>277320201217230940787</v>
      </c>
      <c r="C881" s="7" t="s">
        <v>19</v>
      </c>
      <c r="D881" s="7" t="str">
        <f>"王岳崇"</f>
        <v>王岳崇</v>
      </c>
      <c r="E881" s="7" t="str">
        <f>"男"</f>
        <v>男</v>
      </c>
    </row>
    <row r="882" spans="1:5" ht="30" customHeight="1">
      <c r="A882" s="6">
        <v>880</v>
      </c>
      <c r="B882" s="7" t="str">
        <f>"277320201217232940791"</f>
        <v>277320201217232940791</v>
      </c>
      <c r="C882" s="7" t="s">
        <v>19</v>
      </c>
      <c r="D882" s="7" t="str">
        <f>"符巧晓"</f>
        <v>符巧晓</v>
      </c>
      <c r="E882" s="7" t="str">
        <f>"女"</f>
        <v>女</v>
      </c>
    </row>
    <row r="883" spans="1:5" ht="30" customHeight="1">
      <c r="A883" s="6">
        <v>881</v>
      </c>
      <c r="B883" s="7" t="str">
        <f>"277320201217233536792"</f>
        <v>277320201217233536792</v>
      </c>
      <c r="C883" s="7" t="s">
        <v>19</v>
      </c>
      <c r="D883" s="7" t="str">
        <f>"王秋婷"</f>
        <v>王秋婷</v>
      </c>
      <c r="E883" s="7" t="str">
        <f>"女"</f>
        <v>女</v>
      </c>
    </row>
    <row r="884" spans="1:5" ht="30" customHeight="1">
      <c r="A884" s="6">
        <v>882</v>
      </c>
      <c r="B884" s="7" t="str">
        <f>"277320201218080844808"</f>
        <v>277320201218080844808</v>
      </c>
      <c r="C884" s="7" t="s">
        <v>19</v>
      </c>
      <c r="D884" s="7" t="str">
        <f>"符小梦"</f>
        <v>符小梦</v>
      </c>
      <c r="E884" s="7" t="str">
        <f>"女"</f>
        <v>女</v>
      </c>
    </row>
    <row r="885" spans="1:5" ht="30" customHeight="1">
      <c r="A885" s="6">
        <v>883</v>
      </c>
      <c r="B885" s="7" t="str">
        <f>"277320201218082825811"</f>
        <v>277320201218082825811</v>
      </c>
      <c r="C885" s="7" t="s">
        <v>19</v>
      </c>
      <c r="D885" s="7" t="str">
        <f>"符晓琪"</f>
        <v>符晓琪</v>
      </c>
      <c r="E885" s="7" t="str">
        <f>"女"</f>
        <v>女</v>
      </c>
    </row>
    <row r="886" spans="1:5" ht="30" customHeight="1">
      <c r="A886" s="6">
        <v>884</v>
      </c>
      <c r="B886" s="7" t="str">
        <f>"277320201218083713815"</f>
        <v>277320201218083713815</v>
      </c>
      <c r="C886" s="7" t="s">
        <v>19</v>
      </c>
      <c r="D886" s="7" t="str">
        <f>"曾晓妹"</f>
        <v>曾晓妹</v>
      </c>
      <c r="E886" s="7" t="str">
        <f>"女"</f>
        <v>女</v>
      </c>
    </row>
    <row r="887" spans="1:5" ht="30" customHeight="1">
      <c r="A887" s="6">
        <v>885</v>
      </c>
      <c r="B887" s="7" t="str">
        <f>"277320201218083813816"</f>
        <v>277320201218083813816</v>
      </c>
      <c r="C887" s="7" t="s">
        <v>19</v>
      </c>
      <c r="D887" s="7" t="str">
        <f>"符家祥"</f>
        <v>符家祥</v>
      </c>
      <c r="E887" s="7" t="str">
        <f>"男"</f>
        <v>男</v>
      </c>
    </row>
    <row r="888" spans="1:5" ht="30" customHeight="1">
      <c r="A888" s="6">
        <v>886</v>
      </c>
      <c r="B888" s="7" t="str">
        <f>"277320201218084337818"</f>
        <v>277320201218084337818</v>
      </c>
      <c r="C888" s="7" t="s">
        <v>19</v>
      </c>
      <c r="D888" s="7" t="str">
        <f>"王也"</f>
        <v>王也</v>
      </c>
      <c r="E888" s="7" t="str">
        <f>"男"</f>
        <v>男</v>
      </c>
    </row>
    <row r="889" spans="1:5" ht="30" customHeight="1">
      <c r="A889" s="6">
        <v>887</v>
      </c>
      <c r="B889" s="7" t="str">
        <f>"277320201218084413819"</f>
        <v>277320201218084413819</v>
      </c>
      <c r="C889" s="7" t="s">
        <v>19</v>
      </c>
      <c r="D889" s="7" t="str">
        <f>"吉玉群"</f>
        <v>吉玉群</v>
      </c>
      <c r="E889" s="7" t="str">
        <f>"女"</f>
        <v>女</v>
      </c>
    </row>
    <row r="890" spans="1:5" ht="30" customHeight="1">
      <c r="A890" s="6">
        <v>888</v>
      </c>
      <c r="B890" s="7" t="str">
        <f>"277320201218085837824"</f>
        <v>277320201218085837824</v>
      </c>
      <c r="C890" s="7" t="s">
        <v>19</v>
      </c>
      <c r="D890" s="7" t="str">
        <f>"符峥"</f>
        <v>符峥</v>
      </c>
      <c r="E890" s="7" t="str">
        <f aca="true" t="shared" si="30" ref="E890:E895">"男"</f>
        <v>男</v>
      </c>
    </row>
    <row r="891" spans="1:5" ht="30" customHeight="1">
      <c r="A891" s="6">
        <v>889</v>
      </c>
      <c r="B891" s="7" t="str">
        <f>"277320201218090234828"</f>
        <v>277320201218090234828</v>
      </c>
      <c r="C891" s="7" t="s">
        <v>19</v>
      </c>
      <c r="D891" s="7" t="str">
        <f>"王和龙"</f>
        <v>王和龙</v>
      </c>
      <c r="E891" s="7" t="str">
        <f t="shared" si="30"/>
        <v>男</v>
      </c>
    </row>
    <row r="892" spans="1:5" ht="30" customHeight="1">
      <c r="A892" s="6">
        <v>890</v>
      </c>
      <c r="B892" s="7" t="str">
        <f>"277320201218090413829"</f>
        <v>277320201218090413829</v>
      </c>
      <c r="C892" s="7" t="s">
        <v>19</v>
      </c>
      <c r="D892" s="7" t="str">
        <f>"李珍峰"</f>
        <v>李珍峰</v>
      </c>
      <c r="E892" s="7" t="str">
        <f t="shared" si="30"/>
        <v>男</v>
      </c>
    </row>
    <row r="893" spans="1:5" ht="30" customHeight="1">
      <c r="A893" s="6">
        <v>891</v>
      </c>
      <c r="B893" s="7" t="str">
        <f>"277320201218090751833"</f>
        <v>277320201218090751833</v>
      </c>
      <c r="C893" s="7" t="s">
        <v>19</v>
      </c>
      <c r="D893" s="7" t="str">
        <f>"王明勋"</f>
        <v>王明勋</v>
      </c>
      <c r="E893" s="7" t="str">
        <f t="shared" si="30"/>
        <v>男</v>
      </c>
    </row>
    <row r="894" spans="1:5" ht="30" customHeight="1">
      <c r="A894" s="6">
        <v>892</v>
      </c>
      <c r="B894" s="7" t="str">
        <f>"277320201218091457836"</f>
        <v>277320201218091457836</v>
      </c>
      <c r="C894" s="7" t="s">
        <v>19</v>
      </c>
      <c r="D894" s="7" t="str">
        <f>"周亚飞"</f>
        <v>周亚飞</v>
      </c>
      <c r="E894" s="7" t="str">
        <f t="shared" si="30"/>
        <v>男</v>
      </c>
    </row>
    <row r="895" spans="1:5" ht="30" customHeight="1">
      <c r="A895" s="6">
        <v>893</v>
      </c>
      <c r="B895" s="7" t="str">
        <f>"277320201218092038839"</f>
        <v>277320201218092038839</v>
      </c>
      <c r="C895" s="7" t="s">
        <v>19</v>
      </c>
      <c r="D895" s="7" t="str">
        <f>"王华兴"</f>
        <v>王华兴</v>
      </c>
      <c r="E895" s="7" t="str">
        <f t="shared" si="30"/>
        <v>男</v>
      </c>
    </row>
    <row r="896" spans="1:5" ht="30" customHeight="1">
      <c r="A896" s="6">
        <v>894</v>
      </c>
      <c r="B896" s="7" t="str">
        <f>"277320201218092429842"</f>
        <v>277320201218092429842</v>
      </c>
      <c r="C896" s="7" t="s">
        <v>19</v>
      </c>
      <c r="D896" s="7" t="str">
        <f>"王青畅"</f>
        <v>王青畅</v>
      </c>
      <c r="E896" s="7" t="str">
        <f>"女"</f>
        <v>女</v>
      </c>
    </row>
    <row r="897" spans="1:5" ht="30" customHeight="1">
      <c r="A897" s="6">
        <v>895</v>
      </c>
      <c r="B897" s="7" t="str">
        <f>"277320201218094111849"</f>
        <v>277320201218094111849</v>
      </c>
      <c r="C897" s="7" t="s">
        <v>19</v>
      </c>
      <c r="D897" s="7" t="str">
        <f>"王秀玲"</f>
        <v>王秀玲</v>
      </c>
      <c r="E897" s="7" t="str">
        <f>"女"</f>
        <v>女</v>
      </c>
    </row>
    <row r="898" spans="1:5" ht="30" customHeight="1">
      <c r="A898" s="6">
        <v>896</v>
      </c>
      <c r="B898" s="7" t="str">
        <f>"277320201218094321851"</f>
        <v>277320201218094321851</v>
      </c>
      <c r="C898" s="7" t="s">
        <v>19</v>
      </c>
      <c r="D898" s="7" t="str">
        <f>"张琳琳"</f>
        <v>张琳琳</v>
      </c>
      <c r="E898" s="7" t="str">
        <f>"女"</f>
        <v>女</v>
      </c>
    </row>
    <row r="899" spans="1:5" ht="30" customHeight="1">
      <c r="A899" s="6">
        <v>897</v>
      </c>
      <c r="B899" s="7" t="str">
        <f>"277320201218094826852"</f>
        <v>277320201218094826852</v>
      </c>
      <c r="C899" s="7" t="s">
        <v>19</v>
      </c>
      <c r="D899" s="7" t="str">
        <f>"张美虹"</f>
        <v>张美虹</v>
      </c>
      <c r="E899" s="7" t="str">
        <f>"女"</f>
        <v>女</v>
      </c>
    </row>
    <row r="900" spans="1:5" ht="30" customHeight="1">
      <c r="A900" s="6">
        <v>898</v>
      </c>
      <c r="B900" s="7" t="str">
        <f>"277320201218095016853"</f>
        <v>277320201218095016853</v>
      </c>
      <c r="C900" s="7" t="s">
        <v>19</v>
      </c>
      <c r="D900" s="7" t="str">
        <f>"符仕海"</f>
        <v>符仕海</v>
      </c>
      <c r="E900" s="7" t="str">
        <f>"男"</f>
        <v>男</v>
      </c>
    </row>
    <row r="901" spans="1:5" ht="30" customHeight="1">
      <c r="A901" s="6">
        <v>899</v>
      </c>
      <c r="B901" s="7" t="str">
        <f>"277320201218095444854"</f>
        <v>277320201218095444854</v>
      </c>
      <c r="C901" s="7" t="s">
        <v>19</v>
      </c>
      <c r="D901" s="7" t="str">
        <f>"李畅贞"</f>
        <v>李畅贞</v>
      </c>
      <c r="E901" s="7" t="str">
        <f>"女"</f>
        <v>女</v>
      </c>
    </row>
    <row r="902" spans="1:5" ht="30" customHeight="1">
      <c r="A902" s="6">
        <v>900</v>
      </c>
      <c r="B902" s="7" t="str">
        <f>"277320201218095519855"</f>
        <v>277320201218095519855</v>
      </c>
      <c r="C902" s="7" t="s">
        <v>19</v>
      </c>
      <c r="D902" s="7" t="str">
        <f>"符索闻"</f>
        <v>符索闻</v>
      </c>
      <c r="E902" s="7" t="str">
        <f>"男"</f>
        <v>男</v>
      </c>
    </row>
    <row r="903" spans="1:5" ht="30" customHeight="1">
      <c r="A903" s="6">
        <v>901</v>
      </c>
      <c r="B903" s="7" t="str">
        <f>"277320201218095750856"</f>
        <v>277320201218095750856</v>
      </c>
      <c r="C903" s="7" t="s">
        <v>19</v>
      </c>
      <c r="D903" s="7" t="str">
        <f>"符洪彪"</f>
        <v>符洪彪</v>
      </c>
      <c r="E903" s="7" t="str">
        <f>"男"</f>
        <v>男</v>
      </c>
    </row>
    <row r="904" spans="1:5" ht="30" customHeight="1">
      <c r="A904" s="6">
        <v>902</v>
      </c>
      <c r="B904" s="7" t="str">
        <f>"277320201218095815857"</f>
        <v>277320201218095815857</v>
      </c>
      <c r="C904" s="7" t="s">
        <v>19</v>
      </c>
      <c r="D904" s="7" t="str">
        <f>"符慧婷"</f>
        <v>符慧婷</v>
      </c>
      <c r="E904" s="7" t="str">
        <f>"女"</f>
        <v>女</v>
      </c>
    </row>
    <row r="905" spans="1:5" ht="30" customHeight="1">
      <c r="A905" s="6">
        <v>903</v>
      </c>
      <c r="B905" s="7" t="str">
        <f>"277320201218100757862"</f>
        <v>277320201218100757862</v>
      </c>
      <c r="C905" s="7" t="s">
        <v>19</v>
      </c>
      <c r="D905" s="7" t="str">
        <f>"李肖"</f>
        <v>李肖</v>
      </c>
      <c r="E905" s="7" t="str">
        <f>"女"</f>
        <v>女</v>
      </c>
    </row>
    <row r="906" spans="1:5" ht="30" customHeight="1">
      <c r="A906" s="6">
        <v>904</v>
      </c>
      <c r="B906" s="7" t="str">
        <f>"277320201218101257864"</f>
        <v>277320201218101257864</v>
      </c>
      <c r="C906" s="7" t="s">
        <v>19</v>
      </c>
      <c r="D906" s="7" t="str">
        <f>"符春雨"</f>
        <v>符春雨</v>
      </c>
      <c r="E906" s="7" t="str">
        <f>"女"</f>
        <v>女</v>
      </c>
    </row>
    <row r="907" spans="1:5" ht="30" customHeight="1">
      <c r="A907" s="6">
        <v>905</v>
      </c>
      <c r="B907" s="7" t="str">
        <f>"277320201218101530867"</f>
        <v>277320201218101530867</v>
      </c>
      <c r="C907" s="7" t="s">
        <v>19</v>
      </c>
      <c r="D907" s="7" t="str">
        <f>"陈小梅"</f>
        <v>陈小梅</v>
      </c>
      <c r="E907" s="7" t="str">
        <f>"女"</f>
        <v>女</v>
      </c>
    </row>
    <row r="908" spans="1:5" ht="30" customHeight="1">
      <c r="A908" s="6">
        <v>906</v>
      </c>
      <c r="B908" s="7" t="str">
        <f>"277320201218101928868"</f>
        <v>277320201218101928868</v>
      </c>
      <c r="C908" s="7" t="s">
        <v>19</v>
      </c>
      <c r="D908" s="7" t="str">
        <f>"叶运飞"</f>
        <v>叶运飞</v>
      </c>
      <c r="E908" s="7" t="str">
        <f>"男"</f>
        <v>男</v>
      </c>
    </row>
    <row r="909" spans="1:5" ht="30" customHeight="1">
      <c r="A909" s="6">
        <v>907</v>
      </c>
      <c r="B909" s="7" t="str">
        <f>"277320201218102258869"</f>
        <v>277320201218102258869</v>
      </c>
      <c r="C909" s="7" t="s">
        <v>19</v>
      </c>
      <c r="D909" s="7" t="str">
        <f>"王英怀"</f>
        <v>王英怀</v>
      </c>
      <c r="E909" s="7" t="str">
        <f>"女"</f>
        <v>女</v>
      </c>
    </row>
    <row r="910" spans="1:5" ht="30" customHeight="1">
      <c r="A910" s="6">
        <v>908</v>
      </c>
      <c r="B910" s="7" t="str">
        <f>"277320201218102551870"</f>
        <v>277320201218102551870</v>
      </c>
      <c r="C910" s="7" t="s">
        <v>19</v>
      </c>
      <c r="D910" s="7" t="str">
        <f>"刘启帆"</f>
        <v>刘启帆</v>
      </c>
      <c r="E910" s="7" t="str">
        <f>"男"</f>
        <v>男</v>
      </c>
    </row>
    <row r="911" spans="1:5" ht="30" customHeight="1">
      <c r="A911" s="6">
        <v>909</v>
      </c>
      <c r="B911" s="7" t="str">
        <f>"277320201218102925872"</f>
        <v>277320201218102925872</v>
      </c>
      <c r="C911" s="7" t="s">
        <v>19</v>
      </c>
      <c r="D911" s="7" t="str">
        <f>"符夏梅"</f>
        <v>符夏梅</v>
      </c>
      <c r="E911" s="7" t="str">
        <f>"女"</f>
        <v>女</v>
      </c>
    </row>
    <row r="912" spans="1:5" ht="30" customHeight="1">
      <c r="A912" s="6">
        <v>910</v>
      </c>
      <c r="B912" s="7" t="str">
        <f>"277320201218103001873"</f>
        <v>277320201218103001873</v>
      </c>
      <c r="C912" s="7" t="s">
        <v>19</v>
      </c>
      <c r="D912" s="7" t="str">
        <f>"郑庭月"</f>
        <v>郑庭月</v>
      </c>
      <c r="E912" s="7" t="str">
        <f>"女"</f>
        <v>女</v>
      </c>
    </row>
    <row r="913" spans="1:5" ht="30" customHeight="1">
      <c r="A913" s="6">
        <v>911</v>
      </c>
      <c r="B913" s="7" t="str">
        <f>"277320201218103037874"</f>
        <v>277320201218103037874</v>
      </c>
      <c r="C913" s="7" t="s">
        <v>19</v>
      </c>
      <c r="D913" s="7" t="str">
        <f>"符慧萍"</f>
        <v>符慧萍</v>
      </c>
      <c r="E913" s="7" t="str">
        <f>"女"</f>
        <v>女</v>
      </c>
    </row>
    <row r="914" spans="1:5" ht="30" customHeight="1">
      <c r="A914" s="6">
        <v>912</v>
      </c>
      <c r="B914" s="7" t="str">
        <f>"277320201218104558879"</f>
        <v>277320201218104558879</v>
      </c>
      <c r="C914" s="7" t="s">
        <v>19</v>
      </c>
      <c r="D914" s="7" t="str">
        <f>"符小菲"</f>
        <v>符小菲</v>
      </c>
      <c r="E914" s="7" t="str">
        <f>"女"</f>
        <v>女</v>
      </c>
    </row>
    <row r="915" spans="1:5" ht="30" customHeight="1">
      <c r="A915" s="6">
        <v>913</v>
      </c>
      <c r="B915" s="7" t="str">
        <f>"277320201218104651880"</f>
        <v>277320201218104651880</v>
      </c>
      <c r="C915" s="7" t="s">
        <v>19</v>
      </c>
      <c r="D915" s="7" t="str">
        <f>"李孟津"</f>
        <v>李孟津</v>
      </c>
      <c r="E915" s="7" t="str">
        <f>"男"</f>
        <v>男</v>
      </c>
    </row>
    <row r="916" spans="1:5" ht="30" customHeight="1">
      <c r="A916" s="6">
        <v>914</v>
      </c>
      <c r="B916" s="7" t="str">
        <f>"277320201218104900883"</f>
        <v>277320201218104900883</v>
      </c>
      <c r="C916" s="7" t="s">
        <v>19</v>
      </c>
      <c r="D916" s="7" t="str">
        <f>"王丽茜"</f>
        <v>王丽茜</v>
      </c>
      <c r="E916" s="7" t="str">
        <f>"女"</f>
        <v>女</v>
      </c>
    </row>
    <row r="917" spans="1:5" ht="30" customHeight="1">
      <c r="A917" s="6">
        <v>915</v>
      </c>
      <c r="B917" s="7" t="str">
        <f>"277320201218105144885"</f>
        <v>277320201218105144885</v>
      </c>
      <c r="C917" s="7" t="s">
        <v>19</v>
      </c>
      <c r="D917" s="7" t="str">
        <f>"符伊伊"</f>
        <v>符伊伊</v>
      </c>
      <c r="E917" s="7" t="str">
        <f>"女"</f>
        <v>女</v>
      </c>
    </row>
    <row r="918" spans="1:5" ht="30" customHeight="1">
      <c r="A918" s="6">
        <v>916</v>
      </c>
      <c r="B918" s="7" t="str">
        <f>"277320201218105254886"</f>
        <v>277320201218105254886</v>
      </c>
      <c r="C918" s="7" t="s">
        <v>19</v>
      </c>
      <c r="D918" s="7" t="str">
        <f>"黄淑娟"</f>
        <v>黄淑娟</v>
      </c>
      <c r="E918" s="7" t="str">
        <f>"女"</f>
        <v>女</v>
      </c>
    </row>
    <row r="919" spans="1:5" ht="30" customHeight="1">
      <c r="A919" s="6">
        <v>917</v>
      </c>
      <c r="B919" s="7" t="str">
        <f>"277320201218105311887"</f>
        <v>277320201218105311887</v>
      </c>
      <c r="C919" s="7" t="s">
        <v>19</v>
      </c>
      <c r="D919" s="7" t="str">
        <f>"王慧娥"</f>
        <v>王慧娥</v>
      </c>
      <c r="E919" s="7" t="str">
        <f>"女"</f>
        <v>女</v>
      </c>
    </row>
    <row r="920" spans="1:5" ht="30" customHeight="1">
      <c r="A920" s="6">
        <v>918</v>
      </c>
      <c r="B920" s="7" t="str">
        <f>"277320201218110404893"</f>
        <v>277320201218110404893</v>
      </c>
      <c r="C920" s="7" t="s">
        <v>19</v>
      </c>
      <c r="D920" s="7" t="str">
        <f>"符俊清"</f>
        <v>符俊清</v>
      </c>
      <c r="E920" s="7" t="str">
        <f>"男"</f>
        <v>男</v>
      </c>
    </row>
    <row r="921" spans="1:5" ht="30" customHeight="1">
      <c r="A921" s="6">
        <v>919</v>
      </c>
      <c r="B921" s="7" t="str">
        <f>"277320201218110801898"</f>
        <v>277320201218110801898</v>
      </c>
      <c r="C921" s="7" t="s">
        <v>19</v>
      </c>
      <c r="D921" s="7" t="str">
        <f>"王皓"</f>
        <v>王皓</v>
      </c>
      <c r="E921" s="7" t="str">
        <f>"男"</f>
        <v>男</v>
      </c>
    </row>
    <row r="922" spans="1:5" ht="30" customHeight="1">
      <c r="A922" s="6">
        <v>920</v>
      </c>
      <c r="B922" s="7" t="str">
        <f>"277320201218111619901"</f>
        <v>277320201218111619901</v>
      </c>
      <c r="C922" s="7" t="s">
        <v>19</v>
      </c>
      <c r="D922" s="7" t="str">
        <f>"符哲婷"</f>
        <v>符哲婷</v>
      </c>
      <c r="E922" s="7" t="str">
        <f>"女"</f>
        <v>女</v>
      </c>
    </row>
    <row r="923" spans="1:5" ht="30" customHeight="1">
      <c r="A923" s="6">
        <v>921</v>
      </c>
      <c r="B923" s="7" t="str">
        <f>"277320201218112029904"</f>
        <v>277320201218112029904</v>
      </c>
      <c r="C923" s="7" t="s">
        <v>19</v>
      </c>
      <c r="D923" s="7" t="str">
        <f>"符美晶"</f>
        <v>符美晶</v>
      </c>
      <c r="E923" s="7" t="str">
        <f>"女"</f>
        <v>女</v>
      </c>
    </row>
    <row r="924" spans="1:5" ht="30" customHeight="1">
      <c r="A924" s="6">
        <v>922</v>
      </c>
      <c r="B924" s="7" t="str">
        <f>"277320201218113232906"</f>
        <v>277320201218113232906</v>
      </c>
      <c r="C924" s="7" t="s">
        <v>19</v>
      </c>
      <c r="D924" s="7" t="str">
        <f>"符明慧"</f>
        <v>符明慧</v>
      </c>
      <c r="E924" s="7" t="str">
        <f>"女"</f>
        <v>女</v>
      </c>
    </row>
    <row r="925" spans="1:5" ht="30" customHeight="1">
      <c r="A925" s="6">
        <v>923</v>
      </c>
      <c r="B925" s="7" t="str">
        <f>"277320201218114415909"</f>
        <v>277320201218114415909</v>
      </c>
      <c r="C925" s="7" t="s">
        <v>19</v>
      </c>
      <c r="D925" s="7" t="str">
        <f>"李明政"</f>
        <v>李明政</v>
      </c>
      <c r="E925" s="7" t="str">
        <f>"男"</f>
        <v>男</v>
      </c>
    </row>
    <row r="926" spans="1:5" ht="30" customHeight="1">
      <c r="A926" s="6">
        <v>924</v>
      </c>
      <c r="B926" s="7" t="str">
        <f>"277320201218115317913"</f>
        <v>277320201218115317913</v>
      </c>
      <c r="C926" s="7" t="s">
        <v>19</v>
      </c>
      <c r="D926" s="7" t="str">
        <f>"曾莹莹"</f>
        <v>曾莹莹</v>
      </c>
      <c r="E926" s="7" t="str">
        <f aca="true" t="shared" si="31" ref="E926:E931">"女"</f>
        <v>女</v>
      </c>
    </row>
    <row r="927" spans="1:5" ht="30" customHeight="1">
      <c r="A927" s="6">
        <v>925</v>
      </c>
      <c r="B927" s="7" t="str">
        <f>"277320201218115620914"</f>
        <v>277320201218115620914</v>
      </c>
      <c r="C927" s="7" t="s">
        <v>19</v>
      </c>
      <c r="D927" s="7" t="str">
        <f>"符丽珠"</f>
        <v>符丽珠</v>
      </c>
      <c r="E927" s="7" t="str">
        <f t="shared" si="31"/>
        <v>女</v>
      </c>
    </row>
    <row r="928" spans="1:5" ht="30" customHeight="1">
      <c r="A928" s="6">
        <v>926</v>
      </c>
      <c r="B928" s="7" t="str">
        <f>"277320201218115905915"</f>
        <v>277320201218115905915</v>
      </c>
      <c r="C928" s="7" t="s">
        <v>19</v>
      </c>
      <c r="D928" s="7" t="str">
        <f>"谭丽川"</f>
        <v>谭丽川</v>
      </c>
      <c r="E928" s="7" t="str">
        <f t="shared" si="31"/>
        <v>女</v>
      </c>
    </row>
    <row r="929" spans="1:5" ht="30" customHeight="1">
      <c r="A929" s="6">
        <v>927</v>
      </c>
      <c r="B929" s="7" t="str">
        <f>"277320201218120022916"</f>
        <v>277320201218120022916</v>
      </c>
      <c r="C929" s="7" t="s">
        <v>19</v>
      </c>
      <c r="D929" s="7" t="str">
        <f>"符宇欣"</f>
        <v>符宇欣</v>
      </c>
      <c r="E929" s="7" t="str">
        <f t="shared" si="31"/>
        <v>女</v>
      </c>
    </row>
    <row r="930" spans="1:5" ht="30" customHeight="1">
      <c r="A930" s="6">
        <v>928</v>
      </c>
      <c r="B930" s="7" t="str">
        <f>"277320201218120903917"</f>
        <v>277320201218120903917</v>
      </c>
      <c r="C930" s="7" t="s">
        <v>19</v>
      </c>
      <c r="D930" s="7" t="str">
        <f>"黄沛玲"</f>
        <v>黄沛玲</v>
      </c>
      <c r="E930" s="7" t="str">
        <f t="shared" si="31"/>
        <v>女</v>
      </c>
    </row>
    <row r="931" spans="1:5" ht="30" customHeight="1">
      <c r="A931" s="6">
        <v>929</v>
      </c>
      <c r="B931" s="7" t="str">
        <f>"277320201218121041918"</f>
        <v>277320201218121041918</v>
      </c>
      <c r="C931" s="7" t="s">
        <v>19</v>
      </c>
      <c r="D931" s="7" t="str">
        <f>"韦美娇"</f>
        <v>韦美娇</v>
      </c>
      <c r="E931" s="7" t="str">
        <f t="shared" si="31"/>
        <v>女</v>
      </c>
    </row>
    <row r="932" spans="1:5" ht="30" customHeight="1">
      <c r="A932" s="6">
        <v>930</v>
      </c>
      <c r="B932" s="7" t="str">
        <f>"277320201218122454925"</f>
        <v>277320201218122454925</v>
      </c>
      <c r="C932" s="7" t="s">
        <v>19</v>
      </c>
      <c r="D932" s="7" t="str">
        <f>"符海龙"</f>
        <v>符海龙</v>
      </c>
      <c r="E932" s="7" t="str">
        <f>"男"</f>
        <v>男</v>
      </c>
    </row>
    <row r="933" spans="1:5" ht="30" customHeight="1">
      <c r="A933" s="6">
        <v>931</v>
      </c>
      <c r="B933" s="7" t="str">
        <f>"277320201218123252926"</f>
        <v>277320201218123252926</v>
      </c>
      <c r="C933" s="7" t="s">
        <v>19</v>
      </c>
      <c r="D933" s="7" t="str">
        <f>"王子婷"</f>
        <v>王子婷</v>
      </c>
      <c r="E933" s="7" t="str">
        <f>"女"</f>
        <v>女</v>
      </c>
    </row>
    <row r="934" spans="1:5" ht="30" customHeight="1">
      <c r="A934" s="6">
        <v>932</v>
      </c>
      <c r="B934" s="7" t="str">
        <f>"277320201218123556927"</f>
        <v>277320201218123556927</v>
      </c>
      <c r="C934" s="7" t="s">
        <v>19</v>
      </c>
      <c r="D934" s="7" t="str">
        <f>"王晓丹"</f>
        <v>王晓丹</v>
      </c>
      <c r="E934" s="7" t="str">
        <f>"女"</f>
        <v>女</v>
      </c>
    </row>
    <row r="935" spans="1:5" ht="30" customHeight="1">
      <c r="A935" s="6">
        <v>933</v>
      </c>
      <c r="B935" s="7" t="str">
        <f>"277320201218125854932"</f>
        <v>277320201218125854932</v>
      </c>
      <c r="C935" s="7" t="s">
        <v>19</v>
      </c>
      <c r="D935" s="7" t="str">
        <f>"符珑璐"</f>
        <v>符珑璐</v>
      </c>
      <c r="E935" s="7" t="str">
        <f>"女"</f>
        <v>女</v>
      </c>
    </row>
    <row r="936" spans="1:5" ht="30" customHeight="1">
      <c r="A936" s="6">
        <v>934</v>
      </c>
      <c r="B936" s="7" t="str">
        <f>"277320201218130202933"</f>
        <v>277320201218130202933</v>
      </c>
      <c r="C936" s="7" t="s">
        <v>19</v>
      </c>
      <c r="D936" s="7" t="str">
        <f>"符朝贤"</f>
        <v>符朝贤</v>
      </c>
      <c r="E936" s="7" t="str">
        <f>"女"</f>
        <v>女</v>
      </c>
    </row>
    <row r="937" spans="1:5" ht="30" customHeight="1">
      <c r="A937" s="6">
        <v>935</v>
      </c>
      <c r="B937" s="7" t="str">
        <f>"277320201218130706936"</f>
        <v>277320201218130706936</v>
      </c>
      <c r="C937" s="7" t="s">
        <v>19</v>
      </c>
      <c r="D937" s="7" t="str">
        <f>"符海勋"</f>
        <v>符海勋</v>
      </c>
      <c r="E937" s="7" t="str">
        <f>"男"</f>
        <v>男</v>
      </c>
    </row>
    <row r="938" spans="1:5" ht="30" customHeight="1">
      <c r="A938" s="6">
        <v>936</v>
      </c>
      <c r="B938" s="7" t="str">
        <f>"277320201218131559938"</f>
        <v>277320201218131559938</v>
      </c>
      <c r="C938" s="7" t="s">
        <v>19</v>
      </c>
      <c r="D938" s="7" t="str">
        <f>"王赟"</f>
        <v>王赟</v>
      </c>
      <c r="E938" s="7" t="str">
        <f>"男"</f>
        <v>男</v>
      </c>
    </row>
    <row r="939" spans="1:5" ht="30" customHeight="1">
      <c r="A939" s="6">
        <v>937</v>
      </c>
      <c r="B939" s="7" t="str">
        <f>"277320201218133154946"</f>
        <v>277320201218133154946</v>
      </c>
      <c r="C939" s="7" t="s">
        <v>19</v>
      </c>
      <c r="D939" s="7" t="str">
        <f>"王娇梅"</f>
        <v>王娇梅</v>
      </c>
      <c r="E939" s="7" t="str">
        <f>"女"</f>
        <v>女</v>
      </c>
    </row>
    <row r="940" spans="1:5" ht="30" customHeight="1">
      <c r="A940" s="6">
        <v>938</v>
      </c>
      <c r="B940" s="7" t="str">
        <f>"277320201218133807948"</f>
        <v>277320201218133807948</v>
      </c>
      <c r="C940" s="7" t="s">
        <v>19</v>
      </c>
      <c r="D940" s="7" t="str">
        <f>"符佳"</f>
        <v>符佳</v>
      </c>
      <c r="E940" s="7" t="str">
        <f>"女"</f>
        <v>女</v>
      </c>
    </row>
    <row r="941" spans="1:5" ht="30" customHeight="1">
      <c r="A941" s="6">
        <v>939</v>
      </c>
      <c r="B941" s="7" t="str">
        <f>"277320201218134214950"</f>
        <v>277320201218134214950</v>
      </c>
      <c r="C941" s="7" t="s">
        <v>19</v>
      </c>
      <c r="D941" s="7" t="str">
        <f>"符惠仁"</f>
        <v>符惠仁</v>
      </c>
      <c r="E941" s="7" t="str">
        <f>"男"</f>
        <v>男</v>
      </c>
    </row>
    <row r="942" spans="1:5" ht="30" customHeight="1">
      <c r="A942" s="6">
        <v>940</v>
      </c>
      <c r="B942" s="7" t="str">
        <f>"277320201218141743954"</f>
        <v>277320201218141743954</v>
      </c>
      <c r="C942" s="7" t="s">
        <v>19</v>
      </c>
      <c r="D942" s="7" t="str">
        <f>"符伟峻"</f>
        <v>符伟峻</v>
      </c>
      <c r="E942" s="7" t="str">
        <f>"男"</f>
        <v>男</v>
      </c>
    </row>
    <row r="943" spans="1:5" ht="30" customHeight="1">
      <c r="A943" s="6">
        <v>941</v>
      </c>
      <c r="B943" s="7" t="str">
        <f>"277320201218142859957"</f>
        <v>277320201218142859957</v>
      </c>
      <c r="C943" s="7" t="s">
        <v>19</v>
      </c>
      <c r="D943" s="7" t="str">
        <f>"符成飞"</f>
        <v>符成飞</v>
      </c>
      <c r="E943" s="7" t="str">
        <f>"男"</f>
        <v>男</v>
      </c>
    </row>
    <row r="944" spans="1:5" ht="30" customHeight="1">
      <c r="A944" s="6">
        <v>942</v>
      </c>
      <c r="B944" s="7" t="str">
        <f>"277320201218144010961"</f>
        <v>277320201218144010961</v>
      </c>
      <c r="C944" s="7" t="s">
        <v>19</v>
      </c>
      <c r="D944" s="7" t="str">
        <f>"王柳琪"</f>
        <v>王柳琪</v>
      </c>
      <c r="E944" s="7" t="str">
        <f>"女"</f>
        <v>女</v>
      </c>
    </row>
    <row r="945" spans="1:5" ht="30" customHeight="1">
      <c r="A945" s="6">
        <v>943</v>
      </c>
      <c r="B945" s="7" t="str">
        <f>"277320201218145252966"</f>
        <v>277320201218145252966</v>
      </c>
      <c r="C945" s="7" t="s">
        <v>19</v>
      </c>
      <c r="D945" s="7" t="str">
        <f>"张有敏"</f>
        <v>张有敏</v>
      </c>
      <c r="E945" s="7" t="str">
        <f>"男"</f>
        <v>男</v>
      </c>
    </row>
    <row r="946" spans="1:5" ht="30" customHeight="1">
      <c r="A946" s="6">
        <v>944</v>
      </c>
      <c r="B946" s="7" t="str">
        <f>"277320201218145757968"</f>
        <v>277320201218145757968</v>
      </c>
      <c r="C946" s="7" t="s">
        <v>19</v>
      </c>
      <c r="D946" s="7" t="str">
        <f>"王家菱"</f>
        <v>王家菱</v>
      </c>
      <c r="E946" s="7" t="str">
        <f>"女"</f>
        <v>女</v>
      </c>
    </row>
    <row r="947" spans="1:5" ht="30" customHeight="1">
      <c r="A947" s="6">
        <v>945</v>
      </c>
      <c r="B947" s="7" t="str">
        <f>"277320201218145942970"</f>
        <v>277320201218145942970</v>
      </c>
      <c r="C947" s="7" t="s">
        <v>19</v>
      </c>
      <c r="D947" s="7" t="str">
        <f>"符慧炳"</f>
        <v>符慧炳</v>
      </c>
      <c r="E947" s="7" t="str">
        <f>"男"</f>
        <v>男</v>
      </c>
    </row>
    <row r="948" spans="1:5" ht="30" customHeight="1">
      <c r="A948" s="6">
        <v>946</v>
      </c>
      <c r="B948" s="7" t="str">
        <f>"277320201218150217971"</f>
        <v>277320201218150217971</v>
      </c>
      <c r="C948" s="7" t="s">
        <v>19</v>
      </c>
      <c r="D948" s="7" t="str">
        <f>"王源源"</f>
        <v>王源源</v>
      </c>
      <c r="E948" s="7" t="str">
        <f>"男"</f>
        <v>男</v>
      </c>
    </row>
    <row r="949" spans="1:5" ht="30" customHeight="1">
      <c r="A949" s="6">
        <v>947</v>
      </c>
      <c r="B949" s="7" t="str">
        <f>"277320201218150634973"</f>
        <v>277320201218150634973</v>
      </c>
      <c r="C949" s="7" t="s">
        <v>19</v>
      </c>
      <c r="D949" s="7" t="str">
        <f>"李晨洁"</f>
        <v>李晨洁</v>
      </c>
      <c r="E949" s="7" t="str">
        <f>"女"</f>
        <v>女</v>
      </c>
    </row>
    <row r="950" spans="1:5" ht="30" customHeight="1">
      <c r="A950" s="6">
        <v>948</v>
      </c>
      <c r="B950" s="7" t="str">
        <f>"277320201218151300975"</f>
        <v>277320201218151300975</v>
      </c>
      <c r="C950" s="7" t="s">
        <v>19</v>
      </c>
      <c r="D950" s="7" t="str">
        <f>"高穆英"</f>
        <v>高穆英</v>
      </c>
      <c r="E950" s="7" t="str">
        <f>"女"</f>
        <v>女</v>
      </c>
    </row>
    <row r="951" spans="1:5" ht="30" customHeight="1">
      <c r="A951" s="6">
        <v>949</v>
      </c>
      <c r="B951" s="7" t="str">
        <f>"277320201218151408976"</f>
        <v>277320201218151408976</v>
      </c>
      <c r="C951" s="7" t="s">
        <v>19</v>
      </c>
      <c r="D951" s="7" t="str">
        <f>"符峻挺"</f>
        <v>符峻挺</v>
      </c>
      <c r="E951" s="7" t="str">
        <f>"男"</f>
        <v>男</v>
      </c>
    </row>
    <row r="952" spans="1:5" ht="30" customHeight="1">
      <c r="A952" s="6">
        <v>950</v>
      </c>
      <c r="B952" s="7" t="str">
        <f>"277320201218152540980"</f>
        <v>277320201218152540980</v>
      </c>
      <c r="C952" s="7" t="s">
        <v>19</v>
      </c>
      <c r="D952" s="7" t="str">
        <f>"符文欣"</f>
        <v>符文欣</v>
      </c>
      <c r="E952" s="7" t="str">
        <f>"男"</f>
        <v>男</v>
      </c>
    </row>
    <row r="953" spans="1:5" ht="30" customHeight="1">
      <c r="A953" s="6">
        <v>951</v>
      </c>
      <c r="B953" s="7" t="str">
        <f>"277320201218153404981"</f>
        <v>277320201218153404981</v>
      </c>
      <c r="C953" s="7" t="s">
        <v>19</v>
      </c>
      <c r="D953" s="7" t="str">
        <f>"何声良"</f>
        <v>何声良</v>
      </c>
      <c r="E953" s="7" t="str">
        <f>"男"</f>
        <v>男</v>
      </c>
    </row>
    <row r="954" spans="1:5" ht="30" customHeight="1">
      <c r="A954" s="6">
        <v>952</v>
      </c>
      <c r="B954" s="7" t="str">
        <f>"277320201218153449982"</f>
        <v>277320201218153449982</v>
      </c>
      <c r="C954" s="7" t="s">
        <v>19</v>
      </c>
      <c r="D954" s="7" t="str">
        <f>"符鸿冰"</f>
        <v>符鸿冰</v>
      </c>
      <c r="E954" s="7" t="str">
        <f>"女"</f>
        <v>女</v>
      </c>
    </row>
    <row r="955" spans="1:5" ht="30" customHeight="1">
      <c r="A955" s="6">
        <v>953</v>
      </c>
      <c r="B955" s="7" t="str">
        <f>"277320201218153754984"</f>
        <v>277320201218153754984</v>
      </c>
      <c r="C955" s="7" t="s">
        <v>19</v>
      </c>
      <c r="D955" s="7" t="str">
        <f>"尹加军"</f>
        <v>尹加军</v>
      </c>
      <c r="E955" s="7" t="str">
        <f>"男"</f>
        <v>男</v>
      </c>
    </row>
    <row r="956" spans="1:5" ht="30" customHeight="1">
      <c r="A956" s="6">
        <v>954</v>
      </c>
      <c r="B956" s="7" t="str">
        <f>"277320201218154015985"</f>
        <v>277320201218154015985</v>
      </c>
      <c r="C956" s="7" t="s">
        <v>19</v>
      </c>
      <c r="D956" s="7" t="str">
        <f>"羊茵茵"</f>
        <v>羊茵茵</v>
      </c>
      <c r="E956" s="7" t="str">
        <f>"女"</f>
        <v>女</v>
      </c>
    </row>
    <row r="957" spans="1:5" ht="30" customHeight="1">
      <c r="A957" s="6">
        <v>955</v>
      </c>
      <c r="B957" s="7" t="str">
        <f>"277320201218154144987"</f>
        <v>277320201218154144987</v>
      </c>
      <c r="C957" s="7" t="s">
        <v>19</v>
      </c>
      <c r="D957" s="7" t="str">
        <f>"陈欢"</f>
        <v>陈欢</v>
      </c>
      <c r="E957" s="7" t="str">
        <f>"女"</f>
        <v>女</v>
      </c>
    </row>
    <row r="958" spans="1:5" ht="30" customHeight="1">
      <c r="A958" s="6">
        <v>956</v>
      </c>
      <c r="B958" s="7" t="str">
        <f>"277320201218154331990"</f>
        <v>277320201218154331990</v>
      </c>
      <c r="C958" s="7" t="s">
        <v>19</v>
      </c>
      <c r="D958" s="7" t="str">
        <f>"符靖莹"</f>
        <v>符靖莹</v>
      </c>
      <c r="E958" s="7" t="str">
        <f>"女"</f>
        <v>女</v>
      </c>
    </row>
    <row r="959" spans="1:5" ht="30" customHeight="1">
      <c r="A959" s="6">
        <v>957</v>
      </c>
      <c r="B959" s="7" t="str">
        <f>"277320201218154445991"</f>
        <v>277320201218154445991</v>
      </c>
      <c r="C959" s="7" t="s">
        <v>19</v>
      </c>
      <c r="D959" s="7" t="str">
        <f>"符振东"</f>
        <v>符振东</v>
      </c>
      <c r="E959" s="7" t="str">
        <f>"男"</f>
        <v>男</v>
      </c>
    </row>
    <row r="960" spans="1:5" ht="30" customHeight="1">
      <c r="A960" s="6">
        <v>958</v>
      </c>
      <c r="B960" s="7" t="str">
        <f>"277320201218155424994"</f>
        <v>277320201218155424994</v>
      </c>
      <c r="C960" s="7" t="s">
        <v>19</v>
      </c>
      <c r="D960" s="7" t="str">
        <f>"高雅熙"</f>
        <v>高雅熙</v>
      </c>
      <c r="E960" s="7" t="str">
        <f>"女"</f>
        <v>女</v>
      </c>
    </row>
    <row r="961" spans="1:5" ht="30" customHeight="1">
      <c r="A961" s="6">
        <v>959</v>
      </c>
      <c r="B961" s="7" t="str">
        <f>"277320201218155603997"</f>
        <v>277320201218155603997</v>
      </c>
      <c r="C961" s="7" t="s">
        <v>19</v>
      </c>
      <c r="D961" s="7" t="str">
        <f>"孙晓玉"</f>
        <v>孙晓玉</v>
      </c>
      <c r="E961" s="7" t="str">
        <f>"女"</f>
        <v>女</v>
      </c>
    </row>
    <row r="962" spans="1:5" ht="30" customHeight="1">
      <c r="A962" s="6">
        <v>960</v>
      </c>
      <c r="B962" s="7" t="str">
        <f>"277320201218155710998"</f>
        <v>277320201218155710998</v>
      </c>
      <c r="C962" s="7" t="s">
        <v>19</v>
      </c>
      <c r="D962" s="7" t="str">
        <f>"符泽鸿"</f>
        <v>符泽鸿</v>
      </c>
      <c r="E962" s="7" t="str">
        <f>"男"</f>
        <v>男</v>
      </c>
    </row>
    <row r="963" spans="1:5" ht="30" customHeight="1">
      <c r="A963" s="6">
        <v>961</v>
      </c>
      <c r="B963" s="7" t="str">
        <f>"2773202012181600351001"</f>
        <v>2773202012181600351001</v>
      </c>
      <c r="C963" s="7" t="s">
        <v>19</v>
      </c>
      <c r="D963" s="7" t="str">
        <f>"符惠萍"</f>
        <v>符惠萍</v>
      </c>
      <c r="E963" s="7" t="str">
        <f>"女"</f>
        <v>女</v>
      </c>
    </row>
    <row r="964" spans="1:5" ht="30" customHeight="1">
      <c r="A964" s="6">
        <v>962</v>
      </c>
      <c r="B964" s="7" t="str">
        <f>"2773202012181609251002"</f>
        <v>2773202012181609251002</v>
      </c>
      <c r="C964" s="7" t="s">
        <v>19</v>
      </c>
      <c r="D964" s="7" t="str">
        <f>"符文君"</f>
        <v>符文君</v>
      </c>
      <c r="E964" s="7" t="str">
        <f>"男"</f>
        <v>男</v>
      </c>
    </row>
    <row r="965" spans="1:5" ht="30" customHeight="1">
      <c r="A965" s="6">
        <v>963</v>
      </c>
      <c r="B965" s="7" t="str">
        <f>"2773202012181613561005"</f>
        <v>2773202012181613561005</v>
      </c>
      <c r="C965" s="7" t="s">
        <v>19</v>
      </c>
      <c r="D965" s="7" t="str">
        <f>"陈振超"</f>
        <v>陈振超</v>
      </c>
      <c r="E965" s="7" t="str">
        <f>"男"</f>
        <v>男</v>
      </c>
    </row>
    <row r="966" spans="1:5" ht="30" customHeight="1">
      <c r="A966" s="6">
        <v>964</v>
      </c>
      <c r="B966" s="7" t="str">
        <f>"2773202012181618351009"</f>
        <v>2773202012181618351009</v>
      </c>
      <c r="C966" s="7" t="s">
        <v>19</v>
      </c>
      <c r="D966" s="7" t="str">
        <f>"李妹丽"</f>
        <v>李妹丽</v>
      </c>
      <c r="E966" s="7" t="str">
        <f>"女"</f>
        <v>女</v>
      </c>
    </row>
    <row r="967" spans="1:5" ht="30" customHeight="1">
      <c r="A967" s="6">
        <v>965</v>
      </c>
      <c r="B967" s="7" t="str">
        <f>"2773202012181633061014"</f>
        <v>2773202012181633061014</v>
      </c>
      <c r="C967" s="7" t="s">
        <v>19</v>
      </c>
      <c r="D967" s="7" t="str">
        <f>"王卉"</f>
        <v>王卉</v>
      </c>
      <c r="E967" s="7" t="str">
        <f>"女"</f>
        <v>女</v>
      </c>
    </row>
    <row r="968" spans="1:5" ht="30" customHeight="1">
      <c r="A968" s="6">
        <v>966</v>
      </c>
      <c r="B968" s="7" t="str">
        <f>"2773202012181639291016"</f>
        <v>2773202012181639291016</v>
      </c>
      <c r="C968" s="7" t="s">
        <v>19</v>
      </c>
      <c r="D968" s="7" t="str">
        <f>"符佳星"</f>
        <v>符佳星</v>
      </c>
      <c r="E968" s="7" t="str">
        <f>"男"</f>
        <v>男</v>
      </c>
    </row>
    <row r="969" spans="1:5" ht="30" customHeight="1">
      <c r="A969" s="6">
        <v>967</v>
      </c>
      <c r="B969" s="7" t="str">
        <f>"2773202012181640371019"</f>
        <v>2773202012181640371019</v>
      </c>
      <c r="C969" s="7" t="s">
        <v>19</v>
      </c>
      <c r="D969" s="7" t="str">
        <f>"王宏妍"</f>
        <v>王宏妍</v>
      </c>
      <c r="E969" s="7" t="str">
        <f>"女"</f>
        <v>女</v>
      </c>
    </row>
    <row r="970" spans="1:5" ht="30" customHeight="1">
      <c r="A970" s="6">
        <v>968</v>
      </c>
      <c r="B970" s="7" t="str">
        <f>"2773202012181645291022"</f>
        <v>2773202012181645291022</v>
      </c>
      <c r="C970" s="7" t="s">
        <v>19</v>
      </c>
      <c r="D970" s="7" t="str">
        <f>"符智慧"</f>
        <v>符智慧</v>
      </c>
      <c r="E970" s="7" t="str">
        <f>"女"</f>
        <v>女</v>
      </c>
    </row>
    <row r="971" spans="1:5" ht="30" customHeight="1">
      <c r="A971" s="6">
        <v>969</v>
      </c>
      <c r="B971" s="7" t="str">
        <f>"2773202012181650091024"</f>
        <v>2773202012181650091024</v>
      </c>
      <c r="C971" s="7" t="s">
        <v>19</v>
      </c>
      <c r="D971" s="7" t="str">
        <f>"谭丽神"</f>
        <v>谭丽神</v>
      </c>
      <c r="E971" s="7" t="str">
        <f>"女"</f>
        <v>女</v>
      </c>
    </row>
    <row r="972" spans="1:5" ht="30" customHeight="1">
      <c r="A972" s="6">
        <v>970</v>
      </c>
      <c r="B972" s="7" t="str">
        <f>"2773202012181653331025"</f>
        <v>2773202012181653331025</v>
      </c>
      <c r="C972" s="7" t="s">
        <v>19</v>
      </c>
      <c r="D972" s="7" t="str">
        <f>"符晓苏"</f>
        <v>符晓苏</v>
      </c>
      <c r="E972" s="7" t="str">
        <f>"女"</f>
        <v>女</v>
      </c>
    </row>
    <row r="973" spans="1:5" ht="30" customHeight="1">
      <c r="A973" s="6">
        <v>971</v>
      </c>
      <c r="B973" s="7" t="str">
        <f>"2773202012181656501028"</f>
        <v>2773202012181656501028</v>
      </c>
      <c r="C973" s="7" t="s">
        <v>19</v>
      </c>
      <c r="D973" s="7" t="str">
        <f>"符巨龙"</f>
        <v>符巨龙</v>
      </c>
      <c r="E973" s="7" t="str">
        <f>"男"</f>
        <v>男</v>
      </c>
    </row>
    <row r="974" spans="1:5" ht="30" customHeight="1">
      <c r="A974" s="6">
        <v>972</v>
      </c>
      <c r="B974" s="7" t="str">
        <f>"2773202012181657441029"</f>
        <v>2773202012181657441029</v>
      </c>
      <c r="C974" s="7" t="s">
        <v>19</v>
      </c>
      <c r="D974" s="7" t="str">
        <f>"叶剑奔"</f>
        <v>叶剑奔</v>
      </c>
      <c r="E974" s="7" t="str">
        <f>"男"</f>
        <v>男</v>
      </c>
    </row>
    <row r="975" spans="1:5" ht="30" customHeight="1">
      <c r="A975" s="6">
        <v>973</v>
      </c>
      <c r="B975" s="7" t="str">
        <f>"2773202012181712041036"</f>
        <v>2773202012181712041036</v>
      </c>
      <c r="C975" s="7" t="s">
        <v>19</v>
      </c>
      <c r="D975" s="7" t="str">
        <f>"黄淑婵"</f>
        <v>黄淑婵</v>
      </c>
      <c r="E975" s="7" t="str">
        <f>"女"</f>
        <v>女</v>
      </c>
    </row>
    <row r="976" spans="1:5" ht="30" customHeight="1">
      <c r="A976" s="6">
        <v>974</v>
      </c>
      <c r="B976" s="7" t="str">
        <f>"2773202012181713411037"</f>
        <v>2773202012181713411037</v>
      </c>
      <c r="C976" s="7" t="s">
        <v>19</v>
      </c>
      <c r="D976" s="7" t="str">
        <f>"吴芝玲"</f>
        <v>吴芝玲</v>
      </c>
      <c r="E976" s="7" t="str">
        <f>"女"</f>
        <v>女</v>
      </c>
    </row>
    <row r="977" spans="1:5" ht="30" customHeight="1">
      <c r="A977" s="6">
        <v>975</v>
      </c>
      <c r="B977" s="7" t="str">
        <f>"2773202012181720171041"</f>
        <v>2773202012181720171041</v>
      </c>
      <c r="C977" s="7" t="s">
        <v>19</v>
      </c>
      <c r="D977" s="7" t="str">
        <f>"符思茵"</f>
        <v>符思茵</v>
      </c>
      <c r="E977" s="7" t="str">
        <f>"女"</f>
        <v>女</v>
      </c>
    </row>
    <row r="978" spans="1:5" ht="30" customHeight="1">
      <c r="A978" s="6">
        <v>976</v>
      </c>
      <c r="B978" s="7" t="str">
        <f>"2773202012181736161046"</f>
        <v>2773202012181736161046</v>
      </c>
      <c r="C978" s="7" t="s">
        <v>19</v>
      </c>
      <c r="D978" s="7" t="str">
        <f>"许森煜"</f>
        <v>许森煜</v>
      </c>
      <c r="E978" s="7" t="str">
        <f>"男"</f>
        <v>男</v>
      </c>
    </row>
    <row r="979" spans="1:5" ht="30" customHeight="1">
      <c r="A979" s="6">
        <v>977</v>
      </c>
      <c r="B979" s="7" t="str">
        <f>"2773202012181739551049"</f>
        <v>2773202012181739551049</v>
      </c>
      <c r="C979" s="7" t="s">
        <v>19</v>
      </c>
      <c r="D979" s="7" t="str">
        <f>"周冠锡"</f>
        <v>周冠锡</v>
      </c>
      <c r="E979" s="7" t="str">
        <f>"男"</f>
        <v>男</v>
      </c>
    </row>
    <row r="980" spans="1:5" ht="30" customHeight="1">
      <c r="A980" s="6">
        <v>978</v>
      </c>
      <c r="B980" s="7" t="str">
        <f>"2773202012181751211050"</f>
        <v>2773202012181751211050</v>
      </c>
      <c r="C980" s="7" t="s">
        <v>19</v>
      </c>
      <c r="D980" s="7" t="str">
        <f>"谭龙至"</f>
        <v>谭龙至</v>
      </c>
      <c r="E980" s="7" t="str">
        <f>"男"</f>
        <v>男</v>
      </c>
    </row>
    <row r="981" spans="1:5" ht="30" customHeight="1">
      <c r="A981" s="6">
        <v>979</v>
      </c>
      <c r="B981" s="7" t="str">
        <f>"2773202012181833041059"</f>
        <v>2773202012181833041059</v>
      </c>
      <c r="C981" s="7" t="s">
        <v>19</v>
      </c>
      <c r="D981" s="7" t="str">
        <f>"陈培桦"</f>
        <v>陈培桦</v>
      </c>
      <c r="E981" s="7" t="str">
        <f>"女"</f>
        <v>女</v>
      </c>
    </row>
    <row r="982" spans="1:5" ht="30" customHeight="1">
      <c r="A982" s="6">
        <v>980</v>
      </c>
      <c r="B982" s="7" t="str">
        <f>"2773202012181836051060"</f>
        <v>2773202012181836051060</v>
      </c>
      <c r="C982" s="7" t="s">
        <v>19</v>
      </c>
      <c r="D982" s="7" t="str">
        <f>"王芳琪"</f>
        <v>王芳琪</v>
      </c>
      <c r="E982" s="7" t="str">
        <f>"女"</f>
        <v>女</v>
      </c>
    </row>
    <row r="983" spans="1:5" ht="30" customHeight="1">
      <c r="A983" s="6">
        <v>981</v>
      </c>
      <c r="B983" s="7" t="str">
        <f>"2773202012181856021065"</f>
        <v>2773202012181856021065</v>
      </c>
      <c r="C983" s="7" t="s">
        <v>19</v>
      </c>
      <c r="D983" s="7" t="str">
        <f>"符家帆"</f>
        <v>符家帆</v>
      </c>
      <c r="E983" s="7" t="str">
        <f>"男"</f>
        <v>男</v>
      </c>
    </row>
    <row r="984" spans="1:5" ht="30" customHeight="1">
      <c r="A984" s="6">
        <v>982</v>
      </c>
      <c r="B984" s="7" t="str">
        <f>"2773202012181929351073"</f>
        <v>2773202012181929351073</v>
      </c>
      <c r="C984" s="7" t="s">
        <v>19</v>
      </c>
      <c r="D984" s="7" t="str">
        <f>"符仕武"</f>
        <v>符仕武</v>
      </c>
      <c r="E984" s="7" t="str">
        <f>"男"</f>
        <v>男</v>
      </c>
    </row>
    <row r="985" spans="1:5" ht="30" customHeight="1">
      <c r="A985" s="6">
        <v>983</v>
      </c>
      <c r="B985" s="7" t="str">
        <f>"2773202012181933551075"</f>
        <v>2773202012181933551075</v>
      </c>
      <c r="C985" s="7" t="s">
        <v>19</v>
      </c>
      <c r="D985" s="7" t="str">
        <f>"林华君"</f>
        <v>林华君</v>
      </c>
      <c r="E985" s="7" t="str">
        <f>"男"</f>
        <v>男</v>
      </c>
    </row>
    <row r="986" spans="1:5" ht="30" customHeight="1">
      <c r="A986" s="6">
        <v>984</v>
      </c>
      <c r="B986" s="7" t="str">
        <f>"2773202012181939271077"</f>
        <v>2773202012181939271077</v>
      </c>
      <c r="C986" s="7" t="s">
        <v>19</v>
      </c>
      <c r="D986" s="7" t="str">
        <f>"李景素"</f>
        <v>李景素</v>
      </c>
      <c r="E986" s="7" t="str">
        <f>"女"</f>
        <v>女</v>
      </c>
    </row>
    <row r="987" spans="1:5" ht="30" customHeight="1">
      <c r="A987" s="6">
        <v>985</v>
      </c>
      <c r="B987" s="7" t="str">
        <f>"2773202012182008051081"</f>
        <v>2773202012182008051081</v>
      </c>
      <c r="C987" s="7" t="s">
        <v>19</v>
      </c>
      <c r="D987" s="7" t="str">
        <f>"王丽婷"</f>
        <v>王丽婷</v>
      </c>
      <c r="E987" s="7" t="str">
        <f>"女"</f>
        <v>女</v>
      </c>
    </row>
    <row r="988" spans="1:5" ht="30" customHeight="1">
      <c r="A988" s="6">
        <v>986</v>
      </c>
      <c r="B988" s="7" t="str">
        <f>"2773202012182015311085"</f>
        <v>2773202012182015311085</v>
      </c>
      <c r="C988" s="7" t="s">
        <v>19</v>
      </c>
      <c r="D988" s="7" t="str">
        <f>"肖晶珊"</f>
        <v>肖晶珊</v>
      </c>
      <c r="E988" s="7" t="str">
        <f>"女"</f>
        <v>女</v>
      </c>
    </row>
    <row r="989" spans="1:5" ht="30" customHeight="1">
      <c r="A989" s="6">
        <v>987</v>
      </c>
      <c r="B989" s="7" t="str">
        <f>"2773202012182030071089"</f>
        <v>2773202012182030071089</v>
      </c>
      <c r="C989" s="7" t="s">
        <v>19</v>
      </c>
      <c r="D989" s="7" t="str">
        <f>"符丽悦"</f>
        <v>符丽悦</v>
      </c>
      <c r="E989" s="7" t="str">
        <f>"女"</f>
        <v>女</v>
      </c>
    </row>
    <row r="990" spans="1:5" ht="30" customHeight="1">
      <c r="A990" s="6">
        <v>988</v>
      </c>
      <c r="B990" s="7" t="str">
        <f>"2773202012182045351094"</f>
        <v>2773202012182045351094</v>
      </c>
      <c r="C990" s="7" t="s">
        <v>19</v>
      </c>
      <c r="D990" s="7" t="str">
        <f>"王纯"</f>
        <v>王纯</v>
      </c>
      <c r="E990" s="7" t="str">
        <f>"女"</f>
        <v>女</v>
      </c>
    </row>
    <row r="991" spans="1:5" ht="30" customHeight="1">
      <c r="A991" s="6">
        <v>989</v>
      </c>
      <c r="B991" s="7" t="str">
        <f>"2773202012182056091096"</f>
        <v>2773202012182056091096</v>
      </c>
      <c r="C991" s="7" t="s">
        <v>19</v>
      </c>
      <c r="D991" s="7" t="str">
        <f>"王德志"</f>
        <v>王德志</v>
      </c>
      <c r="E991" s="7" t="str">
        <f>"男"</f>
        <v>男</v>
      </c>
    </row>
    <row r="992" spans="1:5" ht="30" customHeight="1">
      <c r="A992" s="6">
        <v>990</v>
      </c>
      <c r="B992" s="7" t="str">
        <f>"2773202012182105371098"</f>
        <v>2773202012182105371098</v>
      </c>
      <c r="C992" s="7" t="s">
        <v>19</v>
      </c>
      <c r="D992" s="7" t="str">
        <f>"谭芸萃"</f>
        <v>谭芸萃</v>
      </c>
      <c r="E992" s="7" t="str">
        <f>"女"</f>
        <v>女</v>
      </c>
    </row>
    <row r="993" spans="1:5" ht="30" customHeight="1">
      <c r="A993" s="6">
        <v>991</v>
      </c>
      <c r="B993" s="7" t="str">
        <f>"2773202012182106521099"</f>
        <v>2773202012182106521099</v>
      </c>
      <c r="C993" s="7" t="s">
        <v>19</v>
      </c>
      <c r="D993" s="7" t="str">
        <f>"王园园"</f>
        <v>王园园</v>
      </c>
      <c r="E993" s="7" t="str">
        <f>"女"</f>
        <v>女</v>
      </c>
    </row>
    <row r="994" spans="1:5" ht="30" customHeight="1">
      <c r="A994" s="6">
        <v>992</v>
      </c>
      <c r="B994" s="7" t="str">
        <f>"2773202012182113541101"</f>
        <v>2773202012182113541101</v>
      </c>
      <c r="C994" s="7" t="s">
        <v>19</v>
      </c>
      <c r="D994" s="7" t="str">
        <f>"陈南霞"</f>
        <v>陈南霞</v>
      </c>
      <c r="E994" s="7" t="str">
        <f>"女"</f>
        <v>女</v>
      </c>
    </row>
    <row r="995" spans="1:5" ht="30" customHeight="1">
      <c r="A995" s="6">
        <v>993</v>
      </c>
      <c r="B995" s="7" t="str">
        <f>"2773202012182120151105"</f>
        <v>2773202012182120151105</v>
      </c>
      <c r="C995" s="7" t="s">
        <v>19</v>
      </c>
      <c r="D995" s="7" t="str">
        <f>"卢安"</f>
        <v>卢安</v>
      </c>
      <c r="E995" s="7" t="str">
        <f>"男"</f>
        <v>男</v>
      </c>
    </row>
    <row r="996" spans="1:5" ht="30" customHeight="1">
      <c r="A996" s="6">
        <v>994</v>
      </c>
      <c r="B996" s="7" t="str">
        <f>"2773202012182132051107"</f>
        <v>2773202012182132051107</v>
      </c>
      <c r="C996" s="7" t="s">
        <v>19</v>
      </c>
      <c r="D996" s="7" t="str">
        <f>"李莹"</f>
        <v>李莹</v>
      </c>
      <c r="E996" s="7" t="str">
        <f>"女"</f>
        <v>女</v>
      </c>
    </row>
    <row r="997" spans="1:5" ht="30" customHeight="1">
      <c r="A997" s="6">
        <v>995</v>
      </c>
      <c r="B997" s="7" t="str">
        <f>"2773202012182141341111"</f>
        <v>2773202012182141341111</v>
      </c>
      <c r="C997" s="7" t="s">
        <v>19</v>
      </c>
      <c r="D997" s="7" t="str">
        <f>"孙开雪"</f>
        <v>孙开雪</v>
      </c>
      <c r="E997" s="7" t="str">
        <f>"女"</f>
        <v>女</v>
      </c>
    </row>
    <row r="998" spans="1:5" ht="30" customHeight="1">
      <c r="A998" s="6">
        <v>996</v>
      </c>
      <c r="B998" s="7" t="str">
        <f>"2773202012182142311113"</f>
        <v>2773202012182142311113</v>
      </c>
      <c r="C998" s="7" t="s">
        <v>19</v>
      </c>
      <c r="D998" s="7" t="str">
        <f>"符仕勇"</f>
        <v>符仕勇</v>
      </c>
      <c r="E998" s="7" t="str">
        <f>"男"</f>
        <v>男</v>
      </c>
    </row>
    <row r="999" spans="1:5" ht="30" customHeight="1">
      <c r="A999" s="6">
        <v>997</v>
      </c>
      <c r="B999" s="7" t="str">
        <f>"2773202012182213491116"</f>
        <v>2773202012182213491116</v>
      </c>
      <c r="C999" s="7" t="s">
        <v>19</v>
      </c>
      <c r="D999" s="7" t="str">
        <f>"吴阳丽"</f>
        <v>吴阳丽</v>
      </c>
      <c r="E999" s="7" t="str">
        <f>"女"</f>
        <v>女</v>
      </c>
    </row>
    <row r="1000" spans="1:5" ht="30" customHeight="1">
      <c r="A1000" s="6">
        <v>998</v>
      </c>
      <c r="B1000" s="7" t="str">
        <f>"2773202012182225091119"</f>
        <v>2773202012182225091119</v>
      </c>
      <c r="C1000" s="7" t="s">
        <v>19</v>
      </c>
      <c r="D1000" s="7" t="str">
        <f>"林碧婷"</f>
        <v>林碧婷</v>
      </c>
      <c r="E1000" s="7" t="str">
        <f>"女"</f>
        <v>女</v>
      </c>
    </row>
    <row r="1001" spans="1:5" ht="30" customHeight="1">
      <c r="A1001" s="6">
        <v>999</v>
      </c>
      <c r="B1001" s="7" t="str">
        <f>"2773202012182254141123"</f>
        <v>2773202012182254141123</v>
      </c>
      <c r="C1001" s="7" t="s">
        <v>19</v>
      </c>
      <c r="D1001" s="7" t="str">
        <f>"包志康"</f>
        <v>包志康</v>
      </c>
      <c r="E1001" s="7" t="str">
        <f>"男"</f>
        <v>男</v>
      </c>
    </row>
    <row r="1002" spans="1:5" ht="30" customHeight="1">
      <c r="A1002" s="6">
        <v>1000</v>
      </c>
      <c r="B1002" s="7" t="str">
        <f>"2773202012182314401126"</f>
        <v>2773202012182314401126</v>
      </c>
      <c r="C1002" s="7" t="s">
        <v>19</v>
      </c>
      <c r="D1002" s="7" t="str">
        <f>"符炳坤"</f>
        <v>符炳坤</v>
      </c>
      <c r="E1002" s="7" t="str">
        <f>"男"</f>
        <v>男</v>
      </c>
    </row>
    <row r="1003" spans="1:5" ht="30" customHeight="1">
      <c r="A1003" s="6">
        <v>1001</v>
      </c>
      <c r="B1003" s="7" t="str">
        <f>"2773202012182333531128"</f>
        <v>2773202012182333531128</v>
      </c>
      <c r="C1003" s="7" t="s">
        <v>19</v>
      </c>
      <c r="D1003" s="7" t="str">
        <f>"韩婧"</f>
        <v>韩婧</v>
      </c>
      <c r="E1003" s="7" t="str">
        <f>"女"</f>
        <v>女</v>
      </c>
    </row>
    <row r="1004" spans="1:5" ht="30" customHeight="1">
      <c r="A1004" s="6">
        <v>1002</v>
      </c>
      <c r="B1004" s="7" t="str">
        <f>"2773202012190018181135"</f>
        <v>2773202012190018181135</v>
      </c>
      <c r="C1004" s="7" t="s">
        <v>19</v>
      </c>
      <c r="D1004" s="7" t="str">
        <f>"陈萍"</f>
        <v>陈萍</v>
      </c>
      <c r="E1004" s="7" t="str">
        <f>"女"</f>
        <v>女</v>
      </c>
    </row>
    <row r="1005" spans="1:5" ht="30" customHeight="1">
      <c r="A1005" s="6">
        <v>1003</v>
      </c>
      <c r="B1005" s="7" t="str">
        <f>"2773202012190037361138"</f>
        <v>2773202012190037361138</v>
      </c>
      <c r="C1005" s="7" t="s">
        <v>19</v>
      </c>
      <c r="D1005" s="7" t="str">
        <f>"符丽莹"</f>
        <v>符丽莹</v>
      </c>
      <c r="E1005" s="7" t="str">
        <f>"女"</f>
        <v>女</v>
      </c>
    </row>
    <row r="1006" spans="1:5" ht="30" customHeight="1">
      <c r="A1006" s="6">
        <v>1004</v>
      </c>
      <c r="B1006" s="7" t="str">
        <f>"2773202012190932511146"</f>
        <v>2773202012190932511146</v>
      </c>
      <c r="C1006" s="7" t="s">
        <v>19</v>
      </c>
      <c r="D1006" s="7" t="str">
        <f>"符惠芬"</f>
        <v>符惠芬</v>
      </c>
      <c r="E1006" s="7" t="str">
        <f>"女"</f>
        <v>女</v>
      </c>
    </row>
    <row r="1007" spans="1:5" ht="30" customHeight="1">
      <c r="A1007" s="6">
        <v>1005</v>
      </c>
      <c r="B1007" s="7" t="str">
        <f>"2773202012190934051147"</f>
        <v>2773202012190934051147</v>
      </c>
      <c r="C1007" s="7" t="s">
        <v>19</v>
      </c>
      <c r="D1007" s="7" t="str">
        <f>"林金归"</f>
        <v>林金归</v>
      </c>
      <c r="E1007" s="7" t="str">
        <f>"男"</f>
        <v>男</v>
      </c>
    </row>
    <row r="1008" spans="1:5" ht="30" customHeight="1">
      <c r="A1008" s="6">
        <v>1006</v>
      </c>
      <c r="B1008" s="7" t="str">
        <f>"2773202012191018591151"</f>
        <v>2773202012191018591151</v>
      </c>
      <c r="C1008" s="7" t="s">
        <v>19</v>
      </c>
      <c r="D1008" s="7" t="str">
        <f>"符泽山"</f>
        <v>符泽山</v>
      </c>
      <c r="E1008" s="7" t="str">
        <f>"男"</f>
        <v>男</v>
      </c>
    </row>
    <row r="1009" spans="1:5" ht="30" customHeight="1">
      <c r="A1009" s="6">
        <v>1007</v>
      </c>
      <c r="B1009" s="7" t="str">
        <f>"2773202012191037261152"</f>
        <v>2773202012191037261152</v>
      </c>
      <c r="C1009" s="7" t="s">
        <v>19</v>
      </c>
      <c r="D1009" s="7" t="str">
        <f>"黄瑜"</f>
        <v>黄瑜</v>
      </c>
      <c r="E1009" s="7" t="str">
        <f>"男"</f>
        <v>男</v>
      </c>
    </row>
    <row r="1010" spans="1:5" ht="30" customHeight="1">
      <c r="A1010" s="6">
        <v>1008</v>
      </c>
      <c r="B1010" s="7" t="str">
        <f>"2773202012191047131155"</f>
        <v>2773202012191047131155</v>
      </c>
      <c r="C1010" s="7" t="s">
        <v>19</v>
      </c>
      <c r="D1010" s="7" t="str">
        <f>"林涛"</f>
        <v>林涛</v>
      </c>
      <c r="E1010" s="7" t="str">
        <f>"男"</f>
        <v>男</v>
      </c>
    </row>
    <row r="1011" spans="1:5" ht="30" customHeight="1">
      <c r="A1011" s="6">
        <v>1009</v>
      </c>
      <c r="B1011" s="7" t="str">
        <f>"2773202012191125471160"</f>
        <v>2773202012191125471160</v>
      </c>
      <c r="C1011" s="7" t="s">
        <v>19</v>
      </c>
      <c r="D1011" s="7" t="str">
        <f>"王丽"</f>
        <v>王丽</v>
      </c>
      <c r="E1011" s="7" t="str">
        <f>"女"</f>
        <v>女</v>
      </c>
    </row>
    <row r="1012" spans="1:5" ht="30" customHeight="1">
      <c r="A1012" s="6">
        <v>1010</v>
      </c>
      <c r="B1012" s="7" t="str">
        <f>"2773202012191136261162"</f>
        <v>2773202012191136261162</v>
      </c>
      <c r="C1012" s="7" t="s">
        <v>19</v>
      </c>
      <c r="D1012" s="7" t="str">
        <f>"林明秀"</f>
        <v>林明秀</v>
      </c>
      <c r="E1012" s="7" t="str">
        <f>"男"</f>
        <v>男</v>
      </c>
    </row>
    <row r="1013" spans="1:5" ht="30" customHeight="1">
      <c r="A1013" s="6">
        <v>1011</v>
      </c>
      <c r="B1013" s="7" t="str">
        <f>"2773202012191150571165"</f>
        <v>2773202012191150571165</v>
      </c>
      <c r="C1013" s="7" t="s">
        <v>19</v>
      </c>
      <c r="D1013" s="7" t="str">
        <f>"王秀江"</f>
        <v>王秀江</v>
      </c>
      <c r="E1013" s="7" t="str">
        <f>"男"</f>
        <v>男</v>
      </c>
    </row>
    <row r="1014" spans="1:5" ht="30" customHeight="1">
      <c r="A1014" s="6">
        <v>1012</v>
      </c>
      <c r="B1014" s="7" t="str">
        <f>"2773202012191153091166"</f>
        <v>2773202012191153091166</v>
      </c>
      <c r="C1014" s="7" t="s">
        <v>19</v>
      </c>
      <c r="D1014" s="7" t="str">
        <f>"符丽梅"</f>
        <v>符丽梅</v>
      </c>
      <c r="E1014" s="7" t="str">
        <f>"女"</f>
        <v>女</v>
      </c>
    </row>
    <row r="1015" spans="1:5" ht="30" customHeight="1">
      <c r="A1015" s="6">
        <v>1013</v>
      </c>
      <c r="B1015" s="7" t="str">
        <f>"2773202012191154071167"</f>
        <v>2773202012191154071167</v>
      </c>
      <c r="C1015" s="7" t="s">
        <v>19</v>
      </c>
      <c r="D1015" s="7" t="str">
        <f>"刘佩怡"</f>
        <v>刘佩怡</v>
      </c>
      <c r="E1015" s="7" t="str">
        <f>"女"</f>
        <v>女</v>
      </c>
    </row>
    <row r="1016" spans="1:5" ht="30" customHeight="1">
      <c r="A1016" s="6">
        <v>1014</v>
      </c>
      <c r="B1016" s="7" t="str">
        <f>"2773202012191158231168"</f>
        <v>2773202012191158231168</v>
      </c>
      <c r="C1016" s="7" t="s">
        <v>19</v>
      </c>
      <c r="D1016" s="7" t="str">
        <f>"王娇樱"</f>
        <v>王娇樱</v>
      </c>
      <c r="E1016" s="7" t="str">
        <f>"女"</f>
        <v>女</v>
      </c>
    </row>
    <row r="1017" spans="1:5" ht="30" customHeight="1">
      <c r="A1017" s="6">
        <v>1015</v>
      </c>
      <c r="B1017" s="7" t="str">
        <f>"2773202012191247401174"</f>
        <v>2773202012191247401174</v>
      </c>
      <c r="C1017" s="7" t="s">
        <v>19</v>
      </c>
      <c r="D1017" s="7" t="str">
        <f>"颜辉"</f>
        <v>颜辉</v>
      </c>
      <c r="E1017" s="7" t="str">
        <f>"男"</f>
        <v>男</v>
      </c>
    </row>
    <row r="1018" spans="1:5" ht="30" customHeight="1">
      <c r="A1018" s="6">
        <v>1016</v>
      </c>
      <c r="B1018" s="7" t="str">
        <f>"2773202012191259051176"</f>
        <v>2773202012191259051176</v>
      </c>
      <c r="C1018" s="7" t="s">
        <v>19</v>
      </c>
      <c r="D1018" s="7" t="str">
        <f>"曾喜华"</f>
        <v>曾喜华</v>
      </c>
      <c r="E1018" s="7" t="str">
        <f>"女"</f>
        <v>女</v>
      </c>
    </row>
    <row r="1019" spans="1:5" ht="30" customHeight="1">
      <c r="A1019" s="6">
        <v>1017</v>
      </c>
      <c r="B1019" s="7" t="str">
        <f>"2773202012191324241177"</f>
        <v>2773202012191324241177</v>
      </c>
      <c r="C1019" s="7" t="s">
        <v>19</v>
      </c>
      <c r="D1019" s="7" t="str">
        <f>"符小弟"</f>
        <v>符小弟</v>
      </c>
      <c r="E1019" s="7" t="str">
        <f>"男"</f>
        <v>男</v>
      </c>
    </row>
    <row r="1020" spans="1:5" ht="30" customHeight="1">
      <c r="A1020" s="6">
        <v>1018</v>
      </c>
      <c r="B1020" s="7" t="str">
        <f>"2773202012191347401178"</f>
        <v>2773202012191347401178</v>
      </c>
      <c r="C1020" s="7" t="s">
        <v>19</v>
      </c>
      <c r="D1020" s="7" t="str">
        <f>"符江红"</f>
        <v>符江红</v>
      </c>
      <c r="E1020" s="7" t="str">
        <f>"女"</f>
        <v>女</v>
      </c>
    </row>
    <row r="1021" spans="1:5" ht="30" customHeight="1">
      <c r="A1021" s="6">
        <v>1019</v>
      </c>
      <c r="B1021" s="7" t="str">
        <f>"2773202012191438521190"</f>
        <v>2773202012191438521190</v>
      </c>
      <c r="C1021" s="7" t="s">
        <v>19</v>
      </c>
      <c r="D1021" s="7" t="str">
        <f>"刘雯馨"</f>
        <v>刘雯馨</v>
      </c>
      <c r="E1021" s="7" t="str">
        <f>"女"</f>
        <v>女</v>
      </c>
    </row>
    <row r="1022" spans="1:5" ht="30" customHeight="1">
      <c r="A1022" s="6">
        <v>1020</v>
      </c>
      <c r="B1022" s="7" t="str">
        <f>"2773202012191512531191"</f>
        <v>2773202012191512531191</v>
      </c>
      <c r="C1022" s="7" t="s">
        <v>19</v>
      </c>
      <c r="D1022" s="7" t="str">
        <f>"林诗梦"</f>
        <v>林诗梦</v>
      </c>
      <c r="E1022" s="7" t="str">
        <f>"女"</f>
        <v>女</v>
      </c>
    </row>
    <row r="1023" spans="1:5" ht="30" customHeight="1">
      <c r="A1023" s="6">
        <v>1021</v>
      </c>
      <c r="B1023" s="7" t="str">
        <f>"2773202012191519491192"</f>
        <v>2773202012191519491192</v>
      </c>
      <c r="C1023" s="7" t="s">
        <v>19</v>
      </c>
      <c r="D1023" s="7" t="str">
        <f>"马俊成"</f>
        <v>马俊成</v>
      </c>
      <c r="E1023" s="7" t="str">
        <f>"男"</f>
        <v>男</v>
      </c>
    </row>
    <row r="1024" spans="1:5" ht="30" customHeight="1">
      <c r="A1024" s="6">
        <v>1022</v>
      </c>
      <c r="B1024" s="7" t="str">
        <f>"2773202012191553231198"</f>
        <v>2773202012191553231198</v>
      </c>
      <c r="C1024" s="7" t="s">
        <v>19</v>
      </c>
      <c r="D1024" s="7" t="str">
        <f>"符玲娥"</f>
        <v>符玲娥</v>
      </c>
      <c r="E1024" s="7" t="str">
        <f>"女"</f>
        <v>女</v>
      </c>
    </row>
    <row r="1025" spans="1:5" ht="30" customHeight="1">
      <c r="A1025" s="6">
        <v>1023</v>
      </c>
      <c r="B1025" s="7" t="str">
        <f>"2773202012191558581200"</f>
        <v>2773202012191558581200</v>
      </c>
      <c r="C1025" s="7" t="s">
        <v>19</v>
      </c>
      <c r="D1025" s="7" t="str">
        <f>"李文静"</f>
        <v>李文静</v>
      </c>
      <c r="E1025" s="7" t="str">
        <f>"女"</f>
        <v>女</v>
      </c>
    </row>
    <row r="1026" spans="1:5" ht="30" customHeight="1">
      <c r="A1026" s="6">
        <v>1024</v>
      </c>
      <c r="B1026" s="7" t="str">
        <f>"2773202012191623201205"</f>
        <v>2773202012191623201205</v>
      </c>
      <c r="C1026" s="7" t="s">
        <v>19</v>
      </c>
      <c r="D1026" s="7" t="str">
        <f>"王向城"</f>
        <v>王向城</v>
      </c>
      <c r="E1026" s="7" t="str">
        <f>"女"</f>
        <v>女</v>
      </c>
    </row>
    <row r="1027" spans="1:5" ht="30" customHeight="1">
      <c r="A1027" s="6">
        <v>1025</v>
      </c>
      <c r="B1027" s="7" t="str">
        <f>"2773202012191752431224"</f>
        <v>2773202012191752431224</v>
      </c>
      <c r="C1027" s="7" t="s">
        <v>19</v>
      </c>
      <c r="D1027" s="7" t="str">
        <f>"符李建"</f>
        <v>符李建</v>
      </c>
      <c r="E1027" s="7" t="str">
        <f>"男"</f>
        <v>男</v>
      </c>
    </row>
    <row r="1028" spans="1:5" ht="30" customHeight="1">
      <c r="A1028" s="6">
        <v>1026</v>
      </c>
      <c r="B1028" s="7" t="str">
        <f>"2773202012191837391226"</f>
        <v>2773202012191837391226</v>
      </c>
      <c r="C1028" s="7" t="s">
        <v>19</v>
      </c>
      <c r="D1028" s="7" t="str">
        <f>"吴井川"</f>
        <v>吴井川</v>
      </c>
      <c r="E1028" s="7" t="str">
        <f>"男"</f>
        <v>男</v>
      </c>
    </row>
    <row r="1029" spans="1:5" ht="30" customHeight="1">
      <c r="A1029" s="6">
        <v>1027</v>
      </c>
      <c r="B1029" s="7" t="str">
        <f>"2773202012191916241228"</f>
        <v>2773202012191916241228</v>
      </c>
      <c r="C1029" s="7" t="s">
        <v>19</v>
      </c>
      <c r="D1029" s="7" t="str">
        <f>"符少萍"</f>
        <v>符少萍</v>
      </c>
      <c r="E1029" s="7" t="str">
        <f>"女"</f>
        <v>女</v>
      </c>
    </row>
    <row r="1030" spans="1:5" ht="30" customHeight="1">
      <c r="A1030" s="6">
        <v>1028</v>
      </c>
      <c r="B1030" s="7" t="str">
        <f>"2773202012191951041237"</f>
        <v>2773202012191951041237</v>
      </c>
      <c r="C1030" s="7" t="s">
        <v>19</v>
      </c>
      <c r="D1030" s="7" t="str">
        <f>"符亚妹"</f>
        <v>符亚妹</v>
      </c>
      <c r="E1030" s="7" t="str">
        <f>"女"</f>
        <v>女</v>
      </c>
    </row>
    <row r="1031" spans="1:5" ht="30" customHeight="1">
      <c r="A1031" s="6">
        <v>1029</v>
      </c>
      <c r="B1031" s="7" t="str">
        <f>"2773202012192002381239"</f>
        <v>2773202012192002381239</v>
      </c>
      <c r="C1031" s="7" t="s">
        <v>19</v>
      </c>
      <c r="D1031" s="7" t="str">
        <f>"陈海西"</f>
        <v>陈海西</v>
      </c>
      <c r="E1031" s="7" t="str">
        <f>"男"</f>
        <v>男</v>
      </c>
    </row>
    <row r="1032" spans="1:5" ht="30" customHeight="1">
      <c r="A1032" s="6">
        <v>1030</v>
      </c>
      <c r="B1032" s="7" t="str">
        <f>"2773202012192032341247"</f>
        <v>2773202012192032341247</v>
      </c>
      <c r="C1032" s="7" t="s">
        <v>19</v>
      </c>
      <c r="D1032" s="7" t="str">
        <f>"周威"</f>
        <v>周威</v>
      </c>
      <c r="E1032" s="7" t="str">
        <f>"男"</f>
        <v>男</v>
      </c>
    </row>
    <row r="1033" spans="1:5" ht="30" customHeight="1">
      <c r="A1033" s="6">
        <v>1031</v>
      </c>
      <c r="B1033" s="7" t="str">
        <f>"2773202012192055291251"</f>
        <v>2773202012192055291251</v>
      </c>
      <c r="C1033" s="7" t="s">
        <v>19</v>
      </c>
      <c r="D1033" s="7" t="str">
        <f>"张玮"</f>
        <v>张玮</v>
      </c>
      <c r="E1033" s="7" t="str">
        <f>"男"</f>
        <v>男</v>
      </c>
    </row>
    <row r="1034" spans="1:5" ht="30" customHeight="1">
      <c r="A1034" s="6">
        <v>1032</v>
      </c>
      <c r="B1034" s="7" t="str">
        <f>"2773202012192119031254"</f>
        <v>2773202012192119031254</v>
      </c>
      <c r="C1034" s="7" t="s">
        <v>19</v>
      </c>
      <c r="D1034" s="7" t="str">
        <f>"符月琳"</f>
        <v>符月琳</v>
      </c>
      <c r="E1034" s="7" t="str">
        <f aca="true" t="shared" si="32" ref="E1034:E1045">"女"</f>
        <v>女</v>
      </c>
    </row>
    <row r="1035" spans="1:5" ht="30" customHeight="1">
      <c r="A1035" s="6">
        <v>1033</v>
      </c>
      <c r="B1035" s="7" t="str">
        <f>"2773202012192126101257"</f>
        <v>2773202012192126101257</v>
      </c>
      <c r="C1035" s="7" t="s">
        <v>19</v>
      </c>
      <c r="D1035" s="7" t="str">
        <f>"符梦幻"</f>
        <v>符梦幻</v>
      </c>
      <c r="E1035" s="7" t="str">
        <f t="shared" si="32"/>
        <v>女</v>
      </c>
    </row>
    <row r="1036" spans="1:5" ht="30" customHeight="1">
      <c r="A1036" s="6">
        <v>1034</v>
      </c>
      <c r="B1036" s="7" t="str">
        <f>"2773202012192220181270"</f>
        <v>2773202012192220181270</v>
      </c>
      <c r="C1036" s="7" t="s">
        <v>19</v>
      </c>
      <c r="D1036" s="7" t="str">
        <f>"羊炳梅"</f>
        <v>羊炳梅</v>
      </c>
      <c r="E1036" s="7" t="str">
        <f t="shared" si="32"/>
        <v>女</v>
      </c>
    </row>
    <row r="1037" spans="1:5" ht="30" customHeight="1">
      <c r="A1037" s="6">
        <v>1035</v>
      </c>
      <c r="B1037" s="7" t="str">
        <f>"2773202012192234201272"</f>
        <v>2773202012192234201272</v>
      </c>
      <c r="C1037" s="7" t="s">
        <v>19</v>
      </c>
      <c r="D1037" s="7" t="str">
        <f>"符雅"</f>
        <v>符雅</v>
      </c>
      <c r="E1037" s="7" t="str">
        <f t="shared" si="32"/>
        <v>女</v>
      </c>
    </row>
    <row r="1038" spans="1:5" ht="30" customHeight="1">
      <c r="A1038" s="6">
        <v>1036</v>
      </c>
      <c r="B1038" s="7" t="str">
        <f>"2773202012192307051280"</f>
        <v>2773202012192307051280</v>
      </c>
      <c r="C1038" s="7" t="s">
        <v>19</v>
      </c>
      <c r="D1038" s="7" t="str">
        <f>"占慧华"</f>
        <v>占慧华</v>
      </c>
      <c r="E1038" s="7" t="str">
        <f t="shared" si="32"/>
        <v>女</v>
      </c>
    </row>
    <row r="1039" spans="1:5" ht="30" customHeight="1">
      <c r="A1039" s="6">
        <v>1037</v>
      </c>
      <c r="B1039" s="7" t="str">
        <f>"2773202012192337181285"</f>
        <v>2773202012192337181285</v>
      </c>
      <c r="C1039" s="7" t="s">
        <v>19</v>
      </c>
      <c r="D1039" s="7" t="str">
        <f>"符小羽"</f>
        <v>符小羽</v>
      </c>
      <c r="E1039" s="7" t="str">
        <f t="shared" si="32"/>
        <v>女</v>
      </c>
    </row>
    <row r="1040" spans="1:5" ht="30" customHeight="1">
      <c r="A1040" s="6">
        <v>1038</v>
      </c>
      <c r="B1040" s="7" t="str">
        <f>"2773202012200010551287"</f>
        <v>2773202012200010551287</v>
      </c>
      <c r="C1040" s="7" t="s">
        <v>19</v>
      </c>
      <c r="D1040" s="7" t="str">
        <f>"陈艳"</f>
        <v>陈艳</v>
      </c>
      <c r="E1040" s="7" t="str">
        <f t="shared" si="32"/>
        <v>女</v>
      </c>
    </row>
    <row r="1041" spans="1:5" ht="30" customHeight="1">
      <c r="A1041" s="6">
        <v>1039</v>
      </c>
      <c r="B1041" s="7" t="str">
        <f>"2773202012200018101288"</f>
        <v>2773202012200018101288</v>
      </c>
      <c r="C1041" s="7" t="s">
        <v>19</v>
      </c>
      <c r="D1041" s="7" t="str">
        <f>"符君"</f>
        <v>符君</v>
      </c>
      <c r="E1041" s="7" t="str">
        <f t="shared" si="32"/>
        <v>女</v>
      </c>
    </row>
    <row r="1042" spans="1:5" ht="30" customHeight="1">
      <c r="A1042" s="6">
        <v>1040</v>
      </c>
      <c r="B1042" s="7" t="str">
        <f>"2773202012200043511290"</f>
        <v>2773202012200043511290</v>
      </c>
      <c r="C1042" s="7" t="s">
        <v>19</v>
      </c>
      <c r="D1042" s="7" t="str">
        <f>"苏丽溶"</f>
        <v>苏丽溶</v>
      </c>
      <c r="E1042" s="7" t="str">
        <f t="shared" si="32"/>
        <v>女</v>
      </c>
    </row>
    <row r="1043" spans="1:5" ht="30" customHeight="1">
      <c r="A1043" s="6">
        <v>1041</v>
      </c>
      <c r="B1043" s="7" t="str">
        <f>"2773202012200909321291"</f>
        <v>2773202012200909321291</v>
      </c>
      <c r="C1043" s="7" t="s">
        <v>19</v>
      </c>
      <c r="D1043" s="7" t="str">
        <f>"周小练"</f>
        <v>周小练</v>
      </c>
      <c r="E1043" s="7" t="str">
        <f t="shared" si="32"/>
        <v>女</v>
      </c>
    </row>
    <row r="1044" spans="1:5" ht="30" customHeight="1">
      <c r="A1044" s="6">
        <v>1042</v>
      </c>
      <c r="B1044" s="7" t="str">
        <f>"2773202012200918491292"</f>
        <v>2773202012200918491292</v>
      </c>
      <c r="C1044" s="7" t="s">
        <v>19</v>
      </c>
      <c r="D1044" s="7" t="str">
        <f>"秦小丽"</f>
        <v>秦小丽</v>
      </c>
      <c r="E1044" s="7" t="str">
        <f t="shared" si="32"/>
        <v>女</v>
      </c>
    </row>
    <row r="1045" spans="1:5" ht="30" customHeight="1">
      <c r="A1045" s="6">
        <v>1043</v>
      </c>
      <c r="B1045" s="7" t="str">
        <f>"2773202012200943531295"</f>
        <v>2773202012200943531295</v>
      </c>
      <c r="C1045" s="7" t="s">
        <v>19</v>
      </c>
      <c r="D1045" s="7" t="str">
        <f>"符敏"</f>
        <v>符敏</v>
      </c>
      <c r="E1045" s="7" t="str">
        <f t="shared" si="32"/>
        <v>女</v>
      </c>
    </row>
    <row r="1046" spans="1:5" ht="30" customHeight="1">
      <c r="A1046" s="6">
        <v>1044</v>
      </c>
      <c r="B1046" s="7" t="str">
        <f>"2773202012200946051296"</f>
        <v>2773202012200946051296</v>
      </c>
      <c r="C1046" s="7" t="s">
        <v>19</v>
      </c>
      <c r="D1046" s="7" t="str">
        <f>"温晓佳"</f>
        <v>温晓佳</v>
      </c>
      <c r="E1046" s="7" t="str">
        <f>"男"</f>
        <v>男</v>
      </c>
    </row>
    <row r="1047" spans="1:5" ht="30" customHeight="1">
      <c r="A1047" s="6">
        <v>1045</v>
      </c>
      <c r="B1047" s="7" t="str">
        <f>"2773202012200948251297"</f>
        <v>2773202012200948251297</v>
      </c>
      <c r="C1047" s="7" t="s">
        <v>19</v>
      </c>
      <c r="D1047" s="7" t="str">
        <f>"符永秀"</f>
        <v>符永秀</v>
      </c>
      <c r="E1047" s="7" t="str">
        <f>"女"</f>
        <v>女</v>
      </c>
    </row>
    <row r="1048" spans="1:5" ht="30" customHeight="1">
      <c r="A1048" s="6">
        <v>1046</v>
      </c>
      <c r="B1048" s="7" t="str">
        <f>"2773202012201011511300"</f>
        <v>2773202012201011511300</v>
      </c>
      <c r="C1048" s="7" t="s">
        <v>19</v>
      </c>
      <c r="D1048" s="7" t="str">
        <f>"符世殷"</f>
        <v>符世殷</v>
      </c>
      <c r="E1048" s="7" t="str">
        <f>"女"</f>
        <v>女</v>
      </c>
    </row>
    <row r="1049" spans="1:5" ht="30" customHeight="1">
      <c r="A1049" s="6">
        <v>1047</v>
      </c>
      <c r="B1049" s="7" t="str">
        <f>"2773202012201033431303"</f>
        <v>2773202012201033431303</v>
      </c>
      <c r="C1049" s="7" t="s">
        <v>19</v>
      </c>
      <c r="D1049" s="7" t="str">
        <f>"李俊"</f>
        <v>李俊</v>
      </c>
      <c r="E1049" s="7" t="str">
        <f>"男"</f>
        <v>男</v>
      </c>
    </row>
    <row r="1050" spans="1:5" ht="30" customHeight="1">
      <c r="A1050" s="6">
        <v>1048</v>
      </c>
      <c r="B1050" s="7" t="str">
        <f>"2773202012201054021305"</f>
        <v>2773202012201054021305</v>
      </c>
      <c r="C1050" s="7" t="s">
        <v>19</v>
      </c>
      <c r="D1050" s="7" t="str">
        <f>"陈述"</f>
        <v>陈述</v>
      </c>
      <c r="E1050" s="7" t="str">
        <f>"男"</f>
        <v>男</v>
      </c>
    </row>
    <row r="1051" spans="1:5" ht="30" customHeight="1">
      <c r="A1051" s="6">
        <v>1049</v>
      </c>
      <c r="B1051" s="7" t="str">
        <f>"2773202012201107071307"</f>
        <v>2773202012201107071307</v>
      </c>
      <c r="C1051" s="7" t="s">
        <v>19</v>
      </c>
      <c r="D1051" s="7" t="str">
        <f>"符佳董"</f>
        <v>符佳董</v>
      </c>
      <c r="E1051" s="7" t="str">
        <f>"男"</f>
        <v>男</v>
      </c>
    </row>
    <row r="1052" spans="1:5" ht="30" customHeight="1">
      <c r="A1052" s="6">
        <v>1050</v>
      </c>
      <c r="B1052" s="7" t="str">
        <f>"2773202012201127301310"</f>
        <v>2773202012201127301310</v>
      </c>
      <c r="C1052" s="7" t="s">
        <v>19</v>
      </c>
      <c r="D1052" s="7" t="str">
        <f>"黄岳帅"</f>
        <v>黄岳帅</v>
      </c>
      <c r="E1052" s="7" t="str">
        <f>"男"</f>
        <v>男</v>
      </c>
    </row>
    <row r="1053" spans="1:5" ht="30" customHeight="1">
      <c r="A1053" s="6">
        <v>1051</v>
      </c>
      <c r="B1053" s="7" t="str">
        <f>"2773202012201136571314"</f>
        <v>2773202012201136571314</v>
      </c>
      <c r="C1053" s="7" t="s">
        <v>19</v>
      </c>
      <c r="D1053" s="7" t="str">
        <f>"刘胜林"</f>
        <v>刘胜林</v>
      </c>
      <c r="E1053" s="7" t="str">
        <f>"男"</f>
        <v>男</v>
      </c>
    </row>
    <row r="1054" spans="1:5" ht="30" customHeight="1">
      <c r="A1054" s="6">
        <v>1052</v>
      </c>
      <c r="B1054" s="7" t="str">
        <f>"2773202012201138121315"</f>
        <v>2773202012201138121315</v>
      </c>
      <c r="C1054" s="7" t="s">
        <v>19</v>
      </c>
      <c r="D1054" s="7" t="str">
        <f>"刘燕仪"</f>
        <v>刘燕仪</v>
      </c>
      <c r="E1054" s="7" t="str">
        <f>"女"</f>
        <v>女</v>
      </c>
    </row>
    <row r="1055" spans="1:5" ht="30" customHeight="1">
      <c r="A1055" s="6">
        <v>1053</v>
      </c>
      <c r="B1055" s="7" t="str">
        <f>"2773202012201144231317"</f>
        <v>2773202012201144231317</v>
      </c>
      <c r="C1055" s="7" t="s">
        <v>19</v>
      </c>
      <c r="D1055" s="7" t="str">
        <f>"潘在煌"</f>
        <v>潘在煌</v>
      </c>
      <c r="E1055" s="7" t="str">
        <f>"男"</f>
        <v>男</v>
      </c>
    </row>
    <row r="1056" spans="1:5" ht="30" customHeight="1">
      <c r="A1056" s="6">
        <v>1054</v>
      </c>
      <c r="B1056" s="7" t="str">
        <f>"2773202012201202141321"</f>
        <v>2773202012201202141321</v>
      </c>
      <c r="C1056" s="7" t="s">
        <v>19</v>
      </c>
      <c r="D1056" s="7" t="str">
        <f>"张丽思"</f>
        <v>张丽思</v>
      </c>
      <c r="E1056" s="7" t="str">
        <f aca="true" t="shared" si="33" ref="E1056:E1062">"女"</f>
        <v>女</v>
      </c>
    </row>
    <row r="1057" spans="1:5" ht="30" customHeight="1">
      <c r="A1057" s="6">
        <v>1055</v>
      </c>
      <c r="B1057" s="7" t="str">
        <f>"2773202012201213251324"</f>
        <v>2773202012201213251324</v>
      </c>
      <c r="C1057" s="7" t="s">
        <v>19</v>
      </c>
      <c r="D1057" s="7" t="str">
        <f>"符梦兰"</f>
        <v>符梦兰</v>
      </c>
      <c r="E1057" s="7" t="str">
        <f t="shared" si="33"/>
        <v>女</v>
      </c>
    </row>
    <row r="1058" spans="1:5" ht="30" customHeight="1">
      <c r="A1058" s="6">
        <v>1056</v>
      </c>
      <c r="B1058" s="7" t="str">
        <f>"2773202012201222101326"</f>
        <v>2773202012201222101326</v>
      </c>
      <c r="C1058" s="7" t="s">
        <v>19</v>
      </c>
      <c r="D1058" s="7" t="str">
        <f>"王琪"</f>
        <v>王琪</v>
      </c>
      <c r="E1058" s="7" t="str">
        <f t="shared" si="33"/>
        <v>女</v>
      </c>
    </row>
    <row r="1059" spans="1:5" ht="30" customHeight="1">
      <c r="A1059" s="6">
        <v>1057</v>
      </c>
      <c r="B1059" s="7" t="str">
        <f>"2773202012201250141330"</f>
        <v>2773202012201250141330</v>
      </c>
      <c r="C1059" s="7" t="s">
        <v>19</v>
      </c>
      <c r="D1059" s="7" t="str">
        <f>"肖明燕"</f>
        <v>肖明燕</v>
      </c>
      <c r="E1059" s="7" t="str">
        <f t="shared" si="33"/>
        <v>女</v>
      </c>
    </row>
    <row r="1060" spans="1:5" ht="30" customHeight="1">
      <c r="A1060" s="6">
        <v>1058</v>
      </c>
      <c r="B1060" s="7" t="str">
        <f>"2773202012201306371332"</f>
        <v>2773202012201306371332</v>
      </c>
      <c r="C1060" s="7" t="s">
        <v>19</v>
      </c>
      <c r="D1060" s="7" t="str">
        <f>"韦遥遥"</f>
        <v>韦遥遥</v>
      </c>
      <c r="E1060" s="7" t="str">
        <f t="shared" si="33"/>
        <v>女</v>
      </c>
    </row>
    <row r="1061" spans="1:5" ht="30" customHeight="1">
      <c r="A1061" s="6">
        <v>1059</v>
      </c>
      <c r="B1061" s="7" t="str">
        <f>"2773202012201322101336"</f>
        <v>2773202012201322101336</v>
      </c>
      <c r="C1061" s="7" t="s">
        <v>19</v>
      </c>
      <c r="D1061" s="7" t="str">
        <f>"汪初蕾"</f>
        <v>汪初蕾</v>
      </c>
      <c r="E1061" s="7" t="str">
        <f t="shared" si="33"/>
        <v>女</v>
      </c>
    </row>
    <row r="1062" spans="1:5" ht="30" customHeight="1">
      <c r="A1062" s="6">
        <v>1060</v>
      </c>
      <c r="B1062" s="7" t="str">
        <f>"2773202012201334041340"</f>
        <v>2773202012201334041340</v>
      </c>
      <c r="C1062" s="7" t="s">
        <v>19</v>
      </c>
      <c r="D1062" s="7" t="str">
        <f>"符丽佩"</f>
        <v>符丽佩</v>
      </c>
      <c r="E1062" s="7" t="str">
        <f t="shared" si="33"/>
        <v>女</v>
      </c>
    </row>
    <row r="1063" spans="1:5" ht="30" customHeight="1">
      <c r="A1063" s="6">
        <v>1061</v>
      </c>
      <c r="B1063" s="7" t="str">
        <f>"2773202012201421041345"</f>
        <v>2773202012201421041345</v>
      </c>
      <c r="C1063" s="7" t="s">
        <v>19</v>
      </c>
      <c r="D1063" s="7" t="str">
        <f>"吴光琦"</f>
        <v>吴光琦</v>
      </c>
      <c r="E1063" s="7" t="str">
        <f>"男"</f>
        <v>男</v>
      </c>
    </row>
    <row r="1064" spans="1:5" ht="30" customHeight="1">
      <c r="A1064" s="6">
        <v>1062</v>
      </c>
      <c r="B1064" s="7" t="str">
        <f>"2773202012201435561348"</f>
        <v>2773202012201435561348</v>
      </c>
      <c r="C1064" s="7" t="s">
        <v>19</v>
      </c>
      <c r="D1064" s="7" t="str">
        <f>"符艺墨"</f>
        <v>符艺墨</v>
      </c>
      <c r="E1064" s="7" t="str">
        <f>"男"</f>
        <v>男</v>
      </c>
    </row>
    <row r="1065" spans="1:5" ht="30" customHeight="1">
      <c r="A1065" s="6">
        <v>1063</v>
      </c>
      <c r="B1065" s="7" t="str">
        <f>"2773202012201554061358"</f>
        <v>2773202012201554061358</v>
      </c>
      <c r="C1065" s="7" t="s">
        <v>19</v>
      </c>
      <c r="D1065" s="7" t="str">
        <f>"李良"</f>
        <v>李良</v>
      </c>
      <c r="E1065" s="7" t="str">
        <f>"男"</f>
        <v>男</v>
      </c>
    </row>
    <row r="1066" spans="1:5" ht="30" customHeight="1">
      <c r="A1066" s="6">
        <v>1064</v>
      </c>
      <c r="B1066" s="7" t="str">
        <f>"2773202012201558331359"</f>
        <v>2773202012201558331359</v>
      </c>
      <c r="C1066" s="7" t="s">
        <v>19</v>
      </c>
      <c r="D1066" s="7" t="str">
        <f>"李雪婷"</f>
        <v>李雪婷</v>
      </c>
      <c r="E1066" s="7" t="str">
        <f>"女"</f>
        <v>女</v>
      </c>
    </row>
    <row r="1067" spans="1:5" ht="30" customHeight="1">
      <c r="A1067" s="6">
        <v>1065</v>
      </c>
      <c r="B1067" s="7" t="str">
        <f>"2773202012201602041360"</f>
        <v>2773202012201602041360</v>
      </c>
      <c r="C1067" s="7" t="s">
        <v>19</v>
      </c>
      <c r="D1067" s="7" t="str">
        <f>"王章钧"</f>
        <v>王章钧</v>
      </c>
      <c r="E1067" s="7" t="str">
        <f>"男"</f>
        <v>男</v>
      </c>
    </row>
    <row r="1068" spans="1:5" ht="30" customHeight="1">
      <c r="A1068" s="6">
        <v>1066</v>
      </c>
      <c r="B1068" s="7" t="str">
        <f>"2773202012201653051369"</f>
        <v>2773202012201653051369</v>
      </c>
      <c r="C1068" s="7" t="s">
        <v>19</v>
      </c>
      <c r="D1068" s="7" t="str">
        <f>"符晓薇"</f>
        <v>符晓薇</v>
      </c>
      <c r="E1068" s="7" t="str">
        <f>"女"</f>
        <v>女</v>
      </c>
    </row>
    <row r="1069" spans="1:5" ht="30" customHeight="1">
      <c r="A1069" s="6">
        <v>1067</v>
      </c>
      <c r="B1069" s="7" t="str">
        <f>"2773202012201658321370"</f>
        <v>2773202012201658321370</v>
      </c>
      <c r="C1069" s="7" t="s">
        <v>19</v>
      </c>
      <c r="D1069" s="7" t="str">
        <f>"符怡思"</f>
        <v>符怡思</v>
      </c>
      <c r="E1069" s="7" t="str">
        <f>"女"</f>
        <v>女</v>
      </c>
    </row>
    <row r="1070" spans="1:5" ht="30" customHeight="1">
      <c r="A1070" s="6">
        <v>1068</v>
      </c>
      <c r="B1070" s="7" t="str">
        <f>"2773202012201659301371"</f>
        <v>2773202012201659301371</v>
      </c>
      <c r="C1070" s="7" t="s">
        <v>19</v>
      </c>
      <c r="D1070" s="7" t="str">
        <f>"李项禹"</f>
        <v>李项禹</v>
      </c>
      <c r="E1070" s="7" t="str">
        <f>"男"</f>
        <v>男</v>
      </c>
    </row>
    <row r="1071" spans="1:5" ht="30" customHeight="1">
      <c r="A1071" s="6">
        <v>1069</v>
      </c>
      <c r="B1071" s="7" t="str">
        <f>"2773202012201706191372"</f>
        <v>2773202012201706191372</v>
      </c>
      <c r="C1071" s="7" t="s">
        <v>19</v>
      </c>
      <c r="D1071" s="7" t="str">
        <f>"符扬锋"</f>
        <v>符扬锋</v>
      </c>
      <c r="E1071" s="7" t="str">
        <f>"男"</f>
        <v>男</v>
      </c>
    </row>
    <row r="1072" spans="1:5" ht="30" customHeight="1">
      <c r="A1072" s="6">
        <v>1070</v>
      </c>
      <c r="B1072" s="7" t="str">
        <f>"2773202012201717101373"</f>
        <v>2773202012201717101373</v>
      </c>
      <c r="C1072" s="7" t="s">
        <v>19</v>
      </c>
      <c r="D1072" s="7" t="str">
        <f>"符作庭"</f>
        <v>符作庭</v>
      </c>
      <c r="E1072" s="7" t="str">
        <f>"男"</f>
        <v>男</v>
      </c>
    </row>
    <row r="1073" spans="1:5" ht="30" customHeight="1">
      <c r="A1073" s="6">
        <v>1071</v>
      </c>
      <c r="B1073" s="7" t="str">
        <f>"2773202012201718351375"</f>
        <v>2773202012201718351375</v>
      </c>
      <c r="C1073" s="7" t="s">
        <v>19</v>
      </c>
      <c r="D1073" s="7" t="str">
        <f>"符海芬"</f>
        <v>符海芬</v>
      </c>
      <c r="E1073" s="7" t="str">
        <f>"女"</f>
        <v>女</v>
      </c>
    </row>
    <row r="1074" spans="1:5" ht="30" customHeight="1">
      <c r="A1074" s="6">
        <v>1072</v>
      </c>
      <c r="B1074" s="7" t="str">
        <f>"2773202012201809211380"</f>
        <v>2773202012201809211380</v>
      </c>
      <c r="C1074" s="7" t="s">
        <v>19</v>
      </c>
      <c r="D1074" s="7" t="str">
        <f>"王炯"</f>
        <v>王炯</v>
      </c>
      <c r="E1074" s="7" t="str">
        <f>"男"</f>
        <v>男</v>
      </c>
    </row>
    <row r="1075" spans="1:5" ht="30" customHeight="1">
      <c r="A1075" s="6">
        <v>1073</v>
      </c>
      <c r="B1075" s="7" t="str">
        <f>"2773202012201818561383"</f>
        <v>2773202012201818561383</v>
      </c>
      <c r="C1075" s="7" t="s">
        <v>19</v>
      </c>
      <c r="D1075" s="7" t="str">
        <f>"王茂"</f>
        <v>王茂</v>
      </c>
      <c r="E1075" s="7" t="str">
        <f>"男"</f>
        <v>男</v>
      </c>
    </row>
    <row r="1076" spans="1:5" ht="30" customHeight="1">
      <c r="A1076" s="6">
        <v>1074</v>
      </c>
      <c r="B1076" s="7" t="str">
        <f>"2773202012201932371390"</f>
        <v>2773202012201932371390</v>
      </c>
      <c r="C1076" s="7" t="s">
        <v>19</v>
      </c>
      <c r="D1076" s="7" t="str">
        <f>"符丽雪"</f>
        <v>符丽雪</v>
      </c>
      <c r="E1076" s="7" t="str">
        <f>"女"</f>
        <v>女</v>
      </c>
    </row>
    <row r="1077" spans="1:5" ht="30" customHeight="1">
      <c r="A1077" s="6">
        <v>1075</v>
      </c>
      <c r="B1077" s="7" t="str">
        <f>"2773202012201952291393"</f>
        <v>2773202012201952291393</v>
      </c>
      <c r="C1077" s="7" t="s">
        <v>19</v>
      </c>
      <c r="D1077" s="7" t="str">
        <f>"符永神"</f>
        <v>符永神</v>
      </c>
      <c r="E1077" s="7" t="str">
        <f>"男"</f>
        <v>男</v>
      </c>
    </row>
    <row r="1078" spans="1:5" ht="30" customHeight="1">
      <c r="A1078" s="6">
        <v>1076</v>
      </c>
      <c r="B1078" s="7" t="str">
        <f>"2773202012202014521395"</f>
        <v>2773202012202014521395</v>
      </c>
      <c r="C1078" s="7" t="s">
        <v>19</v>
      </c>
      <c r="D1078" s="7" t="str">
        <f>"符文旭"</f>
        <v>符文旭</v>
      </c>
      <c r="E1078" s="7" t="str">
        <f>"男"</f>
        <v>男</v>
      </c>
    </row>
    <row r="1079" spans="1:5" ht="30" customHeight="1">
      <c r="A1079" s="6">
        <v>1077</v>
      </c>
      <c r="B1079" s="7" t="str">
        <f>"2773202012202026051397"</f>
        <v>2773202012202026051397</v>
      </c>
      <c r="C1079" s="7" t="s">
        <v>19</v>
      </c>
      <c r="D1079" s="7" t="str">
        <f>"林雪丽"</f>
        <v>林雪丽</v>
      </c>
      <c r="E1079" s="7" t="str">
        <f>"女"</f>
        <v>女</v>
      </c>
    </row>
    <row r="1080" spans="1:5" ht="30" customHeight="1">
      <c r="A1080" s="6">
        <v>1078</v>
      </c>
      <c r="B1080" s="7" t="str">
        <f>"2773202012202037301398"</f>
        <v>2773202012202037301398</v>
      </c>
      <c r="C1080" s="7" t="s">
        <v>19</v>
      </c>
      <c r="D1080" s="7" t="str">
        <f>"吕志君"</f>
        <v>吕志君</v>
      </c>
      <c r="E1080" s="7" t="str">
        <f>"男"</f>
        <v>男</v>
      </c>
    </row>
    <row r="1081" spans="1:5" ht="30" customHeight="1">
      <c r="A1081" s="6">
        <v>1079</v>
      </c>
      <c r="B1081" s="7" t="str">
        <f>"2773202012202042291401"</f>
        <v>2773202012202042291401</v>
      </c>
      <c r="C1081" s="7" t="s">
        <v>19</v>
      </c>
      <c r="D1081" s="7" t="str">
        <f>"羊美萍"</f>
        <v>羊美萍</v>
      </c>
      <c r="E1081" s="7" t="str">
        <f>"女"</f>
        <v>女</v>
      </c>
    </row>
    <row r="1082" spans="1:5" ht="30" customHeight="1">
      <c r="A1082" s="6">
        <v>1080</v>
      </c>
      <c r="B1082" s="7" t="str">
        <f>"2773202012202042321402"</f>
        <v>2773202012202042321402</v>
      </c>
      <c r="C1082" s="7" t="s">
        <v>19</v>
      </c>
      <c r="D1082" s="7" t="str">
        <f>"符万兵"</f>
        <v>符万兵</v>
      </c>
      <c r="E1082" s="7" t="str">
        <f>"男"</f>
        <v>男</v>
      </c>
    </row>
    <row r="1083" spans="1:5" ht="30" customHeight="1">
      <c r="A1083" s="6">
        <v>1081</v>
      </c>
      <c r="B1083" s="7" t="str">
        <f>"2773202012202052181404"</f>
        <v>2773202012202052181404</v>
      </c>
      <c r="C1083" s="7" t="s">
        <v>19</v>
      </c>
      <c r="D1083" s="7" t="str">
        <f>"麦佳佳"</f>
        <v>麦佳佳</v>
      </c>
      <c r="E1083" s="7" t="str">
        <f>"女"</f>
        <v>女</v>
      </c>
    </row>
    <row r="1084" spans="1:5" ht="30" customHeight="1">
      <c r="A1084" s="6">
        <v>1082</v>
      </c>
      <c r="B1084" s="7" t="str">
        <f>"2773202012202056341406"</f>
        <v>2773202012202056341406</v>
      </c>
      <c r="C1084" s="7" t="s">
        <v>19</v>
      </c>
      <c r="D1084" s="7" t="str">
        <f>"陈庆通"</f>
        <v>陈庆通</v>
      </c>
      <c r="E1084" s="7" t="str">
        <f>"男"</f>
        <v>男</v>
      </c>
    </row>
    <row r="1085" spans="1:5" ht="30" customHeight="1">
      <c r="A1085" s="6">
        <v>1083</v>
      </c>
      <c r="B1085" s="7" t="str">
        <f>"2773202012202059351407"</f>
        <v>2773202012202059351407</v>
      </c>
      <c r="C1085" s="7" t="s">
        <v>19</v>
      </c>
      <c r="D1085" s="7" t="str">
        <f>"符凤娇"</f>
        <v>符凤娇</v>
      </c>
      <c r="E1085" s="7" t="str">
        <f>"女"</f>
        <v>女</v>
      </c>
    </row>
    <row r="1086" spans="1:5" ht="30" customHeight="1">
      <c r="A1086" s="6">
        <v>1084</v>
      </c>
      <c r="B1086" s="7" t="str">
        <f>"2773202012202118141410"</f>
        <v>2773202012202118141410</v>
      </c>
      <c r="C1086" s="7" t="s">
        <v>19</v>
      </c>
      <c r="D1086" s="7" t="str">
        <f>"杨婷"</f>
        <v>杨婷</v>
      </c>
      <c r="E1086" s="7" t="str">
        <f>"女"</f>
        <v>女</v>
      </c>
    </row>
    <row r="1087" spans="1:5" ht="30" customHeight="1">
      <c r="A1087" s="6">
        <v>1085</v>
      </c>
      <c r="B1087" s="7" t="str">
        <f>"2773202012202126241414"</f>
        <v>2773202012202126241414</v>
      </c>
      <c r="C1087" s="7" t="s">
        <v>19</v>
      </c>
      <c r="D1087" s="7" t="str">
        <f>"符泽尧"</f>
        <v>符泽尧</v>
      </c>
      <c r="E1087" s="7" t="str">
        <f>"男"</f>
        <v>男</v>
      </c>
    </row>
    <row r="1088" spans="1:5" ht="30" customHeight="1">
      <c r="A1088" s="6">
        <v>1086</v>
      </c>
      <c r="B1088" s="7" t="str">
        <f>"2773202012202133171416"</f>
        <v>2773202012202133171416</v>
      </c>
      <c r="C1088" s="7" t="s">
        <v>19</v>
      </c>
      <c r="D1088" s="7" t="str">
        <f>"符聪商"</f>
        <v>符聪商</v>
      </c>
      <c r="E1088" s="7" t="str">
        <f>"男"</f>
        <v>男</v>
      </c>
    </row>
    <row r="1089" spans="1:5" ht="30" customHeight="1">
      <c r="A1089" s="6">
        <v>1087</v>
      </c>
      <c r="B1089" s="7" t="str">
        <f>"2773202012202139291417"</f>
        <v>2773202012202139291417</v>
      </c>
      <c r="C1089" s="7" t="s">
        <v>19</v>
      </c>
      <c r="D1089" s="7" t="str">
        <f>"吴昌南"</f>
        <v>吴昌南</v>
      </c>
      <c r="E1089" s="7" t="str">
        <f>"男"</f>
        <v>男</v>
      </c>
    </row>
    <row r="1090" spans="1:5" ht="30" customHeight="1">
      <c r="A1090" s="6">
        <v>1088</v>
      </c>
      <c r="B1090" s="7" t="str">
        <f>"2773202012202143211418"</f>
        <v>2773202012202143211418</v>
      </c>
      <c r="C1090" s="7" t="s">
        <v>19</v>
      </c>
      <c r="D1090" s="7" t="str">
        <f>"符晨梦"</f>
        <v>符晨梦</v>
      </c>
      <c r="E1090" s="7" t="str">
        <f>"女"</f>
        <v>女</v>
      </c>
    </row>
    <row r="1091" spans="1:5" ht="30" customHeight="1">
      <c r="A1091" s="6">
        <v>1089</v>
      </c>
      <c r="B1091" s="7" t="str">
        <f>"2773202012202157191421"</f>
        <v>2773202012202157191421</v>
      </c>
      <c r="C1091" s="7" t="s">
        <v>19</v>
      </c>
      <c r="D1091" s="7" t="str">
        <f>"罗思宜"</f>
        <v>罗思宜</v>
      </c>
      <c r="E1091" s="7" t="str">
        <f>"男"</f>
        <v>男</v>
      </c>
    </row>
    <row r="1092" spans="1:5" ht="30" customHeight="1">
      <c r="A1092" s="6">
        <v>1090</v>
      </c>
      <c r="B1092" s="7" t="str">
        <f>"2773202012202252291432"</f>
        <v>2773202012202252291432</v>
      </c>
      <c r="C1092" s="7" t="s">
        <v>19</v>
      </c>
      <c r="D1092" s="7" t="str">
        <f>"黄华鸣"</f>
        <v>黄华鸣</v>
      </c>
      <c r="E1092" s="7" t="str">
        <f>"男"</f>
        <v>男</v>
      </c>
    </row>
    <row r="1093" spans="1:5" ht="30" customHeight="1">
      <c r="A1093" s="6">
        <v>1091</v>
      </c>
      <c r="B1093" s="7" t="str">
        <f>"2773202012202313351436"</f>
        <v>2773202012202313351436</v>
      </c>
      <c r="C1093" s="7" t="s">
        <v>19</v>
      </c>
      <c r="D1093" s="7" t="str">
        <f>"莫颖萍"</f>
        <v>莫颖萍</v>
      </c>
      <c r="E1093" s="7" t="str">
        <f>"女"</f>
        <v>女</v>
      </c>
    </row>
    <row r="1094" spans="1:5" ht="30" customHeight="1">
      <c r="A1094" s="6">
        <v>1092</v>
      </c>
      <c r="B1094" s="7" t="str">
        <f>"2773202012210014211446"</f>
        <v>2773202012210014211446</v>
      </c>
      <c r="C1094" s="7" t="s">
        <v>19</v>
      </c>
      <c r="D1094" s="7" t="str">
        <f>"云钧"</f>
        <v>云钧</v>
      </c>
      <c r="E1094" s="7" t="str">
        <f>"女"</f>
        <v>女</v>
      </c>
    </row>
    <row r="1095" spans="1:5" ht="30" customHeight="1">
      <c r="A1095" s="6">
        <v>1093</v>
      </c>
      <c r="B1095" s="7" t="str">
        <f>"2773202012210821291455"</f>
        <v>2773202012210821291455</v>
      </c>
      <c r="C1095" s="7" t="s">
        <v>19</v>
      </c>
      <c r="D1095" s="7" t="str">
        <f>"王佳佳"</f>
        <v>王佳佳</v>
      </c>
      <c r="E1095" s="7" t="str">
        <f>"女"</f>
        <v>女</v>
      </c>
    </row>
    <row r="1096" spans="1:5" ht="30" customHeight="1">
      <c r="A1096" s="6">
        <v>1094</v>
      </c>
      <c r="B1096" s="7" t="str">
        <f>"2773202012210827401457"</f>
        <v>2773202012210827401457</v>
      </c>
      <c r="C1096" s="7" t="s">
        <v>19</v>
      </c>
      <c r="D1096" s="7" t="str">
        <f>"符碧珈"</f>
        <v>符碧珈</v>
      </c>
      <c r="E1096" s="7" t="str">
        <f>"女"</f>
        <v>女</v>
      </c>
    </row>
    <row r="1097" spans="1:5" ht="30" customHeight="1">
      <c r="A1097" s="6">
        <v>1095</v>
      </c>
      <c r="B1097" s="7" t="str">
        <f>"2773202012210857161463"</f>
        <v>2773202012210857161463</v>
      </c>
      <c r="C1097" s="7" t="s">
        <v>19</v>
      </c>
      <c r="D1097" s="7" t="str">
        <f>"符康夫"</f>
        <v>符康夫</v>
      </c>
      <c r="E1097" s="7" t="str">
        <f>"男"</f>
        <v>男</v>
      </c>
    </row>
    <row r="1098" spans="1:5" ht="30" customHeight="1">
      <c r="A1098" s="6">
        <v>1096</v>
      </c>
      <c r="B1098" s="7" t="str">
        <f>"2773202012210903201467"</f>
        <v>2773202012210903201467</v>
      </c>
      <c r="C1098" s="7" t="s">
        <v>19</v>
      </c>
      <c r="D1098" s="7" t="str">
        <f>"符倩"</f>
        <v>符倩</v>
      </c>
      <c r="E1098" s="7" t="str">
        <f>"女"</f>
        <v>女</v>
      </c>
    </row>
    <row r="1099" spans="1:5" ht="30" customHeight="1">
      <c r="A1099" s="6">
        <v>1097</v>
      </c>
      <c r="B1099" s="7" t="str">
        <f>"2773202012210906261468"</f>
        <v>2773202012210906261468</v>
      </c>
      <c r="C1099" s="7" t="s">
        <v>19</v>
      </c>
      <c r="D1099" s="7" t="str">
        <f>"符小露"</f>
        <v>符小露</v>
      </c>
      <c r="E1099" s="7" t="str">
        <f>"女"</f>
        <v>女</v>
      </c>
    </row>
    <row r="1100" spans="1:5" ht="30" customHeight="1">
      <c r="A1100" s="6">
        <v>1098</v>
      </c>
      <c r="B1100" s="7" t="str">
        <f>"2773202012210915101470"</f>
        <v>2773202012210915101470</v>
      </c>
      <c r="C1100" s="7" t="s">
        <v>19</v>
      </c>
      <c r="D1100" s="7" t="str">
        <f>"羊孔伋"</f>
        <v>羊孔伋</v>
      </c>
      <c r="E1100" s="7" t="str">
        <f>"男"</f>
        <v>男</v>
      </c>
    </row>
    <row r="1101" spans="1:5" ht="30" customHeight="1">
      <c r="A1101" s="6">
        <v>1099</v>
      </c>
      <c r="B1101" s="7" t="str">
        <f>"2773202012210919071472"</f>
        <v>2773202012210919071472</v>
      </c>
      <c r="C1101" s="7" t="s">
        <v>19</v>
      </c>
      <c r="D1101" s="7" t="str">
        <f>"王娟"</f>
        <v>王娟</v>
      </c>
      <c r="E1101" s="7" t="str">
        <f>"女"</f>
        <v>女</v>
      </c>
    </row>
    <row r="1102" spans="1:5" ht="30" customHeight="1">
      <c r="A1102" s="6">
        <v>1100</v>
      </c>
      <c r="B1102" s="7" t="str">
        <f>"2773202012210920591474"</f>
        <v>2773202012210920591474</v>
      </c>
      <c r="C1102" s="7" t="s">
        <v>19</v>
      </c>
      <c r="D1102" s="7" t="str">
        <f>"王小珏"</f>
        <v>王小珏</v>
      </c>
      <c r="E1102" s="7" t="str">
        <f>"女"</f>
        <v>女</v>
      </c>
    </row>
    <row r="1103" spans="1:5" ht="30" customHeight="1">
      <c r="A1103" s="6">
        <v>1101</v>
      </c>
      <c r="B1103" s="7" t="str">
        <f>"2773202012210927311475"</f>
        <v>2773202012210927311475</v>
      </c>
      <c r="C1103" s="7" t="s">
        <v>19</v>
      </c>
      <c r="D1103" s="7" t="str">
        <f>"卓文贞"</f>
        <v>卓文贞</v>
      </c>
      <c r="E1103" s="7" t="str">
        <f>"女"</f>
        <v>女</v>
      </c>
    </row>
    <row r="1104" spans="1:5" ht="30" customHeight="1">
      <c r="A1104" s="6">
        <v>1102</v>
      </c>
      <c r="B1104" s="7" t="str">
        <f>"2773202012210928061476"</f>
        <v>2773202012210928061476</v>
      </c>
      <c r="C1104" s="7" t="s">
        <v>19</v>
      </c>
      <c r="D1104" s="7" t="str">
        <f>"王斯雅"</f>
        <v>王斯雅</v>
      </c>
      <c r="E1104" s="7" t="str">
        <f>"女"</f>
        <v>女</v>
      </c>
    </row>
    <row r="1105" spans="1:5" ht="30" customHeight="1">
      <c r="A1105" s="6">
        <v>1103</v>
      </c>
      <c r="B1105" s="7" t="str">
        <f>"2773202012210934251479"</f>
        <v>2773202012210934251479</v>
      </c>
      <c r="C1105" s="7" t="s">
        <v>19</v>
      </c>
      <c r="D1105" s="7" t="str">
        <f>"符聪"</f>
        <v>符聪</v>
      </c>
      <c r="E1105" s="7" t="str">
        <f>"男"</f>
        <v>男</v>
      </c>
    </row>
    <row r="1106" spans="1:5" ht="30" customHeight="1">
      <c r="A1106" s="6">
        <v>1104</v>
      </c>
      <c r="B1106" s="7" t="str">
        <f>"2773202012210939311480"</f>
        <v>2773202012210939311480</v>
      </c>
      <c r="C1106" s="7" t="s">
        <v>19</v>
      </c>
      <c r="D1106" s="7" t="str">
        <f>"符志良"</f>
        <v>符志良</v>
      </c>
      <c r="E1106" s="7" t="str">
        <f>"男"</f>
        <v>男</v>
      </c>
    </row>
    <row r="1107" spans="1:5" ht="30" customHeight="1">
      <c r="A1107" s="6">
        <v>1105</v>
      </c>
      <c r="B1107" s="7" t="str">
        <f>"2773202012210949251484"</f>
        <v>2773202012210949251484</v>
      </c>
      <c r="C1107" s="7" t="s">
        <v>19</v>
      </c>
      <c r="D1107" s="7" t="str">
        <f>"符乐"</f>
        <v>符乐</v>
      </c>
      <c r="E1107" s="7" t="str">
        <f>"女"</f>
        <v>女</v>
      </c>
    </row>
    <row r="1108" spans="1:5" ht="30" customHeight="1">
      <c r="A1108" s="6">
        <v>1106</v>
      </c>
      <c r="B1108" s="7" t="str">
        <f>"2773202012210957371486"</f>
        <v>2773202012210957371486</v>
      </c>
      <c r="C1108" s="7" t="s">
        <v>19</v>
      </c>
      <c r="D1108" s="7" t="str">
        <f>"何子南"</f>
        <v>何子南</v>
      </c>
      <c r="E1108" s="7" t="str">
        <f>"女"</f>
        <v>女</v>
      </c>
    </row>
    <row r="1109" spans="1:5" ht="30" customHeight="1">
      <c r="A1109" s="6">
        <v>1107</v>
      </c>
      <c r="B1109" s="7" t="str">
        <f>"2773202012211000131487"</f>
        <v>2773202012211000131487</v>
      </c>
      <c r="C1109" s="7" t="s">
        <v>19</v>
      </c>
      <c r="D1109" s="7" t="str">
        <f>"符淑梅"</f>
        <v>符淑梅</v>
      </c>
      <c r="E1109" s="7" t="str">
        <f>"女"</f>
        <v>女</v>
      </c>
    </row>
    <row r="1110" spans="1:5" ht="30" customHeight="1">
      <c r="A1110" s="6">
        <v>1108</v>
      </c>
      <c r="B1110" s="7" t="str">
        <f>"2773202012211001051488"</f>
        <v>2773202012211001051488</v>
      </c>
      <c r="C1110" s="7" t="s">
        <v>19</v>
      </c>
      <c r="D1110" s="7" t="str">
        <f>"符琼叉"</f>
        <v>符琼叉</v>
      </c>
      <c r="E1110" s="7" t="str">
        <f>"女"</f>
        <v>女</v>
      </c>
    </row>
    <row r="1111" spans="1:5" ht="30" customHeight="1">
      <c r="A1111" s="6">
        <v>1109</v>
      </c>
      <c r="B1111" s="7" t="str">
        <f>"2773202012211002361490"</f>
        <v>2773202012211002361490</v>
      </c>
      <c r="C1111" s="7" t="s">
        <v>19</v>
      </c>
      <c r="D1111" s="7" t="str">
        <f>"王斯穆"</f>
        <v>王斯穆</v>
      </c>
      <c r="E1111" s="7" t="str">
        <f>"女"</f>
        <v>女</v>
      </c>
    </row>
    <row r="1112" spans="1:5" ht="30" customHeight="1">
      <c r="A1112" s="6">
        <v>1110</v>
      </c>
      <c r="B1112" s="7" t="str">
        <f>"2773202012211008471492"</f>
        <v>2773202012211008471492</v>
      </c>
      <c r="C1112" s="7" t="s">
        <v>19</v>
      </c>
      <c r="D1112" s="7" t="str">
        <f>"王定唐"</f>
        <v>王定唐</v>
      </c>
      <c r="E1112" s="7" t="str">
        <f>"男"</f>
        <v>男</v>
      </c>
    </row>
    <row r="1113" spans="1:5" ht="30" customHeight="1">
      <c r="A1113" s="6">
        <v>1111</v>
      </c>
      <c r="B1113" s="7" t="str">
        <f>"2773202012211017191498"</f>
        <v>2773202012211017191498</v>
      </c>
      <c r="C1113" s="7" t="s">
        <v>19</v>
      </c>
      <c r="D1113" s="7" t="str">
        <f>"陈婷婷"</f>
        <v>陈婷婷</v>
      </c>
      <c r="E1113" s="7" t="str">
        <f>"女"</f>
        <v>女</v>
      </c>
    </row>
    <row r="1114" spans="1:5" ht="30" customHeight="1">
      <c r="A1114" s="6">
        <v>1112</v>
      </c>
      <c r="B1114" s="7" t="str">
        <f>"2773202012211027271502"</f>
        <v>2773202012211027271502</v>
      </c>
      <c r="C1114" s="7" t="s">
        <v>19</v>
      </c>
      <c r="D1114" s="7" t="str">
        <f>"符思思"</f>
        <v>符思思</v>
      </c>
      <c r="E1114" s="7" t="str">
        <f>"女"</f>
        <v>女</v>
      </c>
    </row>
    <row r="1115" spans="1:5" ht="30" customHeight="1">
      <c r="A1115" s="6">
        <v>1113</v>
      </c>
      <c r="B1115" s="7" t="str">
        <f>"2773202012211030591503"</f>
        <v>2773202012211030591503</v>
      </c>
      <c r="C1115" s="7" t="s">
        <v>19</v>
      </c>
      <c r="D1115" s="7" t="str">
        <f>"刘家鑫"</f>
        <v>刘家鑫</v>
      </c>
      <c r="E1115" s="7" t="str">
        <f>"男"</f>
        <v>男</v>
      </c>
    </row>
    <row r="1116" spans="1:5" ht="30" customHeight="1">
      <c r="A1116" s="6">
        <v>1114</v>
      </c>
      <c r="B1116" s="7" t="str">
        <f>"2773202012211036211506"</f>
        <v>2773202012211036211506</v>
      </c>
      <c r="C1116" s="7" t="s">
        <v>19</v>
      </c>
      <c r="D1116" s="7" t="str">
        <f>"刘颜"</f>
        <v>刘颜</v>
      </c>
      <c r="E1116" s="7" t="str">
        <f>"女"</f>
        <v>女</v>
      </c>
    </row>
    <row r="1117" spans="1:5" ht="30" customHeight="1">
      <c r="A1117" s="6">
        <v>1115</v>
      </c>
      <c r="B1117" s="7" t="str">
        <f>"2773202012211043381508"</f>
        <v>2773202012211043381508</v>
      </c>
      <c r="C1117" s="7" t="s">
        <v>19</v>
      </c>
      <c r="D1117" s="7" t="str">
        <f>"吴淑敏"</f>
        <v>吴淑敏</v>
      </c>
      <c r="E1117" s="7" t="str">
        <f>"男"</f>
        <v>男</v>
      </c>
    </row>
    <row r="1118" spans="1:5" ht="30" customHeight="1">
      <c r="A1118" s="6">
        <v>1116</v>
      </c>
      <c r="B1118" s="7" t="str">
        <f>"2773202012211100461512"</f>
        <v>2773202012211100461512</v>
      </c>
      <c r="C1118" s="7" t="s">
        <v>19</v>
      </c>
      <c r="D1118" s="7" t="str">
        <f>"王智冠"</f>
        <v>王智冠</v>
      </c>
      <c r="E1118" s="7" t="str">
        <f>"男"</f>
        <v>男</v>
      </c>
    </row>
    <row r="1119" spans="1:5" ht="30" customHeight="1">
      <c r="A1119" s="6">
        <v>1117</v>
      </c>
      <c r="B1119" s="7" t="str">
        <f>"2773202012211102161513"</f>
        <v>2773202012211102161513</v>
      </c>
      <c r="C1119" s="7" t="s">
        <v>19</v>
      </c>
      <c r="D1119" s="7" t="str">
        <f>"符阳春"</f>
        <v>符阳春</v>
      </c>
      <c r="E1119" s="7" t="str">
        <f>"女"</f>
        <v>女</v>
      </c>
    </row>
    <row r="1120" spans="1:5" ht="30" customHeight="1">
      <c r="A1120" s="6">
        <v>1118</v>
      </c>
      <c r="B1120" s="7" t="str">
        <f>"2773202012211105061516"</f>
        <v>2773202012211105061516</v>
      </c>
      <c r="C1120" s="7" t="s">
        <v>19</v>
      </c>
      <c r="D1120" s="7" t="str">
        <f>"邓舒云"</f>
        <v>邓舒云</v>
      </c>
      <c r="E1120" s="7" t="str">
        <f>"女"</f>
        <v>女</v>
      </c>
    </row>
    <row r="1121" spans="1:5" ht="30" customHeight="1">
      <c r="A1121" s="6">
        <v>1119</v>
      </c>
      <c r="B1121" s="7" t="str">
        <f>"2773202012211105111517"</f>
        <v>2773202012211105111517</v>
      </c>
      <c r="C1121" s="7" t="s">
        <v>19</v>
      </c>
      <c r="D1121" s="7" t="str">
        <f>"刘晓蝶"</f>
        <v>刘晓蝶</v>
      </c>
      <c r="E1121" s="7" t="str">
        <f>"女"</f>
        <v>女</v>
      </c>
    </row>
    <row r="1122" spans="1:5" ht="30" customHeight="1">
      <c r="A1122" s="6">
        <v>1120</v>
      </c>
      <c r="B1122" s="7" t="str">
        <f>"2773202012211108331518"</f>
        <v>2773202012211108331518</v>
      </c>
      <c r="C1122" s="7" t="s">
        <v>19</v>
      </c>
      <c r="D1122" s="7" t="str">
        <f>"王运洲"</f>
        <v>王运洲</v>
      </c>
      <c r="E1122" s="7" t="str">
        <f>"男"</f>
        <v>男</v>
      </c>
    </row>
    <row r="1123" spans="1:5" ht="30" customHeight="1">
      <c r="A1123" s="6">
        <v>1121</v>
      </c>
      <c r="B1123" s="7" t="str">
        <f>"2773202012211123051524"</f>
        <v>2773202012211123051524</v>
      </c>
      <c r="C1123" s="7" t="s">
        <v>19</v>
      </c>
      <c r="D1123" s="7" t="str">
        <f>"符春慧"</f>
        <v>符春慧</v>
      </c>
      <c r="E1123" s="7" t="str">
        <f>"女"</f>
        <v>女</v>
      </c>
    </row>
    <row r="1124" spans="1:5" ht="30" customHeight="1">
      <c r="A1124" s="6">
        <v>1122</v>
      </c>
      <c r="B1124" s="7" t="str">
        <f>"2773202012211132271527"</f>
        <v>2773202012211132271527</v>
      </c>
      <c r="C1124" s="7" t="s">
        <v>19</v>
      </c>
      <c r="D1124" s="7" t="str">
        <f>"符珊"</f>
        <v>符珊</v>
      </c>
      <c r="E1124" s="7" t="str">
        <f>"女"</f>
        <v>女</v>
      </c>
    </row>
    <row r="1125" spans="1:5" ht="30" customHeight="1">
      <c r="A1125" s="6">
        <v>1123</v>
      </c>
      <c r="B1125" s="7" t="str">
        <f>"2773202012211133321528"</f>
        <v>2773202012211133321528</v>
      </c>
      <c r="C1125" s="7" t="s">
        <v>19</v>
      </c>
      <c r="D1125" s="7" t="str">
        <f>"陈小静"</f>
        <v>陈小静</v>
      </c>
      <c r="E1125" s="7" t="str">
        <f>"女"</f>
        <v>女</v>
      </c>
    </row>
    <row r="1126" spans="1:5" ht="30" customHeight="1">
      <c r="A1126" s="6">
        <v>1124</v>
      </c>
      <c r="B1126" s="7" t="str">
        <f>"2773202012211141431531"</f>
        <v>2773202012211141431531</v>
      </c>
      <c r="C1126" s="7" t="s">
        <v>19</v>
      </c>
      <c r="D1126" s="7" t="str">
        <f>"羊佳宝"</f>
        <v>羊佳宝</v>
      </c>
      <c r="E1126" s="7" t="str">
        <f>"男"</f>
        <v>男</v>
      </c>
    </row>
    <row r="1127" spans="1:5" ht="30" customHeight="1">
      <c r="A1127" s="6">
        <v>1125</v>
      </c>
      <c r="B1127" s="7" t="str">
        <f>"2773202012211144221533"</f>
        <v>2773202012211144221533</v>
      </c>
      <c r="C1127" s="7" t="s">
        <v>19</v>
      </c>
      <c r="D1127" s="7" t="str">
        <f>"黄鸿捷"</f>
        <v>黄鸿捷</v>
      </c>
      <c r="E1127" s="7" t="str">
        <f>"男"</f>
        <v>男</v>
      </c>
    </row>
    <row r="1128" spans="1:5" ht="30" customHeight="1">
      <c r="A1128" s="6">
        <v>1126</v>
      </c>
      <c r="B1128" s="7" t="str">
        <f>"2773202012211215191540"</f>
        <v>2773202012211215191540</v>
      </c>
      <c r="C1128" s="7" t="s">
        <v>19</v>
      </c>
      <c r="D1128" s="7" t="str">
        <f>"李鑫龙"</f>
        <v>李鑫龙</v>
      </c>
      <c r="E1128" s="7" t="str">
        <f>"男"</f>
        <v>男</v>
      </c>
    </row>
    <row r="1129" spans="1:5" ht="30" customHeight="1">
      <c r="A1129" s="6">
        <v>1127</v>
      </c>
      <c r="B1129" s="7" t="str">
        <f>"2773202012211250471546"</f>
        <v>2773202012211250471546</v>
      </c>
      <c r="C1129" s="7" t="s">
        <v>19</v>
      </c>
      <c r="D1129" s="7" t="str">
        <f>"符栋"</f>
        <v>符栋</v>
      </c>
      <c r="E1129" s="7" t="str">
        <f>"男"</f>
        <v>男</v>
      </c>
    </row>
    <row r="1130" spans="1:5" ht="30" customHeight="1">
      <c r="A1130" s="6">
        <v>1128</v>
      </c>
      <c r="B1130" s="7" t="str">
        <f>"2773202012211256391547"</f>
        <v>2773202012211256391547</v>
      </c>
      <c r="C1130" s="7" t="s">
        <v>19</v>
      </c>
      <c r="D1130" s="7" t="str">
        <f>"卓雯欣"</f>
        <v>卓雯欣</v>
      </c>
      <c r="E1130" s="7" t="str">
        <f>"女"</f>
        <v>女</v>
      </c>
    </row>
    <row r="1131" spans="1:5" ht="30" customHeight="1">
      <c r="A1131" s="6">
        <v>1129</v>
      </c>
      <c r="B1131" s="7" t="str">
        <f>"2773202012211308501551"</f>
        <v>2773202012211308501551</v>
      </c>
      <c r="C1131" s="7" t="s">
        <v>19</v>
      </c>
      <c r="D1131" s="7" t="str">
        <f>"李晓倩"</f>
        <v>李晓倩</v>
      </c>
      <c r="E1131" s="7" t="str">
        <f>"女"</f>
        <v>女</v>
      </c>
    </row>
    <row r="1132" spans="1:5" ht="30" customHeight="1">
      <c r="A1132" s="6">
        <v>1130</v>
      </c>
      <c r="B1132" s="7" t="str">
        <f>"2773202012211317121552"</f>
        <v>2773202012211317121552</v>
      </c>
      <c r="C1132" s="7" t="s">
        <v>19</v>
      </c>
      <c r="D1132" s="7" t="str">
        <f>"廖小红"</f>
        <v>廖小红</v>
      </c>
      <c r="E1132" s="7" t="str">
        <f>"女"</f>
        <v>女</v>
      </c>
    </row>
    <row r="1133" spans="1:5" ht="30" customHeight="1">
      <c r="A1133" s="6">
        <v>1131</v>
      </c>
      <c r="B1133" s="7" t="str">
        <f>"2773202012211319351553"</f>
        <v>2773202012211319351553</v>
      </c>
      <c r="C1133" s="7" t="s">
        <v>19</v>
      </c>
      <c r="D1133" s="7" t="str">
        <f>"符成元"</f>
        <v>符成元</v>
      </c>
      <c r="E1133" s="7" t="str">
        <f>"男"</f>
        <v>男</v>
      </c>
    </row>
    <row r="1134" spans="1:5" ht="30" customHeight="1">
      <c r="A1134" s="6">
        <v>1132</v>
      </c>
      <c r="B1134" s="7" t="str">
        <f>"2773202012211446221563"</f>
        <v>2773202012211446221563</v>
      </c>
      <c r="C1134" s="7" t="s">
        <v>19</v>
      </c>
      <c r="D1134" s="7" t="str">
        <f>"王丽婵"</f>
        <v>王丽婵</v>
      </c>
      <c r="E1134" s="7" t="str">
        <f>"女"</f>
        <v>女</v>
      </c>
    </row>
    <row r="1135" spans="1:5" ht="30" customHeight="1">
      <c r="A1135" s="6">
        <v>1133</v>
      </c>
      <c r="B1135" s="7" t="str">
        <f>"2773202012211449111564"</f>
        <v>2773202012211449111564</v>
      </c>
      <c r="C1135" s="7" t="s">
        <v>19</v>
      </c>
      <c r="D1135" s="7" t="str">
        <f>"王明扬"</f>
        <v>王明扬</v>
      </c>
      <c r="E1135" s="7" t="str">
        <f>"男"</f>
        <v>男</v>
      </c>
    </row>
    <row r="1136" spans="1:5" ht="30" customHeight="1">
      <c r="A1136" s="6">
        <v>1134</v>
      </c>
      <c r="B1136" s="7" t="str">
        <f>"2773202012211457281570"</f>
        <v>2773202012211457281570</v>
      </c>
      <c r="C1136" s="7" t="s">
        <v>19</v>
      </c>
      <c r="D1136" s="7" t="str">
        <f>"符海月"</f>
        <v>符海月</v>
      </c>
      <c r="E1136" s="7" t="str">
        <f>"女"</f>
        <v>女</v>
      </c>
    </row>
    <row r="1137" spans="1:5" ht="30" customHeight="1">
      <c r="A1137" s="6">
        <v>1135</v>
      </c>
      <c r="B1137" s="7" t="str">
        <f>"2773202012211459531572"</f>
        <v>2773202012211459531572</v>
      </c>
      <c r="C1137" s="7" t="s">
        <v>19</v>
      </c>
      <c r="D1137" s="7" t="str">
        <f>"陈小倩"</f>
        <v>陈小倩</v>
      </c>
      <c r="E1137" s="7" t="str">
        <f>"女"</f>
        <v>女</v>
      </c>
    </row>
    <row r="1138" spans="1:5" ht="30" customHeight="1">
      <c r="A1138" s="6">
        <v>1136</v>
      </c>
      <c r="B1138" s="7" t="str">
        <f>"2773202012211506571573"</f>
        <v>2773202012211506571573</v>
      </c>
      <c r="C1138" s="7" t="s">
        <v>19</v>
      </c>
      <c r="D1138" s="7" t="str">
        <f>"包锋青"</f>
        <v>包锋青</v>
      </c>
      <c r="E1138" s="7" t="str">
        <f>"男"</f>
        <v>男</v>
      </c>
    </row>
    <row r="1139" spans="1:5" ht="30" customHeight="1">
      <c r="A1139" s="6">
        <v>1137</v>
      </c>
      <c r="B1139" s="7" t="str">
        <f>"2773202012211527371582"</f>
        <v>2773202012211527371582</v>
      </c>
      <c r="C1139" s="7" t="s">
        <v>19</v>
      </c>
      <c r="D1139" s="7" t="str">
        <f>"符永红"</f>
        <v>符永红</v>
      </c>
      <c r="E1139" s="7" t="str">
        <f>"女"</f>
        <v>女</v>
      </c>
    </row>
    <row r="1140" spans="1:5" ht="30" customHeight="1">
      <c r="A1140" s="6">
        <v>1138</v>
      </c>
      <c r="B1140" s="7" t="str">
        <f>"2773202012211527391583"</f>
        <v>2773202012211527391583</v>
      </c>
      <c r="C1140" s="7" t="s">
        <v>19</v>
      </c>
      <c r="D1140" s="7" t="str">
        <f>"王紫静"</f>
        <v>王紫静</v>
      </c>
      <c r="E1140" s="7" t="str">
        <f>"女"</f>
        <v>女</v>
      </c>
    </row>
    <row r="1141" spans="1:5" ht="30" customHeight="1">
      <c r="A1141" s="6">
        <v>1139</v>
      </c>
      <c r="B1141" s="7" t="str">
        <f>"2773202012211536051585"</f>
        <v>2773202012211536051585</v>
      </c>
      <c r="C1141" s="7" t="s">
        <v>19</v>
      </c>
      <c r="D1141" s="7" t="str">
        <f>"吴红秀"</f>
        <v>吴红秀</v>
      </c>
      <c r="E1141" s="7" t="str">
        <f>"女"</f>
        <v>女</v>
      </c>
    </row>
    <row r="1142" spans="1:5" ht="30" customHeight="1">
      <c r="A1142" s="6">
        <v>1140</v>
      </c>
      <c r="B1142" s="7" t="str">
        <f>"2773202012211536301586"</f>
        <v>2773202012211536301586</v>
      </c>
      <c r="C1142" s="7" t="s">
        <v>19</v>
      </c>
      <c r="D1142" s="7" t="str">
        <f>"符靖勋"</f>
        <v>符靖勋</v>
      </c>
      <c r="E1142" s="7" t="str">
        <f>"男"</f>
        <v>男</v>
      </c>
    </row>
    <row r="1143" spans="1:5" ht="30" customHeight="1">
      <c r="A1143" s="6">
        <v>1141</v>
      </c>
      <c r="B1143" s="7" t="str">
        <f>"2773202012211538191587"</f>
        <v>2773202012211538191587</v>
      </c>
      <c r="C1143" s="7" t="s">
        <v>19</v>
      </c>
      <c r="D1143" s="7" t="str">
        <f>"符淑婷"</f>
        <v>符淑婷</v>
      </c>
      <c r="E1143" s="7" t="str">
        <f aca="true" t="shared" si="34" ref="E1143:E1149">"女"</f>
        <v>女</v>
      </c>
    </row>
    <row r="1144" spans="1:5" ht="30" customHeight="1">
      <c r="A1144" s="6">
        <v>1142</v>
      </c>
      <c r="B1144" s="7" t="str">
        <f>"2773202012211559251595"</f>
        <v>2773202012211559251595</v>
      </c>
      <c r="C1144" s="7" t="s">
        <v>19</v>
      </c>
      <c r="D1144" s="7" t="str">
        <f>"张瑶"</f>
        <v>张瑶</v>
      </c>
      <c r="E1144" s="7" t="str">
        <f t="shared" si="34"/>
        <v>女</v>
      </c>
    </row>
    <row r="1145" spans="1:5" ht="30" customHeight="1">
      <c r="A1145" s="6">
        <v>1143</v>
      </c>
      <c r="B1145" s="7" t="str">
        <f>"2773202012211606041598"</f>
        <v>2773202012211606041598</v>
      </c>
      <c r="C1145" s="7" t="s">
        <v>19</v>
      </c>
      <c r="D1145" s="7" t="str">
        <f>"杨笑柳"</f>
        <v>杨笑柳</v>
      </c>
      <c r="E1145" s="7" t="str">
        <f t="shared" si="34"/>
        <v>女</v>
      </c>
    </row>
    <row r="1146" spans="1:5" ht="30" customHeight="1">
      <c r="A1146" s="6">
        <v>1144</v>
      </c>
      <c r="B1146" s="7" t="str">
        <f>"2773202012211614541599"</f>
        <v>2773202012211614541599</v>
      </c>
      <c r="C1146" s="7" t="s">
        <v>19</v>
      </c>
      <c r="D1146" s="7" t="str">
        <f>"符晓晶"</f>
        <v>符晓晶</v>
      </c>
      <c r="E1146" s="7" t="str">
        <f t="shared" si="34"/>
        <v>女</v>
      </c>
    </row>
    <row r="1147" spans="1:5" ht="30" customHeight="1">
      <c r="A1147" s="6">
        <v>1145</v>
      </c>
      <c r="B1147" s="7" t="str">
        <f>"2773202012211627071604"</f>
        <v>2773202012211627071604</v>
      </c>
      <c r="C1147" s="7" t="s">
        <v>19</v>
      </c>
      <c r="D1147" s="7" t="str">
        <f>"符晓茜"</f>
        <v>符晓茜</v>
      </c>
      <c r="E1147" s="7" t="str">
        <f t="shared" si="34"/>
        <v>女</v>
      </c>
    </row>
    <row r="1148" spans="1:5" ht="30" customHeight="1">
      <c r="A1148" s="6">
        <v>1146</v>
      </c>
      <c r="B1148" s="7" t="str">
        <f>"2773202012211632341607"</f>
        <v>2773202012211632341607</v>
      </c>
      <c r="C1148" s="7" t="s">
        <v>19</v>
      </c>
      <c r="D1148" s="7" t="str">
        <f>"王冰冰"</f>
        <v>王冰冰</v>
      </c>
      <c r="E1148" s="7" t="str">
        <f t="shared" si="34"/>
        <v>女</v>
      </c>
    </row>
    <row r="1149" spans="1:5" ht="30" customHeight="1">
      <c r="A1149" s="6">
        <v>1147</v>
      </c>
      <c r="B1149" s="7" t="str">
        <f>"2773202012211709041614"</f>
        <v>2773202012211709041614</v>
      </c>
      <c r="C1149" s="7" t="s">
        <v>19</v>
      </c>
      <c r="D1149" s="7" t="str">
        <f>"刘佳爱"</f>
        <v>刘佳爱</v>
      </c>
      <c r="E1149" s="7" t="str">
        <f t="shared" si="34"/>
        <v>女</v>
      </c>
    </row>
    <row r="1150" spans="1:5" ht="30" customHeight="1">
      <c r="A1150" s="6">
        <v>1148</v>
      </c>
      <c r="B1150" s="7" t="str">
        <f>"2773202012211812401626"</f>
        <v>2773202012211812401626</v>
      </c>
      <c r="C1150" s="7" t="s">
        <v>19</v>
      </c>
      <c r="D1150" s="7" t="str">
        <f>"符海龙"</f>
        <v>符海龙</v>
      </c>
      <c r="E1150" s="7" t="str">
        <f>"男"</f>
        <v>男</v>
      </c>
    </row>
    <row r="1151" spans="1:5" ht="30" customHeight="1">
      <c r="A1151" s="6">
        <v>1149</v>
      </c>
      <c r="B1151" s="7" t="str">
        <f>"2773202012211852251629"</f>
        <v>2773202012211852251629</v>
      </c>
      <c r="C1151" s="7" t="s">
        <v>19</v>
      </c>
      <c r="D1151" s="7" t="str">
        <f>"吉玉祖"</f>
        <v>吉玉祖</v>
      </c>
      <c r="E1151" s="7" t="str">
        <f>"女"</f>
        <v>女</v>
      </c>
    </row>
    <row r="1152" spans="1:5" ht="30" customHeight="1">
      <c r="A1152" s="6">
        <v>1150</v>
      </c>
      <c r="B1152" s="7" t="str">
        <f>"2773202012211915221633"</f>
        <v>2773202012211915221633</v>
      </c>
      <c r="C1152" s="7" t="s">
        <v>19</v>
      </c>
      <c r="D1152" s="7" t="str">
        <f>"王国柱"</f>
        <v>王国柱</v>
      </c>
      <c r="E1152" s="7" t="str">
        <f>"男"</f>
        <v>男</v>
      </c>
    </row>
    <row r="1153" spans="1:5" ht="30" customHeight="1">
      <c r="A1153" s="6">
        <v>1151</v>
      </c>
      <c r="B1153" s="7" t="str">
        <f>"2773202012211928051637"</f>
        <v>2773202012211928051637</v>
      </c>
      <c r="C1153" s="7" t="s">
        <v>19</v>
      </c>
      <c r="D1153" s="7" t="str">
        <f>"符晓芹"</f>
        <v>符晓芹</v>
      </c>
      <c r="E1153" s="7" t="str">
        <f>"女"</f>
        <v>女</v>
      </c>
    </row>
    <row r="1154" spans="1:5" ht="30" customHeight="1">
      <c r="A1154" s="6">
        <v>1152</v>
      </c>
      <c r="B1154" s="7" t="str">
        <f>"2773202012212000431644"</f>
        <v>2773202012212000431644</v>
      </c>
      <c r="C1154" s="7" t="s">
        <v>19</v>
      </c>
      <c r="D1154" s="7" t="str">
        <f>"庄圣达"</f>
        <v>庄圣达</v>
      </c>
      <c r="E1154" s="7" t="str">
        <f>"男"</f>
        <v>男</v>
      </c>
    </row>
    <row r="1155" spans="1:5" ht="30" customHeight="1">
      <c r="A1155" s="6">
        <v>1153</v>
      </c>
      <c r="B1155" s="7" t="str">
        <f>"2773202012212012371645"</f>
        <v>2773202012212012371645</v>
      </c>
      <c r="C1155" s="7" t="s">
        <v>19</v>
      </c>
      <c r="D1155" s="7" t="str">
        <f>"符鸽"</f>
        <v>符鸽</v>
      </c>
      <c r="E1155" s="7" t="str">
        <f>"女"</f>
        <v>女</v>
      </c>
    </row>
    <row r="1156" spans="1:5" ht="30" customHeight="1">
      <c r="A1156" s="6">
        <v>1154</v>
      </c>
      <c r="B1156" s="7" t="str">
        <f>"2773202012212035461650"</f>
        <v>2773202012212035461650</v>
      </c>
      <c r="C1156" s="7" t="s">
        <v>19</v>
      </c>
      <c r="D1156" s="7" t="str">
        <f>"符雅倩"</f>
        <v>符雅倩</v>
      </c>
      <c r="E1156" s="7" t="str">
        <f>"女"</f>
        <v>女</v>
      </c>
    </row>
    <row r="1157" spans="1:5" ht="30" customHeight="1">
      <c r="A1157" s="6">
        <v>1155</v>
      </c>
      <c r="B1157" s="7" t="str">
        <f>"2773202012212146421662"</f>
        <v>2773202012212146421662</v>
      </c>
      <c r="C1157" s="7" t="s">
        <v>19</v>
      </c>
      <c r="D1157" s="7" t="str">
        <f>"符慧青"</f>
        <v>符慧青</v>
      </c>
      <c r="E1157" s="7" t="str">
        <f>"女"</f>
        <v>女</v>
      </c>
    </row>
    <row r="1158" spans="1:5" ht="30" customHeight="1">
      <c r="A1158" s="6">
        <v>1156</v>
      </c>
      <c r="B1158" s="7" t="str">
        <f>"2773202012212149211663"</f>
        <v>2773202012212149211663</v>
      </c>
      <c r="C1158" s="7" t="s">
        <v>19</v>
      </c>
      <c r="D1158" s="7" t="str">
        <f>"符宋美"</f>
        <v>符宋美</v>
      </c>
      <c r="E1158" s="7" t="str">
        <f>"女"</f>
        <v>女</v>
      </c>
    </row>
    <row r="1159" spans="1:5" ht="30" customHeight="1">
      <c r="A1159" s="6">
        <v>1157</v>
      </c>
      <c r="B1159" s="7" t="str">
        <f>"2773202012212149531664"</f>
        <v>2773202012212149531664</v>
      </c>
      <c r="C1159" s="7" t="s">
        <v>19</v>
      </c>
      <c r="D1159" s="7" t="str">
        <f>"符金英"</f>
        <v>符金英</v>
      </c>
      <c r="E1159" s="7" t="str">
        <f>"女"</f>
        <v>女</v>
      </c>
    </row>
    <row r="1160" spans="1:5" ht="30" customHeight="1">
      <c r="A1160" s="6">
        <v>1158</v>
      </c>
      <c r="B1160" s="7" t="str">
        <f>"2773202012212225141670"</f>
        <v>2773202012212225141670</v>
      </c>
      <c r="C1160" s="7" t="s">
        <v>19</v>
      </c>
      <c r="D1160" s="7" t="str">
        <f>"符高"</f>
        <v>符高</v>
      </c>
      <c r="E1160" s="7" t="str">
        <f>"男"</f>
        <v>男</v>
      </c>
    </row>
    <row r="1161" spans="1:5" ht="30" customHeight="1">
      <c r="A1161" s="6">
        <v>1159</v>
      </c>
      <c r="B1161" s="7" t="str">
        <f>"2773202012212257031674"</f>
        <v>2773202012212257031674</v>
      </c>
      <c r="C1161" s="7" t="s">
        <v>19</v>
      </c>
      <c r="D1161" s="7" t="str">
        <f>"包青青"</f>
        <v>包青青</v>
      </c>
      <c r="E1161" s="7" t="str">
        <f>"女"</f>
        <v>女</v>
      </c>
    </row>
    <row r="1162" spans="1:5" ht="30" customHeight="1">
      <c r="A1162" s="6">
        <v>1160</v>
      </c>
      <c r="B1162" s="7" t="str">
        <f>"2773202012212328551681"</f>
        <v>2773202012212328551681</v>
      </c>
      <c r="C1162" s="7" t="s">
        <v>19</v>
      </c>
      <c r="D1162" s="7" t="str">
        <f>"杨培城"</f>
        <v>杨培城</v>
      </c>
      <c r="E1162" s="7" t="str">
        <f>"男"</f>
        <v>男</v>
      </c>
    </row>
    <row r="1163" spans="1:5" ht="30" customHeight="1">
      <c r="A1163" s="6">
        <v>1161</v>
      </c>
      <c r="B1163" s="7" t="str">
        <f>"2773202012212347331684"</f>
        <v>2773202012212347331684</v>
      </c>
      <c r="C1163" s="7" t="s">
        <v>19</v>
      </c>
      <c r="D1163" s="7" t="str">
        <f>"唐玉婷"</f>
        <v>唐玉婷</v>
      </c>
      <c r="E1163" s="7" t="str">
        <f>"女"</f>
        <v>女</v>
      </c>
    </row>
    <row r="1164" spans="1:5" ht="30" customHeight="1">
      <c r="A1164" s="6">
        <v>1162</v>
      </c>
      <c r="B1164" s="7" t="str">
        <f>"2773202012220849451694"</f>
        <v>2773202012220849451694</v>
      </c>
      <c r="C1164" s="7" t="s">
        <v>19</v>
      </c>
      <c r="D1164" s="7" t="str">
        <f>"符智"</f>
        <v>符智</v>
      </c>
      <c r="E1164" s="7" t="str">
        <f>"男"</f>
        <v>男</v>
      </c>
    </row>
    <row r="1165" spans="1:5" ht="30" customHeight="1">
      <c r="A1165" s="6">
        <v>1163</v>
      </c>
      <c r="B1165" s="7" t="str">
        <f>"2773202012220858161697"</f>
        <v>2773202012220858161697</v>
      </c>
      <c r="C1165" s="7" t="s">
        <v>19</v>
      </c>
      <c r="D1165" s="7" t="str">
        <f>"符敏"</f>
        <v>符敏</v>
      </c>
      <c r="E1165" s="7" t="str">
        <f aca="true" t="shared" si="35" ref="E1165:E1170">"女"</f>
        <v>女</v>
      </c>
    </row>
    <row r="1166" spans="1:5" ht="30" customHeight="1">
      <c r="A1166" s="6">
        <v>1164</v>
      </c>
      <c r="B1166" s="7" t="str">
        <f>"2773202012220903501699"</f>
        <v>2773202012220903501699</v>
      </c>
      <c r="C1166" s="7" t="s">
        <v>19</v>
      </c>
      <c r="D1166" s="7" t="str">
        <f>"王露雯"</f>
        <v>王露雯</v>
      </c>
      <c r="E1166" s="7" t="str">
        <f t="shared" si="35"/>
        <v>女</v>
      </c>
    </row>
    <row r="1167" spans="1:5" ht="30" customHeight="1">
      <c r="A1167" s="6">
        <v>1165</v>
      </c>
      <c r="B1167" s="7" t="str">
        <f>"2773202012220928401703"</f>
        <v>2773202012220928401703</v>
      </c>
      <c r="C1167" s="7" t="s">
        <v>19</v>
      </c>
      <c r="D1167" s="7" t="str">
        <f>"王小霞"</f>
        <v>王小霞</v>
      </c>
      <c r="E1167" s="7" t="str">
        <f t="shared" si="35"/>
        <v>女</v>
      </c>
    </row>
    <row r="1168" spans="1:5" ht="30" customHeight="1">
      <c r="A1168" s="6">
        <v>1166</v>
      </c>
      <c r="B1168" s="7" t="str">
        <f>"2773202012220953461704"</f>
        <v>2773202012220953461704</v>
      </c>
      <c r="C1168" s="7" t="s">
        <v>19</v>
      </c>
      <c r="D1168" s="7" t="str">
        <f>"陈青娥"</f>
        <v>陈青娥</v>
      </c>
      <c r="E1168" s="7" t="str">
        <f t="shared" si="35"/>
        <v>女</v>
      </c>
    </row>
    <row r="1169" spans="1:5" ht="30" customHeight="1">
      <c r="A1169" s="6">
        <v>1167</v>
      </c>
      <c r="B1169" s="7" t="str">
        <f>"2773202012220955221706"</f>
        <v>2773202012220955221706</v>
      </c>
      <c r="C1169" s="7" t="s">
        <v>19</v>
      </c>
      <c r="D1169" s="7" t="str">
        <f>"刘增茹"</f>
        <v>刘增茹</v>
      </c>
      <c r="E1169" s="7" t="str">
        <f t="shared" si="35"/>
        <v>女</v>
      </c>
    </row>
    <row r="1170" spans="1:5" ht="30" customHeight="1">
      <c r="A1170" s="6">
        <v>1168</v>
      </c>
      <c r="B1170" s="7" t="str">
        <f>"2773202012221029121711"</f>
        <v>2773202012221029121711</v>
      </c>
      <c r="C1170" s="7" t="s">
        <v>19</v>
      </c>
      <c r="D1170" s="7" t="str">
        <f>"符嘉丽"</f>
        <v>符嘉丽</v>
      </c>
      <c r="E1170" s="7" t="str">
        <f t="shared" si="35"/>
        <v>女</v>
      </c>
    </row>
    <row r="1171" spans="1:5" ht="30" customHeight="1">
      <c r="A1171" s="6">
        <v>1169</v>
      </c>
      <c r="B1171" s="7" t="str">
        <f>"2773202012221049201715"</f>
        <v>2773202012221049201715</v>
      </c>
      <c r="C1171" s="7" t="s">
        <v>19</v>
      </c>
      <c r="D1171" s="7" t="str">
        <f>"刘泽棉"</f>
        <v>刘泽棉</v>
      </c>
      <c r="E1171" s="7" t="str">
        <f>"男"</f>
        <v>男</v>
      </c>
    </row>
    <row r="1172" spans="1:5" ht="30" customHeight="1">
      <c r="A1172" s="6">
        <v>1170</v>
      </c>
      <c r="B1172" s="7" t="str">
        <f>"2773202012221106491719"</f>
        <v>2773202012221106491719</v>
      </c>
      <c r="C1172" s="7" t="s">
        <v>19</v>
      </c>
      <c r="D1172" s="7" t="str">
        <f>"符师"</f>
        <v>符师</v>
      </c>
      <c r="E1172" s="7" t="str">
        <f>"男"</f>
        <v>男</v>
      </c>
    </row>
    <row r="1173" spans="1:5" ht="30" customHeight="1">
      <c r="A1173" s="6">
        <v>1171</v>
      </c>
      <c r="B1173" s="7" t="str">
        <f>"2773202012221115501721"</f>
        <v>2773202012221115501721</v>
      </c>
      <c r="C1173" s="7" t="s">
        <v>19</v>
      </c>
      <c r="D1173" s="7" t="str">
        <f>"林琦昆"</f>
        <v>林琦昆</v>
      </c>
      <c r="E1173" s="7" t="str">
        <f>"男"</f>
        <v>男</v>
      </c>
    </row>
    <row r="1174" spans="1:5" ht="30" customHeight="1">
      <c r="A1174" s="6">
        <v>1172</v>
      </c>
      <c r="B1174" s="7" t="str">
        <f>"2773202012221117271723"</f>
        <v>2773202012221117271723</v>
      </c>
      <c r="C1174" s="7" t="s">
        <v>19</v>
      </c>
      <c r="D1174" s="7" t="str">
        <f>"陈金妹"</f>
        <v>陈金妹</v>
      </c>
      <c r="E1174" s="7" t="str">
        <f>"女"</f>
        <v>女</v>
      </c>
    </row>
    <row r="1175" spans="1:5" ht="30" customHeight="1">
      <c r="A1175" s="6">
        <v>1173</v>
      </c>
      <c r="B1175" s="7" t="str">
        <f>"2773202012221122511725"</f>
        <v>2773202012221122511725</v>
      </c>
      <c r="C1175" s="7" t="s">
        <v>19</v>
      </c>
      <c r="D1175" s="7" t="str">
        <f>"吴健"</f>
        <v>吴健</v>
      </c>
      <c r="E1175" s="7" t="str">
        <f>"男"</f>
        <v>男</v>
      </c>
    </row>
    <row r="1176" spans="1:5" ht="30" customHeight="1">
      <c r="A1176" s="6">
        <v>1174</v>
      </c>
      <c r="B1176" s="7" t="str">
        <f>"2773202012221152271733"</f>
        <v>2773202012221152271733</v>
      </c>
      <c r="C1176" s="7" t="s">
        <v>19</v>
      </c>
      <c r="D1176" s="7" t="str">
        <f>"王小云"</f>
        <v>王小云</v>
      </c>
      <c r="E1176" s="7" t="str">
        <f>"女"</f>
        <v>女</v>
      </c>
    </row>
    <row r="1177" spans="1:5" ht="30" customHeight="1">
      <c r="A1177" s="6">
        <v>1175</v>
      </c>
      <c r="B1177" s="7" t="str">
        <f>"2773202012221156151735"</f>
        <v>2773202012221156151735</v>
      </c>
      <c r="C1177" s="7" t="s">
        <v>19</v>
      </c>
      <c r="D1177" s="7" t="str">
        <f>"符亚劲"</f>
        <v>符亚劲</v>
      </c>
      <c r="E1177" s="7" t="str">
        <f>"男"</f>
        <v>男</v>
      </c>
    </row>
    <row r="1178" spans="1:5" ht="30" customHeight="1">
      <c r="A1178" s="6">
        <v>1176</v>
      </c>
      <c r="B1178" s="7" t="str">
        <f>"2773202012221216251737"</f>
        <v>2773202012221216251737</v>
      </c>
      <c r="C1178" s="7" t="s">
        <v>19</v>
      </c>
      <c r="D1178" s="7" t="str">
        <f>"王纪松"</f>
        <v>王纪松</v>
      </c>
      <c r="E1178" s="7" t="str">
        <f>"男"</f>
        <v>男</v>
      </c>
    </row>
    <row r="1179" spans="1:5" ht="30" customHeight="1">
      <c r="A1179" s="6">
        <v>1177</v>
      </c>
      <c r="B1179" s="7" t="str">
        <f>"2773202012221244531741"</f>
        <v>2773202012221244531741</v>
      </c>
      <c r="C1179" s="7" t="s">
        <v>19</v>
      </c>
      <c r="D1179" s="7" t="str">
        <f>"符铭航"</f>
        <v>符铭航</v>
      </c>
      <c r="E1179" s="7" t="str">
        <f>"男"</f>
        <v>男</v>
      </c>
    </row>
    <row r="1180" spans="1:5" ht="30" customHeight="1">
      <c r="A1180" s="6">
        <v>1178</v>
      </c>
      <c r="B1180" s="7" t="str">
        <f>"2773202012221310581744"</f>
        <v>2773202012221310581744</v>
      </c>
      <c r="C1180" s="7" t="s">
        <v>19</v>
      </c>
      <c r="D1180" s="7" t="str">
        <f>"符妙瑾"</f>
        <v>符妙瑾</v>
      </c>
      <c r="E1180" s="7" t="str">
        <f>"女"</f>
        <v>女</v>
      </c>
    </row>
    <row r="1181" spans="1:5" ht="30" customHeight="1">
      <c r="A1181" s="6">
        <v>1179</v>
      </c>
      <c r="B1181" s="7" t="str">
        <f>"2773202012221402441752"</f>
        <v>2773202012221402441752</v>
      </c>
      <c r="C1181" s="7" t="s">
        <v>19</v>
      </c>
      <c r="D1181" s="7" t="str">
        <f>"羊华"</f>
        <v>羊华</v>
      </c>
      <c r="E1181" s="7" t="str">
        <f>"女"</f>
        <v>女</v>
      </c>
    </row>
    <row r="1182" spans="1:5" ht="30" customHeight="1">
      <c r="A1182" s="6">
        <v>1180</v>
      </c>
      <c r="B1182" s="7" t="str">
        <f>"2773202012221435441756"</f>
        <v>2773202012221435441756</v>
      </c>
      <c r="C1182" s="7" t="s">
        <v>19</v>
      </c>
      <c r="D1182" s="7" t="str">
        <f>"林雅琪"</f>
        <v>林雅琪</v>
      </c>
      <c r="E1182" s="7" t="str">
        <f>"女"</f>
        <v>女</v>
      </c>
    </row>
    <row r="1183" spans="1:5" ht="30" customHeight="1">
      <c r="A1183" s="6">
        <v>1181</v>
      </c>
      <c r="B1183" s="7" t="str">
        <f>"2773202012221510121763"</f>
        <v>2773202012221510121763</v>
      </c>
      <c r="C1183" s="7" t="s">
        <v>19</v>
      </c>
      <c r="D1183" s="7" t="str">
        <f>"符巧巧"</f>
        <v>符巧巧</v>
      </c>
      <c r="E1183" s="7" t="str">
        <f>"女"</f>
        <v>女</v>
      </c>
    </row>
    <row r="1184" spans="1:5" ht="30" customHeight="1">
      <c r="A1184" s="6">
        <v>1182</v>
      </c>
      <c r="B1184" s="7" t="str">
        <f>"2773202012221534131768"</f>
        <v>2773202012221534131768</v>
      </c>
      <c r="C1184" s="7" t="s">
        <v>19</v>
      </c>
      <c r="D1184" s="7" t="str">
        <f>"马玉霞"</f>
        <v>马玉霞</v>
      </c>
      <c r="E1184" s="7" t="str">
        <f>"女"</f>
        <v>女</v>
      </c>
    </row>
    <row r="1185" spans="1:5" ht="30" customHeight="1">
      <c r="A1185" s="6">
        <v>1183</v>
      </c>
      <c r="B1185" s="7" t="str">
        <f>"2773202012221534461769"</f>
        <v>2773202012221534461769</v>
      </c>
      <c r="C1185" s="7" t="s">
        <v>19</v>
      </c>
      <c r="D1185" s="7" t="str">
        <f>"符世季"</f>
        <v>符世季</v>
      </c>
      <c r="E1185" s="7" t="str">
        <f>"男"</f>
        <v>男</v>
      </c>
    </row>
    <row r="1186" spans="1:5" ht="30" customHeight="1">
      <c r="A1186" s="6">
        <v>1184</v>
      </c>
      <c r="B1186" s="7" t="str">
        <f>"2773202012221545501773"</f>
        <v>2773202012221545501773</v>
      </c>
      <c r="C1186" s="7" t="s">
        <v>19</v>
      </c>
      <c r="D1186" s="7" t="str">
        <f>"符照冰"</f>
        <v>符照冰</v>
      </c>
      <c r="E1186" s="7" t="str">
        <f>"女"</f>
        <v>女</v>
      </c>
    </row>
    <row r="1187" spans="1:5" ht="30" customHeight="1">
      <c r="A1187" s="6">
        <v>1185</v>
      </c>
      <c r="B1187" s="7" t="str">
        <f>"2773202012221605031779"</f>
        <v>2773202012221605031779</v>
      </c>
      <c r="C1187" s="7" t="s">
        <v>19</v>
      </c>
      <c r="D1187" s="7" t="str">
        <f>"韦国斌"</f>
        <v>韦国斌</v>
      </c>
      <c r="E1187" s="7" t="str">
        <f>"男"</f>
        <v>男</v>
      </c>
    </row>
    <row r="1188" spans="1:5" ht="30" customHeight="1">
      <c r="A1188" s="6">
        <v>1186</v>
      </c>
      <c r="B1188" s="7" t="str">
        <f>"2773202012221606111780"</f>
        <v>2773202012221606111780</v>
      </c>
      <c r="C1188" s="7" t="s">
        <v>19</v>
      </c>
      <c r="D1188" s="7" t="str">
        <f>"羊嘉莉"</f>
        <v>羊嘉莉</v>
      </c>
      <c r="E1188" s="7" t="str">
        <f>"女"</f>
        <v>女</v>
      </c>
    </row>
    <row r="1189" spans="1:5" ht="30" customHeight="1">
      <c r="A1189" s="6">
        <v>1187</v>
      </c>
      <c r="B1189" s="7" t="str">
        <f>"2773202012221654411795"</f>
        <v>2773202012221654411795</v>
      </c>
      <c r="C1189" s="7" t="s">
        <v>19</v>
      </c>
      <c r="D1189" s="7" t="str">
        <f>"王泽"</f>
        <v>王泽</v>
      </c>
      <c r="E1189" s="7" t="str">
        <f>"男"</f>
        <v>男</v>
      </c>
    </row>
    <row r="1190" spans="1:5" ht="30" customHeight="1">
      <c r="A1190" s="6">
        <v>1188</v>
      </c>
      <c r="B1190" s="7" t="str">
        <f>"2773202012221709271799"</f>
        <v>2773202012221709271799</v>
      </c>
      <c r="C1190" s="7" t="s">
        <v>19</v>
      </c>
      <c r="D1190" s="7" t="str">
        <f>"周福森"</f>
        <v>周福森</v>
      </c>
      <c r="E1190" s="7" t="str">
        <f>"男"</f>
        <v>男</v>
      </c>
    </row>
    <row r="1191" spans="1:5" ht="30" customHeight="1">
      <c r="A1191" s="6">
        <v>1189</v>
      </c>
      <c r="B1191" s="7" t="str">
        <f>"2773202012221718361801"</f>
        <v>2773202012221718361801</v>
      </c>
      <c r="C1191" s="7" t="s">
        <v>19</v>
      </c>
      <c r="D1191" s="7" t="str">
        <f>"符振英"</f>
        <v>符振英</v>
      </c>
      <c r="E1191" s="7" t="str">
        <f>"男"</f>
        <v>男</v>
      </c>
    </row>
    <row r="1192" spans="1:5" ht="30" customHeight="1">
      <c r="A1192" s="6">
        <v>1190</v>
      </c>
      <c r="B1192" s="7" t="str">
        <f>"2773202012221801321809"</f>
        <v>2773202012221801321809</v>
      </c>
      <c r="C1192" s="7" t="s">
        <v>19</v>
      </c>
      <c r="D1192" s="7" t="str">
        <f>"符慧严"</f>
        <v>符慧严</v>
      </c>
      <c r="E1192" s="7" t="str">
        <f aca="true" t="shared" si="36" ref="E1192:E1199">"女"</f>
        <v>女</v>
      </c>
    </row>
    <row r="1193" spans="1:5" ht="30" customHeight="1">
      <c r="A1193" s="6">
        <v>1191</v>
      </c>
      <c r="B1193" s="7" t="str">
        <f>"2773202012221950141826"</f>
        <v>2773202012221950141826</v>
      </c>
      <c r="C1193" s="7" t="s">
        <v>19</v>
      </c>
      <c r="D1193" s="7" t="str">
        <f>"符玺丹"</f>
        <v>符玺丹</v>
      </c>
      <c r="E1193" s="7" t="str">
        <f t="shared" si="36"/>
        <v>女</v>
      </c>
    </row>
    <row r="1194" spans="1:5" ht="30" customHeight="1">
      <c r="A1194" s="6">
        <v>1192</v>
      </c>
      <c r="B1194" s="7" t="str">
        <f>"2773202012222009571831"</f>
        <v>2773202012222009571831</v>
      </c>
      <c r="C1194" s="7" t="s">
        <v>19</v>
      </c>
      <c r="D1194" s="7" t="str">
        <f>"吴小于"</f>
        <v>吴小于</v>
      </c>
      <c r="E1194" s="7" t="str">
        <f t="shared" si="36"/>
        <v>女</v>
      </c>
    </row>
    <row r="1195" spans="1:5" ht="30" customHeight="1">
      <c r="A1195" s="6">
        <v>1193</v>
      </c>
      <c r="B1195" s="7" t="str">
        <f>"2773202012222011501832"</f>
        <v>2773202012222011501832</v>
      </c>
      <c r="C1195" s="7" t="s">
        <v>19</v>
      </c>
      <c r="D1195" s="7" t="str">
        <f>"符曹艳"</f>
        <v>符曹艳</v>
      </c>
      <c r="E1195" s="7" t="str">
        <f t="shared" si="36"/>
        <v>女</v>
      </c>
    </row>
    <row r="1196" spans="1:5" ht="30" customHeight="1">
      <c r="A1196" s="6">
        <v>1194</v>
      </c>
      <c r="B1196" s="7" t="str">
        <f>"2773202012222038421835"</f>
        <v>2773202012222038421835</v>
      </c>
      <c r="C1196" s="7" t="s">
        <v>19</v>
      </c>
      <c r="D1196" s="7" t="str">
        <f>"符继红"</f>
        <v>符继红</v>
      </c>
      <c r="E1196" s="7" t="str">
        <f t="shared" si="36"/>
        <v>女</v>
      </c>
    </row>
    <row r="1197" spans="1:5" ht="30" customHeight="1">
      <c r="A1197" s="6">
        <v>1195</v>
      </c>
      <c r="B1197" s="7" t="str">
        <f>"2773202012222110101842"</f>
        <v>2773202012222110101842</v>
      </c>
      <c r="C1197" s="7" t="s">
        <v>19</v>
      </c>
      <c r="D1197" s="7" t="str">
        <f>"符运玲"</f>
        <v>符运玲</v>
      </c>
      <c r="E1197" s="7" t="str">
        <f t="shared" si="36"/>
        <v>女</v>
      </c>
    </row>
    <row r="1198" spans="1:5" ht="30" customHeight="1">
      <c r="A1198" s="6">
        <v>1196</v>
      </c>
      <c r="B1198" s="7" t="str">
        <f>"2773202012222121391845"</f>
        <v>2773202012222121391845</v>
      </c>
      <c r="C1198" s="7" t="s">
        <v>19</v>
      </c>
      <c r="D1198" s="7" t="str">
        <f>"符珊珊"</f>
        <v>符珊珊</v>
      </c>
      <c r="E1198" s="7" t="str">
        <f t="shared" si="36"/>
        <v>女</v>
      </c>
    </row>
    <row r="1199" spans="1:5" ht="30" customHeight="1">
      <c r="A1199" s="6">
        <v>1197</v>
      </c>
      <c r="B1199" s="7" t="str">
        <f>"2773202012222141141850"</f>
        <v>2773202012222141141850</v>
      </c>
      <c r="C1199" s="7" t="s">
        <v>19</v>
      </c>
      <c r="D1199" s="7" t="str">
        <f>"陈曦"</f>
        <v>陈曦</v>
      </c>
      <c r="E1199" s="7" t="str">
        <f t="shared" si="36"/>
        <v>女</v>
      </c>
    </row>
    <row r="1200" spans="1:5" ht="30" customHeight="1">
      <c r="A1200" s="6">
        <v>1198</v>
      </c>
      <c r="B1200" s="7" t="str">
        <f>"2773202012222238321865"</f>
        <v>2773202012222238321865</v>
      </c>
      <c r="C1200" s="7" t="s">
        <v>19</v>
      </c>
      <c r="D1200" s="7" t="str">
        <f>"王也"</f>
        <v>王也</v>
      </c>
      <c r="E1200" s="7" t="str">
        <f>"男"</f>
        <v>男</v>
      </c>
    </row>
    <row r="1201" spans="1:5" ht="30" customHeight="1">
      <c r="A1201" s="6">
        <v>1199</v>
      </c>
      <c r="B1201" s="7" t="str">
        <f>"2773202012222308581874"</f>
        <v>2773202012222308581874</v>
      </c>
      <c r="C1201" s="7" t="s">
        <v>19</v>
      </c>
      <c r="D1201" s="7" t="str">
        <f>"王劲"</f>
        <v>王劲</v>
      </c>
      <c r="E1201" s="7" t="str">
        <f>"男"</f>
        <v>男</v>
      </c>
    </row>
    <row r="1202" spans="1:5" ht="30" customHeight="1">
      <c r="A1202" s="6">
        <v>1200</v>
      </c>
      <c r="B1202" s="7" t="str">
        <f>"2773202012222325071880"</f>
        <v>2773202012222325071880</v>
      </c>
      <c r="C1202" s="7" t="s">
        <v>19</v>
      </c>
      <c r="D1202" s="7" t="str">
        <f>"符小康"</f>
        <v>符小康</v>
      </c>
      <c r="E1202" s="7" t="str">
        <f>"男"</f>
        <v>男</v>
      </c>
    </row>
    <row r="1203" spans="1:5" ht="30" customHeight="1">
      <c r="A1203" s="6">
        <v>1201</v>
      </c>
      <c r="B1203" s="7" t="str">
        <f>"2773202012222328461881"</f>
        <v>2773202012222328461881</v>
      </c>
      <c r="C1203" s="7" t="s">
        <v>19</v>
      </c>
      <c r="D1203" s="7" t="str">
        <f>"刘淑娟"</f>
        <v>刘淑娟</v>
      </c>
      <c r="E1203" s="7" t="str">
        <f>"女"</f>
        <v>女</v>
      </c>
    </row>
    <row r="1204" spans="1:5" ht="30" customHeight="1">
      <c r="A1204" s="6">
        <v>1202</v>
      </c>
      <c r="B1204" s="7" t="str">
        <f>"2773202012222333321882"</f>
        <v>2773202012222333321882</v>
      </c>
      <c r="C1204" s="7" t="s">
        <v>19</v>
      </c>
      <c r="D1204" s="7" t="str">
        <f>"陈慧敏"</f>
        <v>陈慧敏</v>
      </c>
      <c r="E1204" s="7" t="str">
        <f>"女"</f>
        <v>女</v>
      </c>
    </row>
    <row r="1205" spans="1:5" ht="30" customHeight="1">
      <c r="A1205" s="6">
        <v>1203</v>
      </c>
      <c r="B1205" s="7" t="str">
        <f>"2773202012230814231895"</f>
        <v>2773202012230814231895</v>
      </c>
      <c r="C1205" s="7" t="s">
        <v>19</v>
      </c>
      <c r="D1205" s="7" t="str">
        <f>"符董宇"</f>
        <v>符董宇</v>
      </c>
      <c r="E1205" s="7" t="str">
        <f>"男"</f>
        <v>男</v>
      </c>
    </row>
    <row r="1206" spans="1:5" ht="30" customHeight="1">
      <c r="A1206" s="6">
        <v>1204</v>
      </c>
      <c r="B1206" s="7" t="str">
        <f>"2773202012230816221896"</f>
        <v>2773202012230816221896</v>
      </c>
      <c r="C1206" s="7" t="s">
        <v>19</v>
      </c>
      <c r="D1206" s="7" t="str">
        <f>"钟宝"</f>
        <v>钟宝</v>
      </c>
      <c r="E1206" s="7" t="str">
        <f>"男"</f>
        <v>男</v>
      </c>
    </row>
    <row r="1207" spans="1:5" ht="30" customHeight="1">
      <c r="A1207" s="6">
        <v>1205</v>
      </c>
      <c r="B1207" s="7" t="str">
        <f>"2773202012230830341897"</f>
        <v>2773202012230830341897</v>
      </c>
      <c r="C1207" s="7" t="s">
        <v>19</v>
      </c>
      <c r="D1207" s="7" t="str">
        <f>"符照飞"</f>
        <v>符照飞</v>
      </c>
      <c r="E1207" s="7" t="str">
        <f>"男"</f>
        <v>男</v>
      </c>
    </row>
    <row r="1208" spans="1:5" ht="30" customHeight="1">
      <c r="A1208" s="6">
        <v>1206</v>
      </c>
      <c r="B1208" s="7" t="str">
        <f>"2773202012230838411899"</f>
        <v>2773202012230838411899</v>
      </c>
      <c r="C1208" s="7" t="s">
        <v>19</v>
      </c>
      <c r="D1208" s="7" t="str">
        <f>"杜玉军"</f>
        <v>杜玉军</v>
      </c>
      <c r="E1208" s="7" t="str">
        <f>"女"</f>
        <v>女</v>
      </c>
    </row>
    <row r="1209" spans="1:5" ht="30" customHeight="1">
      <c r="A1209" s="6">
        <v>1207</v>
      </c>
      <c r="B1209" s="7" t="str">
        <f>"2773202012230844361901"</f>
        <v>2773202012230844361901</v>
      </c>
      <c r="C1209" s="7" t="s">
        <v>19</v>
      </c>
      <c r="D1209" s="7" t="str">
        <f>"符仕媚"</f>
        <v>符仕媚</v>
      </c>
      <c r="E1209" s="7" t="str">
        <f>"女"</f>
        <v>女</v>
      </c>
    </row>
    <row r="1210" spans="1:5" ht="30" customHeight="1">
      <c r="A1210" s="6">
        <v>1208</v>
      </c>
      <c r="B1210" s="7" t="str">
        <f>"2773202012230924001910"</f>
        <v>2773202012230924001910</v>
      </c>
      <c r="C1210" s="7" t="s">
        <v>19</v>
      </c>
      <c r="D1210" s="7" t="str">
        <f>"刘文理"</f>
        <v>刘文理</v>
      </c>
      <c r="E1210" s="7" t="str">
        <f>"男"</f>
        <v>男</v>
      </c>
    </row>
    <row r="1211" spans="1:5" ht="30" customHeight="1">
      <c r="A1211" s="6">
        <v>1209</v>
      </c>
      <c r="B1211" s="7" t="str">
        <f>"2773202012231035221918"</f>
        <v>2773202012231035221918</v>
      </c>
      <c r="C1211" s="7" t="s">
        <v>19</v>
      </c>
      <c r="D1211" s="7" t="str">
        <f>"王集银"</f>
        <v>王集银</v>
      </c>
      <c r="E1211" s="7" t="str">
        <f>"男"</f>
        <v>男</v>
      </c>
    </row>
    <row r="1212" spans="1:5" ht="30" customHeight="1">
      <c r="A1212" s="6">
        <v>1210</v>
      </c>
      <c r="B1212" s="7" t="str">
        <f>"2773202012231105551924"</f>
        <v>2773202012231105551924</v>
      </c>
      <c r="C1212" s="7" t="s">
        <v>19</v>
      </c>
      <c r="D1212" s="7" t="str">
        <f>"符家丽"</f>
        <v>符家丽</v>
      </c>
      <c r="E1212" s="7" t="str">
        <f>"女"</f>
        <v>女</v>
      </c>
    </row>
    <row r="1213" spans="1:5" ht="30" customHeight="1">
      <c r="A1213" s="6">
        <v>1211</v>
      </c>
      <c r="B1213" s="7" t="str">
        <f>"2773202012231129421930"</f>
        <v>2773202012231129421930</v>
      </c>
      <c r="C1213" s="7" t="s">
        <v>19</v>
      </c>
      <c r="D1213" s="7" t="str">
        <f>"王康斌"</f>
        <v>王康斌</v>
      </c>
      <c r="E1213" s="7" t="str">
        <f>"男"</f>
        <v>男</v>
      </c>
    </row>
    <row r="1214" spans="1:5" ht="30" customHeight="1">
      <c r="A1214" s="6">
        <v>1212</v>
      </c>
      <c r="B1214" s="7" t="str">
        <f>"2773202012231205351936"</f>
        <v>2773202012231205351936</v>
      </c>
      <c r="C1214" s="7" t="s">
        <v>19</v>
      </c>
      <c r="D1214" s="7" t="str">
        <f>"包秋艳"</f>
        <v>包秋艳</v>
      </c>
      <c r="E1214" s="7" t="str">
        <f>"女"</f>
        <v>女</v>
      </c>
    </row>
    <row r="1215" spans="1:5" ht="30" customHeight="1">
      <c r="A1215" s="6">
        <v>1213</v>
      </c>
      <c r="B1215" s="7" t="str">
        <f>"2773202012231308241948"</f>
        <v>2773202012231308241948</v>
      </c>
      <c r="C1215" s="7" t="s">
        <v>19</v>
      </c>
      <c r="D1215" s="7" t="str">
        <f>"符永秀"</f>
        <v>符永秀</v>
      </c>
      <c r="E1215" s="7" t="str">
        <f>"女"</f>
        <v>女</v>
      </c>
    </row>
    <row r="1216" spans="1:5" ht="30" customHeight="1">
      <c r="A1216" s="6">
        <v>1214</v>
      </c>
      <c r="B1216" s="7" t="str">
        <f>"2773202012231446551958"</f>
        <v>2773202012231446551958</v>
      </c>
      <c r="C1216" s="7" t="s">
        <v>19</v>
      </c>
      <c r="D1216" s="7" t="str">
        <f>"黄茜"</f>
        <v>黄茜</v>
      </c>
      <c r="E1216" s="7" t="str">
        <f>"女"</f>
        <v>女</v>
      </c>
    </row>
    <row r="1217" spans="1:5" ht="30" customHeight="1">
      <c r="A1217" s="6">
        <v>1215</v>
      </c>
      <c r="B1217" s="7" t="str">
        <f>"2773202012231500371960"</f>
        <v>2773202012231500371960</v>
      </c>
      <c r="C1217" s="7" t="s">
        <v>19</v>
      </c>
      <c r="D1217" s="7" t="str">
        <f>"刘亚妹"</f>
        <v>刘亚妹</v>
      </c>
      <c r="E1217" s="7" t="str">
        <f>"女"</f>
        <v>女</v>
      </c>
    </row>
    <row r="1218" spans="1:5" ht="30" customHeight="1">
      <c r="A1218" s="6">
        <v>1216</v>
      </c>
      <c r="B1218" s="7" t="str">
        <f>"2773202012231600421980"</f>
        <v>2773202012231600421980</v>
      </c>
      <c r="C1218" s="7" t="s">
        <v>19</v>
      </c>
      <c r="D1218" s="7" t="str">
        <f>"何倩敏"</f>
        <v>何倩敏</v>
      </c>
      <c r="E1218" s="7" t="str">
        <f>"女"</f>
        <v>女</v>
      </c>
    </row>
    <row r="1219" spans="1:5" ht="30" customHeight="1">
      <c r="A1219" s="6">
        <v>1217</v>
      </c>
      <c r="B1219" s="7" t="str">
        <f>"27732020121709034912"</f>
        <v>27732020121709034912</v>
      </c>
      <c r="C1219" s="7" t="s">
        <v>20</v>
      </c>
      <c r="D1219" s="7" t="str">
        <f>"曾维欢"</f>
        <v>曾维欢</v>
      </c>
      <c r="E1219" s="7" t="str">
        <f>"男"</f>
        <v>男</v>
      </c>
    </row>
    <row r="1220" spans="1:5" ht="30" customHeight="1">
      <c r="A1220" s="6">
        <v>1218</v>
      </c>
      <c r="B1220" s="7" t="str">
        <f>"277320201217094130109"</f>
        <v>277320201217094130109</v>
      </c>
      <c r="C1220" s="7" t="s">
        <v>20</v>
      </c>
      <c r="D1220" s="7" t="str">
        <f>"符紫伊"</f>
        <v>符紫伊</v>
      </c>
      <c r="E1220" s="7" t="str">
        <f aca="true" t="shared" si="37" ref="E1220:E1226">"女"</f>
        <v>女</v>
      </c>
    </row>
    <row r="1221" spans="1:5" ht="30" customHeight="1">
      <c r="A1221" s="6">
        <v>1219</v>
      </c>
      <c r="B1221" s="7" t="str">
        <f>"277320201217145422462"</f>
        <v>277320201217145422462</v>
      </c>
      <c r="C1221" s="7" t="s">
        <v>20</v>
      </c>
      <c r="D1221" s="7" t="str">
        <f>"王婧莹"</f>
        <v>王婧莹</v>
      </c>
      <c r="E1221" s="7" t="str">
        <f t="shared" si="37"/>
        <v>女</v>
      </c>
    </row>
    <row r="1222" spans="1:5" ht="30" customHeight="1">
      <c r="A1222" s="6">
        <v>1220</v>
      </c>
      <c r="B1222" s="7" t="str">
        <f>"277320201217195014682"</f>
        <v>277320201217195014682</v>
      </c>
      <c r="C1222" s="7" t="s">
        <v>20</v>
      </c>
      <c r="D1222" s="7" t="str">
        <f>"吴碧荘"</f>
        <v>吴碧荘</v>
      </c>
      <c r="E1222" s="7" t="str">
        <f t="shared" si="37"/>
        <v>女</v>
      </c>
    </row>
    <row r="1223" spans="1:5" ht="30" customHeight="1">
      <c r="A1223" s="6">
        <v>1221</v>
      </c>
      <c r="B1223" s="7" t="str">
        <f>"2773202012181654311027"</f>
        <v>2773202012181654311027</v>
      </c>
      <c r="C1223" s="7" t="s">
        <v>20</v>
      </c>
      <c r="D1223" s="7" t="str">
        <f>"孙小晴"</f>
        <v>孙小晴</v>
      </c>
      <c r="E1223" s="7" t="str">
        <f t="shared" si="37"/>
        <v>女</v>
      </c>
    </row>
    <row r="1224" spans="1:5" ht="30" customHeight="1">
      <c r="A1224" s="6">
        <v>1222</v>
      </c>
      <c r="B1224" s="7" t="str">
        <f>"2773202012191644481209"</f>
        <v>2773202012191644481209</v>
      </c>
      <c r="C1224" s="7" t="s">
        <v>20</v>
      </c>
      <c r="D1224" s="7" t="str">
        <f>"刘小温"</f>
        <v>刘小温</v>
      </c>
      <c r="E1224" s="7" t="str">
        <f t="shared" si="37"/>
        <v>女</v>
      </c>
    </row>
    <row r="1225" spans="1:5" ht="30" customHeight="1">
      <c r="A1225" s="6">
        <v>1223</v>
      </c>
      <c r="B1225" s="7" t="str">
        <f>"2773202012210837511459"</f>
        <v>2773202012210837511459</v>
      </c>
      <c r="C1225" s="7" t="s">
        <v>20</v>
      </c>
      <c r="D1225" s="7" t="str">
        <f>"刘玉娇"</f>
        <v>刘玉娇</v>
      </c>
      <c r="E1225" s="7" t="str">
        <f t="shared" si="37"/>
        <v>女</v>
      </c>
    </row>
    <row r="1226" spans="1:5" ht="30" customHeight="1">
      <c r="A1226" s="6">
        <v>1224</v>
      </c>
      <c r="B1226" s="7" t="str">
        <f>"2773202012221044541714"</f>
        <v>2773202012221044541714</v>
      </c>
      <c r="C1226" s="7" t="s">
        <v>20</v>
      </c>
      <c r="D1226" s="7" t="str">
        <f>"蒋慧倩"</f>
        <v>蒋慧倩</v>
      </c>
      <c r="E1226" s="7" t="str">
        <f t="shared" si="37"/>
        <v>女</v>
      </c>
    </row>
    <row r="1227" spans="1:5" ht="30" customHeight="1">
      <c r="A1227" s="6">
        <v>1225</v>
      </c>
      <c r="B1227" s="7" t="str">
        <f>"277320201217193132673"</f>
        <v>277320201217193132673</v>
      </c>
      <c r="C1227" s="7" t="s">
        <v>21</v>
      </c>
      <c r="D1227" s="7" t="str">
        <f>"王健生"</f>
        <v>王健生</v>
      </c>
      <c r="E1227" s="7" t="str">
        <f>"男"</f>
        <v>男</v>
      </c>
    </row>
    <row r="1228" spans="1:5" ht="30" customHeight="1">
      <c r="A1228" s="6">
        <v>1226</v>
      </c>
      <c r="B1228" s="7" t="str">
        <f>"277320201218090128827"</f>
        <v>277320201218090128827</v>
      </c>
      <c r="C1228" s="7" t="s">
        <v>21</v>
      </c>
      <c r="D1228" s="7" t="str">
        <f>"赖佳禾"</f>
        <v>赖佳禾</v>
      </c>
      <c r="E1228" s="7" t="str">
        <f>"女"</f>
        <v>女</v>
      </c>
    </row>
    <row r="1229" spans="1:5" ht="30" customHeight="1">
      <c r="A1229" s="6">
        <v>1227</v>
      </c>
      <c r="B1229" s="7" t="str">
        <f>"2773202012192340411286"</f>
        <v>2773202012192340411286</v>
      </c>
      <c r="C1229" s="7" t="s">
        <v>21</v>
      </c>
      <c r="D1229" s="7" t="str">
        <f>"符彩媛"</f>
        <v>符彩媛</v>
      </c>
      <c r="E1229" s="7" t="str">
        <f>"女"</f>
        <v>女</v>
      </c>
    </row>
    <row r="1230" spans="1:5" ht="30" customHeight="1">
      <c r="A1230" s="6">
        <v>1228</v>
      </c>
      <c r="B1230" s="7" t="str">
        <f>"2773202012201949291392"</f>
        <v>2773202012201949291392</v>
      </c>
      <c r="C1230" s="7" t="s">
        <v>21</v>
      </c>
      <c r="D1230" s="7" t="str">
        <f>"杨莹"</f>
        <v>杨莹</v>
      </c>
      <c r="E1230" s="7" t="str">
        <f>"女"</f>
        <v>女</v>
      </c>
    </row>
    <row r="1231" spans="1:5" ht="30" customHeight="1">
      <c r="A1231" s="6">
        <v>1229</v>
      </c>
      <c r="B1231" s="7" t="str">
        <f>"277320201218091108835"</f>
        <v>277320201218091108835</v>
      </c>
      <c r="C1231" s="7" t="s">
        <v>22</v>
      </c>
      <c r="D1231" s="7" t="str">
        <f>"符运长"</f>
        <v>符运长</v>
      </c>
      <c r="E1231" s="7" t="str">
        <f>"男"</f>
        <v>男</v>
      </c>
    </row>
    <row r="1232" spans="1:5" ht="30" customHeight="1">
      <c r="A1232" s="6">
        <v>1230</v>
      </c>
      <c r="B1232" s="7" t="str">
        <f>"2773202012182141501112"</f>
        <v>2773202012182141501112</v>
      </c>
      <c r="C1232" s="7" t="s">
        <v>22</v>
      </c>
      <c r="D1232" s="7" t="str">
        <f>"陈玲"</f>
        <v>陈玲</v>
      </c>
      <c r="E1232" s="7" t="str">
        <f>"女"</f>
        <v>女</v>
      </c>
    </row>
    <row r="1233" spans="1:5" ht="30" customHeight="1">
      <c r="A1233" s="6">
        <v>1231</v>
      </c>
      <c r="B1233" s="7" t="str">
        <f>"2773202012211108421519"</f>
        <v>2773202012211108421519</v>
      </c>
      <c r="C1233" s="7" t="s">
        <v>22</v>
      </c>
      <c r="D1233" s="7" t="str">
        <f>"符永三"</f>
        <v>符永三</v>
      </c>
      <c r="E1233" s="7" t="str">
        <f>"男"</f>
        <v>男</v>
      </c>
    </row>
  </sheetData>
  <sheetProtection password="C188" sheet="1" objects="1"/>
  <autoFilter ref="A2:E1233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人社局收发员</cp:lastModifiedBy>
  <dcterms:created xsi:type="dcterms:W3CDTF">2020-12-25T06:27:55Z</dcterms:created>
  <dcterms:modified xsi:type="dcterms:W3CDTF">2021-01-04T11:46:27Z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