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合格）乐东黎族自治县2020年招聘县镇两级农产品质量检验检测" sheetId="1" r:id="rId1"/>
  </sheets>
  <definedNames/>
  <calcPr fullCalcOnLoad="1"/>
</workbook>
</file>

<file path=xl/sharedStrings.xml><?xml version="1.0" encoding="utf-8"?>
<sst xmlns="http://schemas.openxmlformats.org/spreadsheetml/2006/main" count="350" uniqueCount="20">
  <si>
    <t>附件：乐东黎族自治县2020年招聘县镇两级农产品质量检验检测站农产品质量检验检测员（编外人员）初审合格人员名单</t>
  </si>
  <si>
    <t>序号</t>
  </si>
  <si>
    <t>报考号</t>
  </si>
  <si>
    <t>报考岗位</t>
  </si>
  <si>
    <t>姓名</t>
  </si>
  <si>
    <t>性别</t>
  </si>
  <si>
    <t>出生年月</t>
  </si>
  <si>
    <t>备注</t>
  </si>
  <si>
    <t>0101_农产品质量检验检测员</t>
  </si>
  <si>
    <t>0102_农产品质量检验检测员</t>
  </si>
  <si>
    <t>0103_农产品质量检验检测员</t>
  </si>
  <si>
    <t>0104_农产品质量检验检测员</t>
  </si>
  <si>
    <t>0105_农产品质量检验检测员</t>
  </si>
  <si>
    <t>0106_农产品质量检验检测员</t>
  </si>
  <si>
    <t>0107_农产品质量检验检测员</t>
  </si>
  <si>
    <t>0108_农产品质量检验检测员</t>
  </si>
  <si>
    <t>0109_农产品质量检验检测员</t>
  </si>
  <si>
    <t>0110_农产品质量检验检测员</t>
  </si>
  <si>
    <t>0111_农产品质量检验检测员</t>
  </si>
  <si>
    <t>0112_农产品质量检验检测员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</si>
</sst>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4"/>
  <sheetViews>
    <sheetView tabSelected="1" zoomScalePageLayoutView="0" workbookViewId="0" topLeftCell="A334">
      <selection activeCell="C344" sqref="C344"/>
    </sheetView>
  </sheetViews>
  <sheetFormatPr defaultColWidth="9.00390625" defaultRowHeight="19.5" customHeight="1"/>
  <cols>
    <col min="1" max="1" width="5.421875" style="1" customWidth="1"/>
    <col min="2" max="2" width="21.57421875" style="0" customWidth="1"/>
    <col min="3" max="3" width="26.8515625" style="0" customWidth="1"/>
    <col min="5" max="5" width="4.57421875" style="0" customWidth="1"/>
    <col min="6" max="6" width="10.57421875" style="0" customWidth="1"/>
    <col min="7" max="7" width="8.00390625" style="0" customWidth="1"/>
  </cols>
  <sheetData>
    <row r="1" spans="1:7" ht="61.5" customHeight="1">
      <c r="A1" s="6" t="s">
        <v>0</v>
      </c>
      <c r="B1" s="6"/>
      <c r="C1" s="6"/>
      <c r="D1" s="6"/>
      <c r="E1" s="6"/>
      <c r="F1" s="6"/>
      <c r="G1" s="6"/>
    </row>
    <row r="2" spans="1:7" ht="34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>
        <v>1</v>
      </c>
      <c r="B3" s="5" t="str">
        <f>"27542020120309314610"</f>
        <v>27542020120309314610</v>
      </c>
      <c r="C3" s="5" t="s">
        <v>8</v>
      </c>
      <c r="D3" s="5" t="str">
        <f>"周运超"</f>
        <v>周运超</v>
      </c>
      <c r="E3" s="5" t="str">
        <f>"男"</f>
        <v>男</v>
      </c>
      <c r="F3" s="5" t="str">
        <f>"1985-07-01"</f>
        <v>1985-07-01</v>
      </c>
      <c r="G3" s="5"/>
    </row>
    <row r="4" spans="1:7" ht="19.5" customHeight="1">
      <c r="A4" s="4">
        <v>2</v>
      </c>
      <c r="B4" s="5" t="str">
        <f>"27542020120310060520"</f>
        <v>27542020120310060520</v>
      </c>
      <c r="C4" s="5" t="s">
        <v>8</v>
      </c>
      <c r="D4" s="5" t="str">
        <f>"许萍"</f>
        <v>许萍</v>
      </c>
      <c r="E4" s="5" t="str">
        <f>"女"</f>
        <v>女</v>
      </c>
      <c r="F4" s="5" t="str">
        <f>"1988-12-10"</f>
        <v>1988-12-10</v>
      </c>
      <c r="G4" s="5"/>
    </row>
    <row r="5" spans="1:7" ht="19.5" customHeight="1">
      <c r="A5" s="4">
        <v>3</v>
      </c>
      <c r="B5" s="5" t="str">
        <f>"27542020120310112721"</f>
        <v>27542020120310112721</v>
      </c>
      <c r="C5" s="5" t="s">
        <v>8</v>
      </c>
      <c r="D5" s="5" t="str">
        <f>"何长珏"</f>
        <v>何长珏</v>
      </c>
      <c r="E5" s="5" t="str">
        <f>"女"</f>
        <v>女</v>
      </c>
      <c r="F5" s="5" t="str">
        <f>"1995-08-14"</f>
        <v>1995-08-14</v>
      </c>
      <c r="G5" s="5"/>
    </row>
    <row r="6" spans="1:7" ht="19.5" customHeight="1">
      <c r="A6" s="4">
        <v>4</v>
      </c>
      <c r="B6" s="5" t="str">
        <f>"27542020120310134823"</f>
        <v>27542020120310134823</v>
      </c>
      <c r="C6" s="5" t="s">
        <v>8</v>
      </c>
      <c r="D6" s="5" t="str">
        <f>"董澜"</f>
        <v>董澜</v>
      </c>
      <c r="E6" s="5" t="str">
        <f>"女"</f>
        <v>女</v>
      </c>
      <c r="F6" s="5" t="str">
        <f>"1997-08-28"</f>
        <v>1997-08-28</v>
      </c>
      <c r="G6" s="5"/>
    </row>
    <row r="7" spans="1:7" ht="19.5" customHeight="1">
      <c r="A7" s="4">
        <v>5</v>
      </c>
      <c r="B7" s="5" t="str">
        <f>"27542020120310354427"</f>
        <v>27542020120310354427</v>
      </c>
      <c r="C7" s="5" t="s">
        <v>8</v>
      </c>
      <c r="D7" s="5" t="str">
        <f>"陈运发"</f>
        <v>陈运发</v>
      </c>
      <c r="E7" s="5" t="str">
        <f>"男"</f>
        <v>男</v>
      </c>
      <c r="F7" s="5" t="str">
        <f>"1989-06-15"</f>
        <v>1989-06-15</v>
      </c>
      <c r="G7" s="5"/>
    </row>
    <row r="8" spans="1:7" ht="19.5" customHeight="1">
      <c r="A8" s="4">
        <v>6</v>
      </c>
      <c r="B8" s="5" t="str">
        <f>"27542020120310495830"</f>
        <v>27542020120310495830</v>
      </c>
      <c r="C8" s="5" t="s">
        <v>8</v>
      </c>
      <c r="D8" s="5" t="str">
        <f>"林潇萌"</f>
        <v>林潇萌</v>
      </c>
      <c r="E8" s="5" t="str">
        <f>"女"</f>
        <v>女</v>
      </c>
      <c r="F8" s="5" t="str">
        <f>"1995-01-01"</f>
        <v>1995-01-01</v>
      </c>
      <c r="G8" s="5"/>
    </row>
    <row r="9" spans="1:7" ht="19.5" customHeight="1">
      <c r="A9" s="4">
        <v>7</v>
      </c>
      <c r="B9" s="5" t="str">
        <f>"27542020120310500531"</f>
        <v>27542020120310500531</v>
      </c>
      <c r="C9" s="5" t="s">
        <v>8</v>
      </c>
      <c r="D9" s="5" t="str">
        <f>"王俊强"</f>
        <v>王俊强</v>
      </c>
      <c r="E9" s="5" t="str">
        <f>"男"</f>
        <v>男</v>
      </c>
      <c r="F9" s="5" t="str">
        <f>"1992-09-12"</f>
        <v>1992-09-12</v>
      </c>
      <c r="G9" s="5"/>
    </row>
    <row r="10" spans="1:7" ht="19.5" customHeight="1">
      <c r="A10" s="4">
        <v>8</v>
      </c>
      <c r="B10" s="5" t="str">
        <f>"27542020120310523434"</f>
        <v>27542020120310523434</v>
      </c>
      <c r="C10" s="5" t="s">
        <v>8</v>
      </c>
      <c r="D10" s="5" t="str">
        <f>"葛彩航"</f>
        <v>葛彩航</v>
      </c>
      <c r="E10" s="5" t="str">
        <f>"女"</f>
        <v>女</v>
      </c>
      <c r="F10" s="5" t="str">
        <f>"1990-08-25"</f>
        <v>1990-08-25</v>
      </c>
      <c r="G10" s="5"/>
    </row>
    <row r="11" spans="1:7" ht="19.5" customHeight="1">
      <c r="A11" s="4">
        <v>9</v>
      </c>
      <c r="B11" s="5" t="str">
        <f>"27542020120310561635"</f>
        <v>27542020120310561635</v>
      </c>
      <c r="C11" s="5" t="s">
        <v>8</v>
      </c>
      <c r="D11" s="5" t="str">
        <f>"羊大勇"</f>
        <v>羊大勇</v>
      </c>
      <c r="E11" s="5" t="str">
        <f>"男"</f>
        <v>男</v>
      </c>
      <c r="F11" s="5" t="str">
        <f>"1982-08-21"</f>
        <v>1982-08-21</v>
      </c>
      <c r="G11" s="5"/>
    </row>
    <row r="12" spans="1:7" ht="19.5" customHeight="1">
      <c r="A12" s="4">
        <v>10</v>
      </c>
      <c r="B12" s="5" t="str">
        <f>"27542020120310581136"</f>
        <v>27542020120310581136</v>
      </c>
      <c r="C12" s="5" t="s">
        <v>8</v>
      </c>
      <c r="D12" s="5" t="str">
        <f>"吴梅梅"</f>
        <v>吴梅梅</v>
      </c>
      <c r="E12" s="5" t="str">
        <f>"女"</f>
        <v>女</v>
      </c>
      <c r="F12" s="5" t="str">
        <f>"1989-05-17"</f>
        <v>1989-05-17</v>
      </c>
      <c r="G12" s="5"/>
    </row>
    <row r="13" spans="1:7" ht="19.5" customHeight="1">
      <c r="A13" s="4">
        <v>11</v>
      </c>
      <c r="B13" s="5" t="str">
        <f>"27542020120311061742"</f>
        <v>27542020120311061742</v>
      </c>
      <c r="C13" s="5" t="s">
        <v>8</v>
      </c>
      <c r="D13" s="5" t="str">
        <f>"李昌辉"</f>
        <v>李昌辉</v>
      </c>
      <c r="E13" s="5" t="str">
        <f aca="true" t="shared" si="0" ref="E13:E18">"男"</f>
        <v>男</v>
      </c>
      <c r="F13" s="5" t="str">
        <f>"1997-11-24"</f>
        <v>1997-11-24</v>
      </c>
      <c r="G13" s="5"/>
    </row>
    <row r="14" spans="1:7" ht="19.5" customHeight="1">
      <c r="A14" s="4">
        <v>12</v>
      </c>
      <c r="B14" s="5" t="str">
        <f>"27542020120312161251"</f>
        <v>27542020120312161251</v>
      </c>
      <c r="C14" s="5" t="s">
        <v>8</v>
      </c>
      <c r="D14" s="5" t="str">
        <f>"陈雪"</f>
        <v>陈雪</v>
      </c>
      <c r="E14" s="5" t="str">
        <f>"女"</f>
        <v>女</v>
      </c>
      <c r="F14" s="5" t="str">
        <f>"1990-09-27"</f>
        <v>1990-09-27</v>
      </c>
      <c r="G14" s="5"/>
    </row>
    <row r="15" spans="1:7" ht="19.5" customHeight="1">
      <c r="A15" s="4">
        <v>13</v>
      </c>
      <c r="B15" s="5" t="str">
        <f>"27542020120312295053"</f>
        <v>27542020120312295053</v>
      </c>
      <c r="C15" s="5" t="s">
        <v>8</v>
      </c>
      <c r="D15" s="5" t="str">
        <f>"纪新候"</f>
        <v>纪新候</v>
      </c>
      <c r="E15" s="5" t="str">
        <f t="shared" si="0"/>
        <v>男</v>
      </c>
      <c r="F15" s="5" t="str">
        <f>"1996-01-18"</f>
        <v>1996-01-18</v>
      </c>
      <c r="G15" s="5"/>
    </row>
    <row r="16" spans="1:7" ht="19.5" customHeight="1">
      <c r="A16" s="4">
        <v>14</v>
      </c>
      <c r="B16" s="5" t="str">
        <f>"27542020120313234659"</f>
        <v>27542020120313234659</v>
      </c>
      <c r="C16" s="5" t="s">
        <v>8</v>
      </c>
      <c r="D16" s="5" t="str">
        <f>"冯冠鸣"</f>
        <v>冯冠鸣</v>
      </c>
      <c r="E16" s="5" t="str">
        <f t="shared" si="0"/>
        <v>男</v>
      </c>
      <c r="F16" s="5" t="str">
        <f>"1995-10-28"</f>
        <v>1995-10-28</v>
      </c>
      <c r="G16" s="5"/>
    </row>
    <row r="17" spans="1:7" ht="19.5" customHeight="1">
      <c r="A17" s="4">
        <v>15</v>
      </c>
      <c r="B17" s="5" t="str">
        <f>"27542020120314153962"</f>
        <v>27542020120314153962</v>
      </c>
      <c r="C17" s="5" t="s">
        <v>8</v>
      </c>
      <c r="D17" s="5" t="str">
        <f>"林建垂"</f>
        <v>林建垂</v>
      </c>
      <c r="E17" s="5" t="str">
        <f t="shared" si="0"/>
        <v>男</v>
      </c>
      <c r="F17" s="5" t="str">
        <f>"1994-07-29"</f>
        <v>1994-07-29</v>
      </c>
      <c r="G17" s="5"/>
    </row>
    <row r="18" spans="1:7" ht="19.5" customHeight="1">
      <c r="A18" s="4">
        <v>16</v>
      </c>
      <c r="B18" s="5" t="str">
        <f>"27542020120314413864"</f>
        <v>27542020120314413864</v>
      </c>
      <c r="C18" s="5" t="s">
        <v>8</v>
      </c>
      <c r="D18" s="5" t="str">
        <f>"钱光耀"</f>
        <v>钱光耀</v>
      </c>
      <c r="E18" s="5" t="str">
        <f t="shared" si="0"/>
        <v>男</v>
      </c>
      <c r="F18" s="5" t="str">
        <f>"1988-04-04"</f>
        <v>1988-04-04</v>
      </c>
      <c r="G18" s="5"/>
    </row>
    <row r="19" spans="1:7" ht="19.5" customHeight="1">
      <c r="A19" s="4">
        <v>17</v>
      </c>
      <c r="B19" s="5" t="str">
        <f>"27542020120315041066"</f>
        <v>27542020120315041066</v>
      </c>
      <c r="C19" s="5" t="s">
        <v>8</v>
      </c>
      <c r="D19" s="5" t="str">
        <f>"林晶晶"</f>
        <v>林晶晶</v>
      </c>
      <c r="E19" s="5" t="str">
        <f>"女"</f>
        <v>女</v>
      </c>
      <c r="F19" s="5" t="str">
        <f>"1987-12-25"</f>
        <v>1987-12-25</v>
      </c>
      <c r="G19" s="5"/>
    </row>
    <row r="20" spans="1:7" ht="19.5" customHeight="1">
      <c r="A20" s="4">
        <v>18</v>
      </c>
      <c r="B20" s="5" t="str">
        <f>"27542020120315133467"</f>
        <v>27542020120315133467</v>
      </c>
      <c r="C20" s="5" t="s">
        <v>8</v>
      </c>
      <c r="D20" s="5" t="str">
        <f>"蔡伟杰"</f>
        <v>蔡伟杰</v>
      </c>
      <c r="E20" s="5" t="str">
        <f aca="true" t="shared" si="1" ref="E20:E27">"男"</f>
        <v>男</v>
      </c>
      <c r="F20" s="5" t="str">
        <f>"1980-09-07"</f>
        <v>1980-09-07</v>
      </c>
      <c r="G20" s="5"/>
    </row>
    <row r="21" spans="1:7" ht="19.5" customHeight="1">
      <c r="A21" s="4">
        <v>19</v>
      </c>
      <c r="B21" s="5" t="str">
        <f>"27542020120316174973"</f>
        <v>27542020120316174973</v>
      </c>
      <c r="C21" s="5" t="s">
        <v>8</v>
      </c>
      <c r="D21" s="5" t="str">
        <f>"王小倩"</f>
        <v>王小倩</v>
      </c>
      <c r="E21" s="5" t="str">
        <f>"女"</f>
        <v>女</v>
      </c>
      <c r="F21" s="5" t="str">
        <f>"1989-04-14"</f>
        <v>1989-04-14</v>
      </c>
      <c r="G21" s="5"/>
    </row>
    <row r="22" spans="1:7" ht="19.5" customHeight="1">
      <c r="A22" s="4">
        <v>20</v>
      </c>
      <c r="B22" s="5" t="str">
        <f>"27542020120316185574"</f>
        <v>27542020120316185574</v>
      </c>
      <c r="C22" s="5" t="s">
        <v>8</v>
      </c>
      <c r="D22" s="5" t="str">
        <f>"罗美"</f>
        <v>罗美</v>
      </c>
      <c r="E22" s="5" t="str">
        <f>"女"</f>
        <v>女</v>
      </c>
      <c r="F22" s="5" t="str">
        <f>"1990-03-11"</f>
        <v>1990-03-11</v>
      </c>
      <c r="G22" s="5"/>
    </row>
    <row r="23" spans="1:7" ht="19.5" customHeight="1">
      <c r="A23" s="4">
        <v>21</v>
      </c>
      <c r="B23" s="5" t="str">
        <f>"27542020120316355278"</f>
        <v>27542020120316355278</v>
      </c>
      <c r="C23" s="5" t="s">
        <v>8</v>
      </c>
      <c r="D23" s="5" t="str">
        <f>"黎肇英"</f>
        <v>黎肇英</v>
      </c>
      <c r="E23" s="5" t="str">
        <f t="shared" si="1"/>
        <v>男</v>
      </c>
      <c r="F23" s="5" t="str">
        <f>"1995-08-23"</f>
        <v>1995-08-23</v>
      </c>
      <c r="G23" s="5"/>
    </row>
    <row r="24" spans="1:7" ht="19.5" customHeight="1">
      <c r="A24" s="4">
        <v>22</v>
      </c>
      <c r="B24" s="5" t="str">
        <f>"27542020120318284689"</f>
        <v>27542020120318284689</v>
      </c>
      <c r="C24" s="5" t="s">
        <v>8</v>
      </c>
      <c r="D24" s="5" t="str">
        <f>"高亚志"</f>
        <v>高亚志</v>
      </c>
      <c r="E24" s="5" t="str">
        <f t="shared" si="1"/>
        <v>男</v>
      </c>
      <c r="F24" s="5" t="str">
        <f>"1993-04-30"</f>
        <v>1993-04-30</v>
      </c>
      <c r="G24" s="5"/>
    </row>
    <row r="25" spans="1:7" ht="19.5" customHeight="1">
      <c r="A25" s="4">
        <v>23</v>
      </c>
      <c r="B25" s="5" t="str">
        <f>"27542020120318451992"</f>
        <v>27542020120318451992</v>
      </c>
      <c r="C25" s="5" t="s">
        <v>8</v>
      </c>
      <c r="D25" s="5" t="str">
        <f>"吴定哲"</f>
        <v>吴定哲</v>
      </c>
      <c r="E25" s="5" t="str">
        <f t="shared" si="1"/>
        <v>男</v>
      </c>
      <c r="F25" s="5" t="str">
        <f>"1989-01-21"</f>
        <v>1989-01-21</v>
      </c>
      <c r="G25" s="5"/>
    </row>
    <row r="26" spans="1:7" ht="19.5" customHeight="1">
      <c r="A26" s="4">
        <v>24</v>
      </c>
      <c r="B26" s="5" t="str">
        <f>"27542020120318525993"</f>
        <v>27542020120318525993</v>
      </c>
      <c r="C26" s="5" t="s">
        <v>8</v>
      </c>
      <c r="D26" s="5" t="str">
        <f>"夏义刚"</f>
        <v>夏义刚</v>
      </c>
      <c r="E26" s="5" t="str">
        <f t="shared" si="1"/>
        <v>男</v>
      </c>
      <c r="F26" s="5" t="str">
        <f>"1991-10-23"</f>
        <v>1991-10-23</v>
      </c>
      <c r="G26" s="5"/>
    </row>
    <row r="27" spans="1:7" ht="19.5" customHeight="1">
      <c r="A27" s="4">
        <v>25</v>
      </c>
      <c r="B27" s="5" t="str">
        <f>"27542020120319124995"</f>
        <v>27542020120319124995</v>
      </c>
      <c r="C27" s="5" t="s">
        <v>8</v>
      </c>
      <c r="D27" s="5" t="str">
        <f>"吴清锐"</f>
        <v>吴清锐</v>
      </c>
      <c r="E27" s="5" t="str">
        <f t="shared" si="1"/>
        <v>男</v>
      </c>
      <c r="F27" s="5" t="str">
        <f>"1994-01-20"</f>
        <v>1994-01-20</v>
      </c>
      <c r="G27" s="5"/>
    </row>
    <row r="28" spans="1:7" ht="19.5" customHeight="1">
      <c r="A28" s="4">
        <v>26</v>
      </c>
      <c r="B28" s="5" t="str">
        <f>"27542020120319422397"</f>
        <v>27542020120319422397</v>
      </c>
      <c r="C28" s="5" t="s">
        <v>8</v>
      </c>
      <c r="D28" s="5" t="str">
        <f>"唐颖"</f>
        <v>唐颖</v>
      </c>
      <c r="E28" s="5" t="str">
        <f>"女"</f>
        <v>女</v>
      </c>
      <c r="F28" s="5" t="str">
        <f>"1997-04-25"</f>
        <v>1997-04-25</v>
      </c>
      <c r="G28" s="5"/>
    </row>
    <row r="29" spans="1:7" ht="19.5" customHeight="1">
      <c r="A29" s="4">
        <v>27</v>
      </c>
      <c r="B29" s="5" t="str">
        <f>"275420201203205118105"</f>
        <v>275420201203205118105</v>
      </c>
      <c r="C29" s="5" t="s">
        <v>8</v>
      </c>
      <c r="D29" s="5" t="str">
        <f>"唐向梅"</f>
        <v>唐向梅</v>
      </c>
      <c r="E29" s="5" t="str">
        <f>"女"</f>
        <v>女</v>
      </c>
      <c r="F29" s="5" t="str">
        <f>"1988-07-20"</f>
        <v>1988-07-20</v>
      </c>
      <c r="G29" s="5"/>
    </row>
    <row r="30" spans="1:7" ht="19.5" customHeight="1">
      <c r="A30" s="4">
        <v>28</v>
      </c>
      <c r="B30" s="5" t="str">
        <f>"275420201203210309106"</f>
        <v>275420201203210309106</v>
      </c>
      <c r="C30" s="5" t="s">
        <v>8</v>
      </c>
      <c r="D30" s="5" t="str">
        <f>"林振之"</f>
        <v>林振之</v>
      </c>
      <c r="E30" s="5" t="str">
        <f>"男"</f>
        <v>男</v>
      </c>
      <c r="F30" s="5" t="str">
        <f>"1993-12-22"</f>
        <v>1993-12-22</v>
      </c>
      <c r="G30" s="5"/>
    </row>
    <row r="31" spans="1:7" ht="19.5" customHeight="1">
      <c r="A31" s="4">
        <v>29</v>
      </c>
      <c r="B31" s="5" t="str">
        <f>"275420201203212043109"</f>
        <v>275420201203212043109</v>
      </c>
      <c r="C31" s="5" t="s">
        <v>8</v>
      </c>
      <c r="D31" s="5" t="str">
        <f>"蔡嘉玉"</f>
        <v>蔡嘉玉</v>
      </c>
      <c r="E31" s="5" t="str">
        <f>"女"</f>
        <v>女</v>
      </c>
      <c r="F31" s="5" t="str">
        <f>"1992-09-14"</f>
        <v>1992-09-14</v>
      </c>
      <c r="G31" s="5"/>
    </row>
    <row r="32" spans="1:7" ht="19.5" customHeight="1">
      <c r="A32" s="4">
        <v>30</v>
      </c>
      <c r="B32" s="5" t="str">
        <f>"275420201203213415110"</f>
        <v>275420201203213415110</v>
      </c>
      <c r="C32" s="5" t="s">
        <v>8</v>
      </c>
      <c r="D32" s="5" t="str">
        <f>"黎柔雨"</f>
        <v>黎柔雨</v>
      </c>
      <c r="E32" s="5" t="str">
        <f>"女"</f>
        <v>女</v>
      </c>
      <c r="F32" s="5" t="str">
        <f>"1995-11-11"</f>
        <v>1995-11-11</v>
      </c>
      <c r="G32" s="5"/>
    </row>
    <row r="33" spans="1:7" ht="19.5" customHeight="1">
      <c r="A33" s="4">
        <v>31</v>
      </c>
      <c r="B33" s="5" t="str">
        <f>"275420201204032418116"</f>
        <v>275420201204032418116</v>
      </c>
      <c r="C33" s="5" t="s">
        <v>8</v>
      </c>
      <c r="D33" s="5" t="str">
        <f>"郑克清"</f>
        <v>郑克清</v>
      </c>
      <c r="E33" s="5" t="str">
        <f>"男"</f>
        <v>男</v>
      </c>
      <c r="F33" s="5" t="str">
        <f>"1986-12-09"</f>
        <v>1986-12-09</v>
      </c>
      <c r="G33" s="5"/>
    </row>
    <row r="34" spans="1:7" ht="19.5" customHeight="1">
      <c r="A34" s="4">
        <v>32</v>
      </c>
      <c r="B34" s="5" t="str">
        <f>"275420201204084019117"</f>
        <v>275420201204084019117</v>
      </c>
      <c r="C34" s="5" t="s">
        <v>8</v>
      </c>
      <c r="D34" s="5" t="str">
        <f>"李海娇"</f>
        <v>李海娇</v>
      </c>
      <c r="E34" s="5" t="str">
        <f>"女"</f>
        <v>女</v>
      </c>
      <c r="F34" s="5" t="str">
        <f>"1996-04-20"</f>
        <v>1996-04-20</v>
      </c>
      <c r="G34" s="5"/>
    </row>
    <row r="35" spans="1:7" ht="19.5" customHeight="1">
      <c r="A35" s="4">
        <v>33</v>
      </c>
      <c r="B35" s="5" t="str">
        <f>"275420201204093839122"</f>
        <v>275420201204093839122</v>
      </c>
      <c r="C35" s="5" t="s">
        <v>8</v>
      </c>
      <c r="D35" s="5" t="str">
        <f>"邢玉惠"</f>
        <v>邢玉惠</v>
      </c>
      <c r="E35" s="5" t="str">
        <f>"女"</f>
        <v>女</v>
      </c>
      <c r="F35" s="5" t="str">
        <f>"1990-05-22"</f>
        <v>1990-05-22</v>
      </c>
      <c r="G35" s="5"/>
    </row>
    <row r="36" spans="1:7" ht="19.5" customHeight="1">
      <c r="A36" s="4">
        <v>34</v>
      </c>
      <c r="B36" s="5" t="str">
        <f>"275420201204094935123"</f>
        <v>275420201204094935123</v>
      </c>
      <c r="C36" s="5" t="s">
        <v>8</v>
      </c>
      <c r="D36" s="5" t="str">
        <f>"陆亿"</f>
        <v>陆亿</v>
      </c>
      <c r="E36" s="5" t="str">
        <f>"女"</f>
        <v>女</v>
      </c>
      <c r="F36" s="5" t="str">
        <f>"1993-04-24"</f>
        <v>1993-04-24</v>
      </c>
      <c r="G36" s="5"/>
    </row>
    <row r="37" spans="1:7" ht="19.5" customHeight="1">
      <c r="A37" s="4">
        <v>35</v>
      </c>
      <c r="B37" s="5" t="str">
        <f>"275420201204095225124"</f>
        <v>275420201204095225124</v>
      </c>
      <c r="C37" s="5" t="s">
        <v>8</v>
      </c>
      <c r="D37" s="5" t="str">
        <f>"刘兰妹"</f>
        <v>刘兰妹</v>
      </c>
      <c r="E37" s="5" t="str">
        <f>"女"</f>
        <v>女</v>
      </c>
      <c r="F37" s="5" t="str">
        <f>"1996-10-18"</f>
        <v>1996-10-18</v>
      </c>
      <c r="G37" s="5"/>
    </row>
    <row r="38" spans="1:7" ht="19.5" customHeight="1">
      <c r="A38" s="4">
        <v>36</v>
      </c>
      <c r="B38" s="5" t="str">
        <f>"275420201204100650128"</f>
        <v>275420201204100650128</v>
      </c>
      <c r="C38" s="5" t="s">
        <v>8</v>
      </c>
      <c r="D38" s="5" t="str">
        <f>"陈丹"</f>
        <v>陈丹</v>
      </c>
      <c r="E38" s="5" t="str">
        <f>"女"</f>
        <v>女</v>
      </c>
      <c r="F38" s="5" t="str">
        <f>"1996-12-01"</f>
        <v>1996-12-01</v>
      </c>
      <c r="G38" s="5"/>
    </row>
    <row r="39" spans="1:7" ht="19.5" customHeight="1">
      <c r="A39" s="4">
        <v>37</v>
      </c>
      <c r="B39" s="5" t="str">
        <f>"275420201204103213133"</f>
        <v>275420201204103213133</v>
      </c>
      <c r="C39" s="5" t="s">
        <v>8</v>
      </c>
      <c r="D39" s="5" t="str">
        <f>"黄锐斌"</f>
        <v>黄锐斌</v>
      </c>
      <c r="E39" s="5" t="str">
        <f>"男"</f>
        <v>男</v>
      </c>
      <c r="F39" s="5" t="str">
        <f>"1996-01-28"</f>
        <v>1996-01-28</v>
      </c>
      <c r="G39" s="5"/>
    </row>
    <row r="40" spans="1:7" ht="19.5" customHeight="1">
      <c r="A40" s="4">
        <v>38</v>
      </c>
      <c r="B40" s="5" t="str">
        <f>"275420201204103841135"</f>
        <v>275420201204103841135</v>
      </c>
      <c r="C40" s="5" t="s">
        <v>8</v>
      </c>
      <c r="D40" s="5" t="str">
        <f>"陈颖"</f>
        <v>陈颖</v>
      </c>
      <c r="E40" s="5" t="str">
        <f>"女"</f>
        <v>女</v>
      </c>
      <c r="F40" s="5" t="str">
        <f>"1996-01-16"</f>
        <v>1996-01-16</v>
      </c>
      <c r="G40" s="5"/>
    </row>
    <row r="41" spans="1:7" ht="19.5" customHeight="1">
      <c r="A41" s="4">
        <v>39</v>
      </c>
      <c r="B41" s="5" t="str">
        <f>"275420201204104453137"</f>
        <v>275420201204104453137</v>
      </c>
      <c r="C41" s="5" t="s">
        <v>8</v>
      </c>
      <c r="D41" s="5" t="str">
        <f>"陈霖"</f>
        <v>陈霖</v>
      </c>
      <c r="E41" s="5" t="str">
        <f>"男"</f>
        <v>男</v>
      </c>
      <c r="F41" s="5" t="str">
        <f>"1991-07-29"</f>
        <v>1991-07-29</v>
      </c>
      <c r="G41" s="5"/>
    </row>
    <row r="42" spans="1:7" ht="19.5" customHeight="1">
      <c r="A42" s="4">
        <v>40</v>
      </c>
      <c r="B42" s="5" t="str">
        <f>"275420201204110907140"</f>
        <v>275420201204110907140</v>
      </c>
      <c r="C42" s="5" t="s">
        <v>8</v>
      </c>
      <c r="D42" s="5" t="str">
        <f>"刘晶晶"</f>
        <v>刘晶晶</v>
      </c>
      <c r="E42" s="5" t="str">
        <f>"女"</f>
        <v>女</v>
      </c>
      <c r="F42" s="5" t="str">
        <f>"1988-08-09"</f>
        <v>1988-08-09</v>
      </c>
      <c r="G42" s="5"/>
    </row>
    <row r="43" spans="1:7" ht="19.5" customHeight="1">
      <c r="A43" s="4">
        <v>41</v>
      </c>
      <c r="B43" s="5" t="str">
        <f>"275420201204120002146"</f>
        <v>275420201204120002146</v>
      </c>
      <c r="C43" s="5" t="s">
        <v>8</v>
      </c>
      <c r="D43" s="5" t="str">
        <f>"韦丽敏"</f>
        <v>韦丽敏</v>
      </c>
      <c r="E43" s="5" t="str">
        <f>"女"</f>
        <v>女</v>
      </c>
      <c r="F43" s="5" t="str">
        <f>"1993-10-08"</f>
        <v>1993-10-08</v>
      </c>
      <c r="G43" s="5"/>
    </row>
    <row r="44" spans="1:7" ht="19.5" customHeight="1">
      <c r="A44" s="4">
        <v>42</v>
      </c>
      <c r="B44" s="5" t="str">
        <f>"275420201204120326147"</f>
        <v>275420201204120326147</v>
      </c>
      <c r="C44" s="5" t="s">
        <v>8</v>
      </c>
      <c r="D44" s="5" t="str">
        <f>"刘玉炳"</f>
        <v>刘玉炳</v>
      </c>
      <c r="E44" s="5" t="str">
        <f>"女"</f>
        <v>女</v>
      </c>
      <c r="F44" s="5" t="str">
        <f>"1993-04-08"</f>
        <v>1993-04-08</v>
      </c>
      <c r="G44" s="5"/>
    </row>
    <row r="45" spans="1:7" ht="19.5" customHeight="1">
      <c r="A45" s="4">
        <v>43</v>
      </c>
      <c r="B45" s="5" t="str">
        <f>"275420201204122730149"</f>
        <v>275420201204122730149</v>
      </c>
      <c r="C45" s="5" t="s">
        <v>8</v>
      </c>
      <c r="D45" s="5" t="str">
        <f>"郑康旭"</f>
        <v>郑康旭</v>
      </c>
      <c r="E45" s="5" t="str">
        <f>"男"</f>
        <v>男</v>
      </c>
      <c r="F45" s="5" t="str">
        <f>"1995-02-17"</f>
        <v>1995-02-17</v>
      </c>
      <c r="G45" s="5"/>
    </row>
    <row r="46" spans="1:7" ht="19.5" customHeight="1">
      <c r="A46" s="4">
        <v>44</v>
      </c>
      <c r="B46" s="5" t="str">
        <f>"275420201204124803150"</f>
        <v>275420201204124803150</v>
      </c>
      <c r="C46" s="5" t="s">
        <v>8</v>
      </c>
      <c r="D46" s="5" t="str">
        <f>"陈虹蓉"</f>
        <v>陈虹蓉</v>
      </c>
      <c r="E46" s="5" t="str">
        <f>"女"</f>
        <v>女</v>
      </c>
      <c r="F46" s="5" t="str">
        <f>"1993-07-01"</f>
        <v>1993-07-01</v>
      </c>
      <c r="G46" s="5"/>
    </row>
    <row r="47" spans="1:7" ht="19.5" customHeight="1">
      <c r="A47" s="4">
        <v>45</v>
      </c>
      <c r="B47" s="5" t="str">
        <f>"275420201204125456151"</f>
        <v>275420201204125456151</v>
      </c>
      <c r="C47" s="5" t="s">
        <v>8</v>
      </c>
      <c r="D47" s="5" t="str">
        <f>"张莹"</f>
        <v>张莹</v>
      </c>
      <c r="E47" s="5" t="str">
        <f>"女"</f>
        <v>女</v>
      </c>
      <c r="F47" s="5" t="str">
        <f>"1993-10-06"</f>
        <v>1993-10-06</v>
      </c>
      <c r="G47" s="5"/>
    </row>
    <row r="48" spans="1:7" ht="19.5" customHeight="1">
      <c r="A48" s="4">
        <v>46</v>
      </c>
      <c r="B48" s="5" t="str">
        <f>"275420201204131227152"</f>
        <v>275420201204131227152</v>
      </c>
      <c r="C48" s="5" t="s">
        <v>8</v>
      </c>
      <c r="D48" s="5" t="str">
        <f>"凌慧"</f>
        <v>凌慧</v>
      </c>
      <c r="E48" s="5" t="str">
        <f>"女"</f>
        <v>女</v>
      </c>
      <c r="F48" s="5" t="str">
        <f>"1997-09-04"</f>
        <v>1997-09-04</v>
      </c>
      <c r="G48" s="5"/>
    </row>
    <row r="49" spans="1:7" ht="19.5" customHeight="1">
      <c r="A49" s="4">
        <v>47</v>
      </c>
      <c r="B49" s="5" t="str">
        <f>"275420201204134922154"</f>
        <v>275420201204134922154</v>
      </c>
      <c r="C49" s="5" t="s">
        <v>8</v>
      </c>
      <c r="D49" s="5" t="str">
        <f>"陈泽余"</f>
        <v>陈泽余</v>
      </c>
      <c r="E49" s="5" t="str">
        <f>"男"</f>
        <v>男</v>
      </c>
      <c r="F49" s="5" t="str">
        <f>"1997-07-23"</f>
        <v>1997-07-23</v>
      </c>
      <c r="G49" s="5"/>
    </row>
    <row r="50" spans="1:7" ht="19.5" customHeight="1">
      <c r="A50" s="4">
        <v>48</v>
      </c>
      <c r="B50" s="5" t="str">
        <f>"275420201204135227155"</f>
        <v>275420201204135227155</v>
      </c>
      <c r="C50" s="5" t="s">
        <v>8</v>
      </c>
      <c r="D50" s="5" t="str">
        <f>"黎方芸"</f>
        <v>黎方芸</v>
      </c>
      <c r="E50" s="5" t="str">
        <f>"女"</f>
        <v>女</v>
      </c>
      <c r="F50" s="5" t="str">
        <f>"1995-05-03"</f>
        <v>1995-05-03</v>
      </c>
      <c r="G50" s="5"/>
    </row>
    <row r="51" spans="1:7" ht="19.5" customHeight="1">
      <c r="A51" s="4">
        <v>49</v>
      </c>
      <c r="B51" s="5" t="str">
        <f>"275420201204140649156"</f>
        <v>275420201204140649156</v>
      </c>
      <c r="C51" s="5" t="s">
        <v>8</v>
      </c>
      <c r="D51" s="5" t="str">
        <f>"周德瑭"</f>
        <v>周德瑭</v>
      </c>
      <c r="E51" s="5" t="str">
        <f>"男"</f>
        <v>男</v>
      </c>
      <c r="F51" s="5" t="str">
        <f>"1985-12-27"</f>
        <v>1985-12-27</v>
      </c>
      <c r="G51" s="5"/>
    </row>
    <row r="52" spans="1:7" ht="19.5" customHeight="1">
      <c r="A52" s="4">
        <v>50</v>
      </c>
      <c r="B52" s="5" t="str">
        <f>"275420201204154353162"</f>
        <v>275420201204154353162</v>
      </c>
      <c r="C52" s="5" t="s">
        <v>8</v>
      </c>
      <c r="D52" s="5" t="str">
        <f>"罗泰帅"</f>
        <v>罗泰帅</v>
      </c>
      <c r="E52" s="5" t="str">
        <f>"男"</f>
        <v>男</v>
      </c>
      <c r="F52" s="5" t="str">
        <f>"1996-05-12"</f>
        <v>1996-05-12</v>
      </c>
      <c r="G52" s="5"/>
    </row>
    <row r="53" spans="1:7" ht="19.5" customHeight="1">
      <c r="A53" s="4">
        <v>51</v>
      </c>
      <c r="B53" s="5" t="str">
        <f>"275420201204173333169"</f>
        <v>275420201204173333169</v>
      </c>
      <c r="C53" s="5" t="s">
        <v>8</v>
      </c>
      <c r="D53" s="5" t="str">
        <f>"陈运栋"</f>
        <v>陈运栋</v>
      </c>
      <c r="E53" s="5" t="str">
        <f>"男"</f>
        <v>男</v>
      </c>
      <c r="F53" s="5" t="str">
        <f>"1995-09-08"</f>
        <v>1995-09-08</v>
      </c>
      <c r="G53" s="5"/>
    </row>
    <row r="54" spans="1:7" ht="19.5" customHeight="1">
      <c r="A54" s="4">
        <v>52</v>
      </c>
      <c r="B54" s="5" t="str">
        <f>"275420201204180134171"</f>
        <v>275420201204180134171</v>
      </c>
      <c r="C54" s="5" t="s">
        <v>8</v>
      </c>
      <c r="D54" s="5" t="str">
        <f>"吴迷妹"</f>
        <v>吴迷妹</v>
      </c>
      <c r="E54" s="5" t="str">
        <f aca="true" t="shared" si="2" ref="E54:E59">"女"</f>
        <v>女</v>
      </c>
      <c r="F54" s="5" t="str">
        <f>"1988-05-22"</f>
        <v>1988-05-22</v>
      </c>
      <c r="G54" s="5"/>
    </row>
    <row r="55" spans="1:7" ht="19.5" customHeight="1">
      <c r="A55" s="4">
        <v>53</v>
      </c>
      <c r="B55" s="5" t="str">
        <f>"275420201204184707173"</f>
        <v>275420201204184707173</v>
      </c>
      <c r="C55" s="5" t="s">
        <v>8</v>
      </c>
      <c r="D55" s="5" t="str">
        <f>"陈斌"</f>
        <v>陈斌</v>
      </c>
      <c r="E55" s="5" t="str">
        <f>"男"</f>
        <v>男</v>
      </c>
      <c r="F55" s="5" t="str">
        <f>"1993-12-07"</f>
        <v>1993-12-07</v>
      </c>
      <c r="G55" s="5"/>
    </row>
    <row r="56" spans="1:7" ht="19.5" customHeight="1">
      <c r="A56" s="4">
        <v>54</v>
      </c>
      <c r="B56" s="5" t="str">
        <f>"275420201204203846181"</f>
        <v>275420201204203846181</v>
      </c>
      <c r="C56" s="5" t="s">
        <v>8</v>
      </c>
      <c r="D56" s="5" t="str">
        <f>"何冬婷"</f>
        <v>何冬婷</v>
      </c>
      <c r="E56" s="5" t="str">
        <f t="shared" si="2"/>
        <v>女</v>
      </c>
      <c r="F56" s="5" t="str">
        <f>"1987-12-04"</f>
        <v>1987-12-04</v>
      </c>
      <c r="G56" s="5"/>
    </row>
    <row r="57" spans="1:7" ht="19.5" customHeight="1">
      <c r="A57" s="4">
        <v>55</v>
      </c>
      <c r="B57" s="5" t="str">
        <f>"275420201204205711183"</f>
        <v>275420201204205711183</v>
      </c>
      <c r="C57" s="5" t="s">
        <v>8</v>
      </c>
      <c r="D57" s="5" t="str">
        <f>"刘妹"</f>
        <v>刘妹</v>
      </c>
      <c r="E57" s="5" t="str">
        <f t="shared" si="2"/>
        <v>女</v>
      </c>
      <c r="F57" s="5" t="str">
        <f>"1995-08-21"</f>
        <v>1995-08-21</v>
      </c>
      <c r="G57" s="5"/>
    </row>
    <row r="58" spans="1:7" ht="19.5" customHeight="1">
      <c r="A58" s="4">
        <v>56</v>
      </c>
      <c r="B58" s="5" t="str">
        <f>"275420201204210326184"</f>
        <v>275420201204210326184</v>
      </c>
      <c r="C58" s="5" t="s">
        <v>8</v>
      </c>
      <c r="D58" s="5" t="str">
        <f>"吉水果"</f>
        <v>吉水果</v>
      </c>
      <c r="E58" s="5" t="str">
        <f t="shared" si="2"/>
        <v>女</v>
      </c>
      <c r="F58" s="5" t="str">
        <f>"1990-11-13"</f>
        <v>1990-11-13</v>
      </c>
      <c r="G58" s="5"/>
    </row>
    <row r="59" spans="1:7" ht="19.5" customHeight="1">
      <c r="A59" s="4">
        <v>57</v>
      </c>
      <c r="B59" s="5" t="str">
        <f>"275420201204215308187"</f>
        <v>275420201204215308187</v>
      </c>
      <c r="C59" s="5" t="s">
        <v>8</v>
      </c>
      <c r="D59" s="5" t="str">
        <f>"黎晓芳"</f>
        <v>黎晓芳</v>
      </c>
      <c r="E59" s="5" t="str">
        <f t="shared" si="2"/>
        <v>女</v>
      </c>
      <c r="F59" s="5" t="str">
        <f>"1986-10-20"</f>
        <v>1986-10-20</v>
      </c>
      <c r="G59" s="5"/>
    </row>
    <row r="60" spans="1:7" ht="19.5" customHeight="1">
      <c r="A60" s="4">
        <v>58</v>
      </c>
      <c r="B60" s="5" t="str">
        <f>"275420201204215551188"</f>
        <v>275420201204215551188</v>
      </c>
      <c r="C60" s="5" t="s">
        <v>8</v>
      </c>
      <c r="D60" s="5" t="str">
        <f>"郑生勤"</f>
        <v>郑生勤</v>
      </c>
      <c r="E60" s="5" t="str">
        <f>"男"</f>
        <v>男</v>
      </c>
      <c r="F60" s="5" t="str">
        <f>"1989-01-11"</f>
        <v>1989-01-11</v>
      </c>
      <c r="G60" s="5"/>
    </row>
    <row r="61" spans="1:7" ht="19.5" customHeight="1">
      <c r="A61" s="4">
        <v>59</v>
      </c>
      <c r="B61" s="5" t="str">
        <f>"275420201205001150193"</f>
        <v>275420201205001150193</v>
      </c>
      <c r="C61" s="5" t="s">
        <v>8</v>
      </c>
      <c r="D61" s="5" t="str">
        <f>"陈少凡"</f>
        <v>陈少凡</v>
      </c>
      <c r="E61" s="5" t="str">
        <f>"男"</f>
        <v>男</v>
      </c>
      <c r="F61" s="5" t="str">
        <f>"1985-01-14"</f>
        <v>1985-01-14</v>
      </c>
      <c r="G61" s="5"/>
    </row>
    <row r="62" spans="1:7" ht="19.5" customHeight="1">
      <c r="A62" s="4">
        <v>60</v>
      </c>
      <c r="B62" s="5" t="str">
        <f>"275420201205004215194"</f>
        <v>275420201205004215194</v>
      </c>
      <c r="C62" s="5" t="s">
        <v>8</v>
      </c>
      <c r="D62" s="5" t="str">
        <f>"李嘉祺"</f>
        <v>李嘉祺</v>
      </c>
      <c r="E62" s="5" t="str">
        <f>"男"</f>
        <v>男</v>
      </c>
      <c r="F62" s="5" t="str">
        <f>"1996-03-28"</f>
        <v>1996-03-28</v>
      </c>
      <c r="G62" s="5"/>
    </row>
    <row r="63" spans="1:7" ht="19.5" customHeight="1">
      <c r="A63" s="4">
        <v>61</v>
      </c>
      <c r="B63" s="5" t="str">
        <f>"275420201205004542195"</f>
        <v>275420201205004542195</v>
      </c>
      <c r="C63" s="5" t="s">
        <v>8</v>
      </c>
      <c r="D63" s="5" t="str">
        <f>"陈泽行"</f>
        <v>陈泽行</v>
      </c>
      <c r="E63" s="5" t="str">
        <f>"男"</f>
        <v>男</v>
      </c>
      <c r="F63" s="5" t="str">
        <f>"1995-04-07"</f>
        <v>1995-04-07</v>
      </c>
      <c r="G63" s="5"/>
    </row>
    <row r="64" spans="1:7" ht="19.5" customHeight="1">
      <c r="A64" s="4">
        <v>62</v>
      </c>
      <c r="B64" s="5" t="str">
        <f>"275420201205080245199"</f>
        <v>275420201205080245199</v>
      </c>
      <c r="C64" s="5" t="s">
        <v>8</v>
      </c>
      <c r="D64" s="5" t="str">
        <f>"陈太武"</f>
        <v>陈太武</v>
      </c>
      <c r="E64" s="5" t="str">
        <f>"男"</f>
        <v>男</v>
      </c>
      <c r="F64" s="5" t="str">
        <f>"1982-11-02"</f>
        <v>1982-11-02</v>
      </c>
      <c r="G64" s="5"/>
    </row>
    <row r="65" spans="1:7" ht="19.5" customHeight="1">
      <c r="A65" s="4">
        <v>63</v>
      </c>
      <c r="B65" s="5" t="str">
        <f>"275420201205151339211"</f>
        <v>275420201205151339211</v>
      </c>
      <c r="C65" s="5" t="s">
        <v>8</v>
      </c>
      <c r="D65" s="5" t="str">
        <f>"吴桂兰"</f>
        <v>吴桂兰</v>
      </c>
      <c r="E65" s="5" t="str">
        <f>"女"</f>
        <v>女</v>
      </c>
      <c r="F65" s="5" t="str">
        <f>"1994-11-06"</f>
        <v>1994-11-06</v>
      </c>
      <c r="G65" s="5"/>
    </row>
    <row r="66" spans="1:7" ht="19.5" customHeight="1">
      <c r="A66" s="4">
        <v>64</v>
      </c>
      <c r="B66" s="5" t="str">
        <f>"275420201205152853213"</f>
        <v>275420201205152853213</v>
      </c>
      <c r="C66" s="5" t="s">
        <v>8</v>
      </c>
      <c r="D66" s="5" t="str">
        <f>"陈运夫"</f>
        <v>陈运夫</v>
      </c>
      <c r="E66" s="5" t="str">
        <f>"男"</f>
        <v>男</v>
      </c>
      <c r="F66" s="5" t="str">
        <f>"1975-08-05"</f>
        <v>1975-08-05</v>
      </c>
      <c r="G66" s="5"/>
    </row>
    <row r="67" spans="1:7" ht="19.5" customHeight="1">
      <c r="A67" s="4">
        <v>65</v>
      </c>
      <c r="B67" s="5" t="str">
        <f>"275420201205161124215"</f>
        <v>275420201205161124215</v>
      </c>
      <c r="C67" s="5" t="s">
        <v>8</v>
      </c>
      <c r="D67" s="5" t="str">
        <f>"王茹卉"</f>
        <v>王茹卉</v>
      </c>
      <c r="E67" s="5" t="str">
        <f>"女"</f>
        <v>女</v>
      </c>
      <c r="F67" s="5" t="str">
        <f>"1995-02-03"</f>
        <v>1995-02-03</v>
      </c>
      <c r="G67" s="5"/>
    </row>
    <row r="68" spans="1:7" ht="19.5" customHeight="1">
      <c r="A68" s="4">
        <v>66</v>
      </c>
      <c r="B68" s="5" t="str">
        <f>"275420201205163144218"</f>
        <v>275420201205163144218</v>
      </c>
      <c r="C68" s="5" t="s">
        <v>8</v>
      </c>
      <c r="D68" s="5" t="str">
        <f>"林煌炳"</f>
        <v>林煌炳</v>
      </c>
      <c r="E68" s="5" t="str">
        <f>"女"</f>
        <v>女</v>
      </c>
      <c r="F68" s="5" t="str">
        <f>"1990-07-30"</f>
        <v>1990-07-30</v>
      </c>
      <c r="G68" s="5"/>
    </row>
    <row r="69" spans="1:7" ht="19.5" customHeight="1">
      <c r="A69" s="4">
        <v>67</v>
      </c>
      <c r="B69" s="5" t="str">
        <f>"275420201205163542219"</f>
        <v>275420201205163542219</v>
      </c>
      <c r="C69" s="5" t="s">
        <v>8</v>
      </c>
      <c r="D69" s="5" t="str">
        <f>"何远程"</f>
        <v>何远程</v>
      </c>
      <c r="E69" s="5" t="str">
        <f>"男"</f>
        <v>男</v>
      </c>
      <c r="F69" s="5" t="str">
        <f>"1995-11-12"</f>
        <v>1995-11-12</v>
      </c>
      <c r="G69" s="5"/>
    </row>
    <row r="70" spans="1:7" ht="19.5" customHeight="1">
      <c r="A70" s="4">
        <v>68</v>
      </c>
      <c r="B70" s="5" t="str">
        <f>"275420201205170330223"</f>
        <v>275420201205170330223</v>
      </c>
      <c r="C70" s="5" t="s">
        <v>8</v>
      </c>
      <c r="D70" s="5" t="str">
        <f>"刘小云"</f>
        <v>刘小云</v>
      </c>
      <c r="E70" s="5" t="str">
        <f aca="true" t="shared" si="3" ref="E70:E82">"女"</f>
        <v>女</v>
      </c>
      <c r="F70" s="5" t="str">
        <f>"1995-11-07"</f>
        <v>1995-11-07</v>
      </c>
      <c r="G70" s="5"/>
    </row>
    <row r="71" spans="1:7" ht="19.5" customHeight="1">
      <c r="A71" s="4">
        <v>69</v>
      </c>
      <c r="B71" s="5" t="str">
        <f>"275420201205180450226"</f>
        <v>275420201205180450226</v>
      </c>
      <c r="C71" s="5" t="s">
        <v>8</v>
      </c>
      <c r="D71" s="5" t="str">
        <f>"符玉如"</f>
        <v>符玉如</v>
      </c>
      <c r="E71" s="5" t="str">
        <f t="shared" si="3"/>
        <v>女</v>
      </c>
      <c r="F71" s="5" t="str">
        <f>"1997-07-04"</f>
        <v>1997-07-04</v>
      </c>
      <c r="G71" s="5"/>
    </row>
    <row r="72" spans="1:7" ht="19.5" customHeight="1">
      <c r="A72" s="4">
        <v>70</v>
      </c>
      <c r="B72" s="5" t="str">
        <f>"275420201205202915232"</f>
        <v>275420201205202915232</v>
      </c>
      <c r="C72" s="5" t="s">
        <v>8</v>
      </c>
      <c r="D72" s="5" t="str">
        <f>"孙荣娜"</f>
        <v>孙荣娜</v>
      </c>
      <c r="E72" s="5" t="str">
        <f t="shared" si="3"/>
        <v>女</v>
      </c>
      <c r="F72" s="5" t="str">
        <f>"1996-02-27"</f>
        <v>1996-02-27</v>
      </c>
      <c r="G72" s="5"/>
    </row>
    <row r="73" spans="1:7" ht="19.5" customHeight="1">
      <c r="A73" s="4">
        <v>71</v>
      </c>
      <c r="B73" s="5" t="str">
        <f>"275420201205205538233"</f>
        <v>275420201205205538233</v>
      </c>
      <c r="C73" s="5" t="s">
        <v>8</v>
      </c>
      <c r="D73" s="5" t="str">
        <f>"石丽慧"</f>
        <v>石丽慧</v>
      </c>
      <c r="E73" s="5" t="str">
        <f t="shared" si="3"/>
        <v>女</v>
      </c>
      <c r="F73" s="5" t="str">
        <f>"1997-10-14"</f>
        <v>1997-10-14</v>
      </c>
      <c r="G73" s="5"/>
    </row>
    <row r="74" spans="1:7" ht="19.5" customHeight="1">
      <c r="A74" s="4">
        <v>72</v>
      </c>
      <c r="B74" s="5" t="str">
        <f>"275420201206083933237"</f>
        <v>275420201206083933237</v>
      </c>
      <c r="C74" s="5" t="s">
        <v>8</v>
      </c>
      <c r="D74" s="5" t="str">
        <f>"林金花"</f>
        <v>林金花</v>
      </c>
      <c r="E74" s="5" t="str">
        <f t="shared" si="3"/>
        <v>女</v>
      </c>
      <c r="F74" s="5" t="str">
        <f>"1997-01-02"</f>
        <v>1997-01-02</v>
      </c>
      <c r="G74" s="5"/>
    </row>
    <row r="75" spans="1:7" ht="19.5" customHeight="1">
      <c r="A75" s="4">
        <v>73</v>
      </c>
      <c r="B75" s="5" t="str">
        <f>"275420201206090902238"</f>
        <v>275420201206090902238</v>
      </c>
      <c r="C75" s="5" t="s">
        <v>8</v>
      </c>
      <c r="D75" s="5" t="str">
        <f>"王慧艳"</f>
        <v>王慧艳</v>
      </c>
      <c r="E75" s="5" t="str">
        <f t="shared" si="3"/>
        <v>女</v>
      </c>
      <c r="F75" s="5" t="str">
        <f>"1991-12-13"</f>
        <v>1991-12-13</v>
      </c>
      <c r="G75" s="5"/>
    </row>
    <row r="76" spans="1:7" ht="19.5" customHeight="1">
      <c r="A76" s="4">
        <v>74</v>
      </c>
      <c r="B76" s="5" t="str">
        <f>"275420201206093144239"</f>
        <v>275420201206093144239</v>
      </c>
      <c r="C76" s="5" t="s">
        <v>8</v>
      </c>
      <c r="D76" s="5" t="str">
        <f>"邢增婧"</f>
        <v>邢增婧</v>
      </c>
      <c r="E76" s="5" t="str">
        <f t="shared" si="3"/>
        <v>女</v>
      </c>
      <c r="F76" s="5" t="str">
        <f>"1997-03-30"</f>
        <v>1997-03-30</v>
      </c>
      <c r="G76" s="5"/>
    </row>
    <row r="77" spans="1:7" ht="19.5" customHeight="1">
      <c r="A77" s="4">
        <v>75</v>
      </c>
      <c r="B77" s="5" t="str">
        <f>"275420201206094851240"</f>
        <v>275420201206094851240</v>
      </c>
      <c r="C77" s="5" t="s">
        <v>8</v>
      </c>
      <c r="D77" s="5" t="str">
        <f>"张福微"</f>
        <v>张福微</v>
      </c>
      <c r="E77" s="5" t="str">
        <f t="shared" si="3"/>
        <v>女</v>
      </c>
      <c r="F77" s="5" t="str">
        <f>"1989-12-26"</f>
        <v>1989-12-26</v>
      </c>
      <c r="G77" s="5"/>
    </row>
    <row r="78" spans="1:7" ht="19.5" customHeight="1">
      <c r="A78" s="4">
        <v>76</v>
      </c>
      <c r="B78" s="5" t="str">
        <f>"275420201206095605241"</f>
        <v>275420201206095605241</v>
      </c>
      <c r="C78" s="5" t="s">
        <v>8</v>
      </c>
      <c r="D78" s="5" t="str">
        <f>"林密"</f>
        <v>林密</v>
      </c>
      <c r="E78" s="5" t="str">
        <f t="shared" si="3"/>
        <v>女</v>
      </c>
      <c r="F78" s="5" t="str">
        <f>"1979-07-21"</f>
        <v>1979-07-21</v>
      </c>
      <c r="G78" s="5"/>
    </row>
    <row r="79" spans="1:7" ht="19.5" customHeight="1">
      <c r="A79" s="4">
        <v>77</v>
      </c>
      <c r="B79" s="5" t="str">
        <f>"275420201206100706242"</f>
        <v>275420201206100706242</v>
      </c>
      <c r="C79" s="5" t="s">
        <v>8</v>
      </c>
      <c r="D79" s="5" t="str">
        <f>"孙荣妮"</f>
        <v>孙荣妮</v>
      </c>
      <c r="E79" s="5" t="str">
        <f t="shared" si="3"/>
        <v>女</v>
      </c>
      <c r="F79" s="5" t="str">
        <f>"1993-08-17"</f>
        <v>1993-08-17</v>
      </c>
      <c r="G79" s="5"/>
    </row>
    <row r="80" spans="1:7" ht="19.5" customHeight="1">
      <c r="A80" s="4">
        <v>78</v>
      </c>
      <c r="B80" s="5" t="str">
        <f>"275420201206105918244"</f>
        <v>275420201206105918244</v>
      </c>
      <c r="C80" s="5" t="s">
        <v>8</v>
      </c>
      <c r="D80" s="5" t="str">
        <f>"邢向丹"</f>
        <v>邢向丹</v>
      </c>
      <c r="E80" s="5" t="str">
        <f t="shared" si="3"/>
        <v>女</v>
      </c>
      <c r="F80" s="5" t="str">
        <f>"1989-09-29"</f>
        <v>1989-09-29</v>
      </c>
      <c r="G80" s="5"/>
    </row>
    <row r="81" spans="1:7" ht="19.5" customHeight="1">
      <c r="A81" s="4">
        <v>79</v>
      </c>
      <c r="B81" s="5" t="str">
        <f>"275420201206125649250"</f>
        <v>275420201206125649250</v>
      </c>
      <c r="C81" s="5" t="s">
        <v>8</v>
      </c>
      <c r="D81" s="5" t="str">
        <f>"符亚凤"</f>
        <v>符亚凤</v>
      </c>
      <c r="E81" s="5" t="str">
        <f t="shared" si="3"/>
        <v>女</v>
      </c>
      <c r="F81" s="5" t="str">
        <f>"1996-06-16"</f>
        <v>1996-06-16</v>
      </c>
      <c r="G81" s="5"/>
    </row>
    <row r="82" spans="1:7" ht="19.5" customHeight="1">
      <c r="A82" s="4">
        <v>80</v>
      </c>
      <c r="B82" s="5" t="str">
        <f>"275420201206162839255"</f>
        <v>275420201206162839255</v>
      </c>
      <c r="C82" s="5" t="s">
        <v>8</v>
      </c>
      <c r="D82" s="5" t="str">
        <f>"孙闻雅"</f>
        <v>孙闻雅</v>
      </c>
      <c r="E82" s="5" t="str">
        <f t="shared" si="3"/>
        <v>女</v>
      </c>
      <c r="F82" s="5" t="str">
        <f>"1995-11-20"</f>
        <v>1995-11-20</v>
      </c>
      <c r="G82" s="5"/>
    </row>
    <row r="83" spans="1:7" ht="19.5" customHeight="1">
      <c r="A83" s="4">
        <v>81</v>
      </c>
      <c r="B83" s="5" t="str">
        <f>"275420201206170353258"</f>
        <v>275420201206170353258</v>
      </c>
      <c r="C83" s="5" t="s">
        <v>8</v>
      </c>
      <c r="D83" s="5" t="str">
        <f>"易乾"</f>
        <v>易乾</v>
      </c>
      <c r="E83" s="5" t="str">
        <f>"男"</f>
        <v>男</v>
      </c>
      <c r="F83" s="5" t="str">
        <f>"1987-03-16"</f>
        <v>1987-03-16</v>
      </c>
      <c r="G83" s="5"/>
    </row>
    <row r="84" spans="1:7" ht="19.5" customHeight="1">
      <c r="A84" s="4">
        <v>82</v>
      </c>
      <c r="B84" s="5" t="str">
        <f>"275420201206195528267"</f>
        <v>275420201206195528267</v>
      </c>
      <c r="C84" s="5" t="s">
        <v>8</v>
      </c>
      <c r="D84" s="5" t="str">
        <f>"夏才圣"</f>
        <v>夏才圣</v>
      </c>
      <c r="E84" s="5" t="str">
        <f>"男"</f>
        <v>男</v>
      </c>
      <c r="F84" s="5" t="str">
        <f>"1996-09-05"</f>
        <v>1996-09-05</v>
      </c>
      <c r="G84" s="5"/>
    </row>
    <row r="85" spans="1:7" ht="19.5" customHeight="1">
      <c r="A85" s="4">
        <v>83</v>
      </c>
      <c r="B85" s="5" t="str">
        <f>"275420201206200226268"</f>
        <v>275420201206200226268</v>
      </c>
      <c r="C85" s="5" t="s">
        <v>8</v>
      </c>
      <c r="D85" s="5" t="str">
        <f>"王槐丰"</f>
        <v>王槐丰</v>
      </c>
      <c r="E85" s="5" t="str">
        <f>"男"</f>
        <v>男</v>
      </c>
      <c r="F85" s="5" t="str">
        <f>"1994-02-02"</f>
        <v>1994-02-02</v>
      </c>
      <c r="G85" s="5"/>
    </row>
    <row r="86" spans="1:7" ht="19.5" customHeight="1">
      <c r="A86" s="4">
        <v>84</v>
      </c>
      <c r="B86" s="5" t="str">
        <f>"275420201206200552269"</f>
        <v>275420201206200552269</v>
      </c>
      <c r="C86" s="5" t="s">
        <v>8</v>
      </c>
      <c r="D86" s="5" t="str">
        <f>"周忠喜"</f>
        <v>周忠喜</v>
      </c>
      <c r="E86" s="5" t="str">
        <f>"男"</f>
        <v>男</v>
      </c>
      <c r="F86" s="5" t="str">
        <f>"1992-04-11"</f>
        <v>1992-04-11</v>
      </c>
      <c r="G86" s="5"/>
    </row>
    <row r="87" spans="1:7" ht="19.5" customHeight="1">
      <c r="A87" s="4">
        <v>85</v>
      </c>
      <c r="B87" s="5" t="str">
        <f>"275420201206231642278"</f>
        <v>275420201206231642278</v>
      </c>
      <c r="C87" s="5" t="s">
        <v>8</v>
      </c>
      <c r="D87" s="5" t="str">
        <f>"廖顺淇"</f>
        <v>廖顺淇</v>
      </c>
      <c r="E87" s="5" t="str">
        <f>"女"</f>
        <v>女</v>
      </c>
      <c r="F87" s="5" t="str">
        <f>"1998-09-27"</f>
        <v>1998-09-27</v>
      </c>
      <c r="G87" s="5"/>
    </row>
    <row r="88" spans="1:7" ht="19.5" customHeight="1">
      <c r="A88" s="4">
        <v>86</v>
      </c>
      <c r="B88" s="5" t="str">
        <f>"275420201207091716282"</f>
        <v>275420201207091716282</v>
      </c>
      <c r="C88" s="5" t="s">
        <v>8</v>
      </c>
      <c r="D88" s="5" t="str">
        <f>"邢孔皇"</f>
        <v>邢孔皇</v>
      </c>
      <c r="E88" s="5" t="str">
        <f aca="true" t="shared" si="4" ref="E88:E93">"男"</f>
        <v>男</v>
      </c>
      <c r="F88" s="5" t="str">
        <f>"1991-11-10"</f>
        <v>1991-11-10</v>
      </c>
      <c r="G88" s="5"/>
    </row>
    <row r="89" spans="1:7" ht="19.5" customHeight="1">
      <c r="A89" s="4">
        <v>87</v>
      </c>
      <c r="B89" s="5" t="str">
        <f>"275420201207095448287"</f>
        <v>275420201207095448287</v>
      </c>
      <c r="C89" s="5" t="s">
        <v>8</v>
      </c>
      <c r="D89" s="5" t="str">
        <f>"周翠"</f>
        <v>周翠</v>
      </c>
      <c r="E89" s="5" t="str">
        <f>"女"</f>
        <v>女</v>
      </c>
      <c r="F89" s="5" t="str">
        <f>"1990-10-27"</f>
        <v>1990-10-27</v>
      </c>
      <c r="G89" s="5"/>
    </row>
    <row r="90" spans="1:7" ht="19.5" customHeight="1">
      <c r="A90" s="4">
        <v>88</v>
      </c>
      <c r="B90" s="5" t="str">
        <f>"275420201207100750289"</f>
        <v>275420201207100750289</v>
      </c>
      <c r="C90" s="5" t="s">
        <v>8</v>
      </c>
      <c r="D90" s="5" t="str">
        <f>"黎凤玉"</f>
        <v>黎凤玉</v>
      </c>
      <c r="E90" s="5" t="str">
        <f>"女"</f>
        <v>女</v>
      </c>
      <c r="F90" s="5" t="str">
        <f>"1994-06-03"</f>
        <v>1994-06-03</v>
      </c>
      <c r="G90" s="5"/>
    </row>
    <row r="91" spans="1:7" ht="19.5" customHeight="1">
      <c r="A91" s="4">
        <v>89</v>
      </c>
      <c r="B91" s="5" t="str">
        <f>"275420201207104822294"</f>
        <v>275420201207104822294</v>
      </c>
      <c r="C91" s="5" t="s">
        <v>8</v>
      </c>
      <c r="D91" s="5" t="str">
        <f>"冯昌龙"</f>
        <v>冯昌龙</v>
      </c>
      <c r="E91" s="5" t="str">
        <f t="shared" si="4"/>
        <v>男</v>
      </c>
      <c r="F91" s="5" t="str">
        <f>"1987-05-14"</f>
        <v>1987-05-14</v>
      </c>
      <c r="G91" s="5"/>
    </row>
    <row r="92" spans="1:7" ht="19.5" customHeight="1">
      <c r="A92" s="4">
        <v>90</v>
      </c>
      <c r="B92" s="5" t="str">
        <f>"275420201207150330308"</f>
        <v>275420201207150330308</v>
      </c>
      <c r="C92" s="5" t="s">
        <v>8</v>
      </c>
      <c r="D92" s="5" t="str">
        <f>"曾翠娇"</f>
        <v>曾翠娇</v>
      </c>
      <c r="E92" s="5" t="str">
        <f aca="true" t="shared" si="5" ref="E92:E97">"女"</f>
        <v>女</v>
      </c>
      <c r="F92" s="5" t="str">
        <f>"1991-05-21"</f>
        <v>1991-05-21</v>
      </c>
      <c r="G92" s="5"/>
    </row>
    <row r="93" spans="1:7" ht="19.5" customHeight="1">
      <c r="A93" s="4">
        <v>91</v>
      </c>
      <c r="B93" s="5" t="str">
        <f>"275420201207161106313"</f>
        <v>275420201207161106313</v>
      </c>
      <c r="C93" s="5" t="s">
        <v>8</v>
      </c>
      <c r="D93" s="5" t="str">
        <f>"陈大兴"</f>
        <v>陈大兴</v>
      </c>
      <c r="E93" s="5" t="str">
        <f t="shared" si="4"/>
        <v>男</v>
      </c>
      <c r="F93" s="5" t="str">
        <f>"1994-09-25"</f>
        <v>1994-09-25</v>
      </c>
      <c r="G93" s="5"/>
    </row>
    <row r="94" spans="1:7" ht="19.5" customHeight="1">
      <c r="A94" s="4">
        <v>92</v>
      </c>
      <c r="B94" s="5" t="str">
        <f>"275420201207163816317"</f>
        <v>275420201207163816317</v>
      </c>
      <c r="C94" s="5" t="s">
        <v>8</v>
      </c>
      <c r="D94" s="5" t="str">
        <f>"黄兰香"</f>
        <v>黄兰香</v>
      </c>
      <c r="E94" s="5" t="str">
        <f t="shared" si="5"/>
        <v>女</v>
      </c>
      <c r="F94" s="5" t="str">
        <f>"1995-01-11"</f>
        <v>1995-01-11</v>
      </c>
      <c r="G94" s="5"/>
    </row>
    <row r="95" spans="1:7" ht="19.5" customHeight="1">
      <c r="A95" s="4">
        <v>93</v>
      </c>
      <c r="B95" s="5" t="str">
        <f>"275420201207165046319"</f>
        <v>275420201207165046319</v>
      </c>
      <c r="C95" s="5" t="s">
        <v>8</v>
      </c>
      <c r="D95" s="5" t="str">
        <f>"刘道焱"</f>
        <v>刘道焱</v>
      </c>
      <c r="E95" s="5" t="str">
        <f>"男"</f>
        <v>男</v>
      </c>
      <c r="F95" s="5" t="str">
        <f>"1992-12-25"</f>
        <v>1992-12-25</v>
      </c>
      <c r="G95" s="5"/>
    </row>
    <row r="96" spans="1:7" ht="19.5" customHeight="1">
      <c r="A96" s="4">
        <v>94</v>
      </c>
      <c r="B96" s="5" t="str">
        <f>"275420201207171631321"</f>
        <v>275420201207171631321</v>
      </c>
      <c r="C96" s="5" t="s">
        <v>8</v>
      </c>
      <c r="D96" s="5" t="str">
        <f>"陈秀君"</f>
        <v>陈秀君</v>
      </c>
      <c r="E96" s="5" t="str">
        <f t="shared" si="5"/>
        <v>女</v>
      </c>
      <c r="F96" s="5" t="str">
        <f>"1988-04-29"</f>
        <v>1988-04-29</v>
      </c>
      <c r="G96" s="5"/>
    </row>
    <row r="97" spans="1:7" ht="19.5" customHeight="1">
      <c r="A97" s="4">
        <v>95</v>
      </c>
      <c r="B97" s="5" t="str">
        <f>"275420201207185625325"</f>
        <v>275420201207185625325</v>
      </c>
      <c r="C97" s="5" t="s">
        <v>8</v>
      </c>
      <c r="D97" s="5" t="str">
        <f>"林燕"</f>
        <v>林燕</v>
      </c>
      <c r="E97" s="5" t="str">
        <f t="shared" si="5"/>
        <v>女</v>
      </c>
      <c r="F97" s="5" t="str">
        <f>"1991-03-28"</f>
        <v>1991-03-28</v>
      </c>
      <c r="G97" s="5"/>
    </row>
    <row r="98" spans="1:7" ht="19.5" customHeight="1">
      <c r="A98" s="4">
        <v>96</v>
      </c>
      <c r="B98" s="5" t="str">
        <f>"275420201207205300337"</f>
        <v>275420201207205300337</v>
      </c>
      <c r="C98" s="5" t="s">
        <v>8</v>
      </c>
      <c r="D98" s="5" t="str">
        <f>"吴宇飞"</f>
        <v>吴宇飞</v>
      </c>
      <c r="E98" s="5" t="str">
        <f>"男"</f>
        <v>男</v>
      </c>
      <c r="F98" s="5" t="str">
        <f>"1994-01-01"</f>
        <v>1994-01-01</v>
      </c>
      <c r="G98" s="5"/>
    </row>
    <row r="99" spans="1:7" ht="19.5" customHeight="1">
      <c r="A99" s="4">
        <v>97</v>
      </c>
      <c r="B99" s="5" t="str">
        <f>"275420201207222228346"</f>
        <v>275420201207222228346</v>
      </c>
      <c r="C99" s="5" t="s">
        <v>8</v>
      </c>
      <c r="D99" s="5" t="str">
        <f>"李富深"</f>
        <v>李富深</v>
      </c>
      <c r="E99" s="5" t="str">
        <f>"男"</f>
        <v>男</v>
      </c>
      <c r="F99" s="5" t="str">
        <f>"1995-03-02"</f>
        <v>1995-03-02</v>
      </c>
      <c r="G99" s="5"/>
    </row>
    <row r="100" spans="1:7" ht="19.5" customHeight="1">
      <c r="A100" s="4">
        <v>98</v>
      </c>
      <c r="B100" s="5" t="str">
        <f>"275420201207224858348"</f>
        <v>275420201207224858348</v>
      </c>
      <c r="C100" s="5" t="s">
        <v>8</v>
      </c>
      <c r="D100" s="5" t="str">
        <f>"黄清芳"</f>
        <v>黄清芳</v>
      </c>
      <c r="E100" s="5" t="str">
        <f aca="true" t="shared" si="6" ref="E100:E105">"女"</f>
        <v>女</v>
      </c>
      <c r="F100" s="5" t="str">
        <f>"1996-04-11"</f>
        <v>1996-04-11</v>
      </c>
      <c r="G100" s="5"/>
    </row>
    <row r="101" spans="1:7" ht="19.5" customHeight="1">
      <c r="A101" s="4">
        <v>99</v>
      </c>
      <c r="B101" s="5" t="str">
        <f>"275420201208102433358"</f>
        <v>275420201208102433358</v>
      </c>
      <c r="C101" s="5" t="s">
        <v>8</v>
      </c>
      <c r="D101" s="5" t="str">
        <f>"陈清豪"</f>
        <v>陈清豪</v>
      </c>
      <c r="E101" s="5" t="str">
        <f>"男"</f>
        <v>男</v>
      </c>
      <c r="F101" s="5" t="str">
        <f>"1987-07-15"</f>
        <v>1987-07-15</v>
      </c>
      <c r="G101" s="5"/>
    </row>
    <row r="102" spans="1:7" ht="19.5" customHeight="1">
      <c r="A102" s="4">
        <v>100</v>
      </c>
      <c r="B102" s="5" t="str">
        <f>"275420201208145430369"</f>
        <v>275420201208145430369</v>
      </c>
      <c r="C102" s="5" t="s">
        <v>8</v>
      </c>
      <c r="D102" s="5" t="str">
        <f>"梁小华"</f>
        <v>梁小华</v>
      </c>
      <c r="E102" s="5" t="str">
        <f t="shared" si="6"/>
        <v>女</v>
      </c>
      <c r="F102" s="5" t="str">
        <f>"1985-01-15"</f>
        <v>1985-01-15</v>
      </c>
      <c r="G102" s="5"/>
    </row>
    <row r="103" spans="1:7" ht="19.5" customHeight="1">
      <c r="A103" s="4">
        <v>101</v>
      </c>
      <c r="B103" s="5" t="str">
        <f>"275420201208145745370"</f>
        <v>275420201208145745370</v>
      </c>
      <c r="C103" s="5" t="s">
        <v>8</v>
      </c>
      <c r="D103" s="5" t="str">
        <f>"符毓"</f>
        <v>符毓</v>
      </c>
      <c r="E103" s="5" t="str">
        <f>"男"</f>
        <v>男</v>
      </c>
      <c r="F103" s="5" t="str">
        <f>"1992-09-11"</f>
        <v>1992-09-11</v>
      </c>
      <c r="G103" s="5"/>
    </row>
    <row r="104" spans="1:7" ht="19.5" customHeight="1">
      <c r="A104" s="4">
        <v>102</v>
      </c>
      <c r="B104" s="5" t="str">
        <f>"275420201208160212373"</f>
        <v>275420201208160212373</v>
      </c>
      <c r="C104" s="5" t="s">
        <v>8</v>
      </c>
      <c r="D104" s="5" t="str">
        <f>"陈光通"</f>
        <v>陈光通</v>
      </c>
      <c r="E104" s="5" t="str">
        <f>"男"</f>
        <v>男</v>
      </c>
      <c r="F104" s="5" t="str">
        <f>"1996-02-16"</f>
        <v>1996-02-16</v>
      </c>
      <c r="G104" s="5"/>
    </row>
    <row r="105" spans="1:7" ht="19.5" customHeight="1">
      <c r="A105" s="4">
        <v>103</v>
      </c>
      <c r="B105" s="5" t="str">
        <f>"275420201208161155374"</f>
        <v>275420201208161155374</v>
      </c>
      <c r="C105" s="5" t="s">
        <v>8</v>
      </c>
      <c r="D105" s="5" t="str">
        <f>"罗才媚"</f>
        <v>罗才媚</v>
      </c>
      <c r="E105" s="5" t="str">
        <f t="shared" si="6"/>
        <v>女</v>
      </c>
      <c r="F105" s="5" t="str">
        <f>"1990-10-01"</f>
        <v>1990-10-01</v>
      </c>
      <c r="G105" s="5"/>
    </row>
    <row r="106" spans="1:7" ht="19.5" customHeight="1">
      <c r="A106" s="4">
        <v>104</v>
      </c>
      <c r="B106" s="5" t="str">
        <f>"275420201208181822381"</f>
        <v>275420201208181822381</v>
      </c>
      <c r="C106" s="5" t="s">
        <v>8</v>
      </c>
      <c r="D106" s="5" t="str">
        <f>"廖贤策"</f>
        <v>廖贤策</v>
      </c>
      <c r="E106" s="5" t="str">
        <f>"男"</f>
        <v>男</v>
      </c>
      <c r="F106" s="5" t="str">
        <f>"1997-12-28"</f>
        <v>1997-12-28</v>
      </c>
      <c r="G106" s="5"/>
    </row>
    <row r="107" spans="1:7" ht="19.5" customHeight="1">
      <c r="A107" s="4">
        <v>105</v>
      </c>
      <c r="B107" s="5" t="str">
        <f>"275420201208191411384"</f>
        <v>275420201208191411384</v>
      </c>
      <c r="C107" s="5" t="s">
        <v>8</v>
      </c>
      <c r="D107" s="5" t="str">
        <f>"吴永庆"</f>
        <v>吴永庆</v>
      </c>
      <c r="E107" s="5" t="str">
        <f>"男"</f>
        <v>男</v>
      </c>
      <c r="F107" s="5" t="str">
        <f>"1998-11-12"</f>
        <v>1998-11-12</v>
      </c>
      <c r="G107" s="5"/>
    </row>
    <row r="108" spans="1:7" ht="19.5" customHeight="1">
      <c r="A108" s="4">
        <v>106</v>
      </c>
      <c r="B108" s="5" t="str">
        <f>"275420201208222924391"</f>
        <v>275420201208222924391</v>
      </c>
      <c r="C108" s="5" t="s">
        <v>8</v>
      </c>
      <c r="D108" s="5" t="str">
        <f>"符乃叶"</f>
        <v>符乃叶</v>
      </c>
      <c r="E108" s="5" t="str">
        <f>"女"</f>
        <v>女</v>
      </c>
      <c r="F108" s="5" t="str">
        <f>"1991-09-28"</f>
        <v>1991-09-28</v>
      </c>
      <c r="G108" s="5"/>
    </row>
    <row r="109" spans="1:7" ht="19.5" customHeight="1">
      <c r="A109" s="4">
        <v>107</v>
      </c>
      <c r="B109" s="5" t="str">
        <f>"275420201208230010395"</f>
        <v>275420201208230010395</v>
      </c>
      <c r="C109" s="5" t="s">
        <v>8</v>
      </c>
      <c r="D109" s="5" t="str">
        <f>"符诗怡"</f>
        <v>符诗怡</v>
      </c>
      <c r="E109" s="5" t="str">
        <f>"女"</f>
        <v>女</v>
      </c>
      <c r="F109" s="5" t="str">
        <f>"1990-11-24"</f>
        <v>1990-11-24</v>
      </c>
      <c r="G109" s="5"/>
    </row>
    <row r="110" spans="1:7" ht="19.5" customHeight="1">
      <c r="A110" s="4">
        <v>108</v>
      </c>
      <c r="B110" s="5" t="str">
        <f>"275420201208231344396"</f>
        <v>275420201208231344396</v>
      </c>
      <c r="C110" s="5" t="s">
        <v>8</v>
      </c>
      <c r="D110" s="5" t="str">
        <f>"罗星星"</f>
        <v>罗星星</v>
      </c>
      <c r="E110" s="5" t="str">
        <f>"男"</f>
        <v>男</v>
      </c>
      <c r="F110" s="5" t="str">
        <f>"1990-09-28"</f>
        <v>1990-09-28</v>
      </c>
      <c r="G110" s="5"/>
    </row>
    <row r="111" spans="1:7" ht="19.5" customHeight="1">
      <c r="A111" s="4">
        <v>109</v>
      </c>
      <c r="B111" s="5" t="str">
        <f>"275420201208233507399"</f>
        <v>275420201208233507399</v>
      </c>
      <c r="C111" s="5" t="s">
        <v>8</v>
      </c>
      <c r="D111" s="5" t="str">
        <f>"刘子婷"</f>
        <v>刘子婷</v>
      </c>
      <c r="E111" s="5" t="str">
        <f>"女"</f>
        <v>女</v>
      </c>
      <c r="F111" s="5" t="str">
        <f>"1997-11-20"</f>
        <v>1997-11-20</v>
      </c>
      <c r="G111" s="5"/>
    </row>
    <row r="112" spans="1:7" ht="19.5" customHeight="1">
      <c r="A112" s="4">
        <v>110</v>
      </c>
      <c r="B112" s="5" t="str">
        <f>"275420201209003653402"</f>
        <v>275420201209003653402</v>
      </c>
      <c r="C112" s="5" t="s">
        <v>8</v>
      </c>
      <c r="D112" s="5" t="str">
        <f>"符香婷"</f>
        <v>符香婷</v>
      </c>
      <c r="E112" s="5" t="str">
        <f>"女"</f>
        <v>女</v>
      </c>
      <c r="F112" s="5" t="str">
        <f>"1985-09-27"</f>
        <v>1985-09-27</v>
      </c>
      <c r="G112" s="5"/>
    </row>
    <row r="113" spans="1:7" ht="19.5" customHeight="1">
      <c r="A113" s="4">
        <v>111</v>
      </c>
      <c r="B113" s="5" t="str">
        <f>"275420201209084529405"</f>
        <v>275420201209084529405</v>
      </c>
      <c r="C113" s="5" t="s">
        <v>8</v>
      </c>
      <c r="D113" s="5" t="str">
        <f>"王泰昊"</f>
        <v>王泰昊</v>
      </c>
      <c r="E113" s="5" t="str">
        <f aca="true" t="shared" si="7" ref="E113:E118">"男"</f>
        <v>男</v>
      </c>
      <c r="F113" s="5" t="str">
        <f>"1996-12-20"</f>
        <v>1996-12-20</v>
      </c>
      <c r="G113" s="5"/>
    </row>
    <row r="114" spans="1:7" ht="19.5" customHeight="1">
      <c r="A114" s="4">
        <v>112</v>
      </c>
      <c r="B114" s="5" t="str">
        <f>"275420201209091025406"</f>
        <v>275420201209091025406</v>
      </c>
      <c r="C114" s="5" t="s">
        <v>8</v>
      </c>
      <c r="D114" s="5" t="str">
        <f>"李忠管"</f>
        <v>李忠管</v>
      </c>
      <c r="E114" s="5" t="str">
        <f t="shared" si="7"/>
        <v>男</v>
      </c>
      <c r="F114" s="5" t="str">
        <f>"1995-10-03"</f>
        <v>1995-10-03</v>
      </c>
      <c r="G114" s="5"/>
    </row>
    <row r="115" spans="1:7" ht="19.5" customHeight="1">
      <c r="A115" s="4">
        <v>113</v>
      </c>
      <c r="B115" s="5" t="str">
        <f>"275420201209100214411"</f>
        <v>275420201209100214411</v>
      </c>
      <c r="C115" s="5" t="s">
        <v>8</v>
      </c>
      <c r="D115" s="5" t="str">
        <f>"莫银苹"</f>
        <v>莫银苹</v>
      </c>
      <c r="E115" s="5" t="str">
        <f>"女"</f>
        <v>女</v>
      </c>
      <c r="F115" s="5" t="str">
        <f>"1996-04-25"</f>
        <v>1996-04-25</v>
      </c>
      <c r="G115" s="5"/>
    </row>
    <row r="116" spans="1:7" ht="19.5" customHeight="1">
      <c r="A116" s="4">
        <v>114</v>
      </c>
      <c r="B116" s="5" t="str">
        <f>"275420201209100645412"</f>
        <v>275420201209100645412</v>
      </c>
      <c r="C116" s="5" t="s">
        <v>8</v>
      </c>
      <c r="D116" s="5" t="str">
        <f>"蔡沁茹"</f>
        <v>蔡沁茹</v>
      </c>
      <c r="E116" s="5" t="str">
        <f>"女"</f>
        <v>女</v>
      </c>
      <c r="F116" s="5" t="str">
        <f>"1995-01-04"</f>
        <v>1995-01-04</v>
      </c>
      <c r="G116" s="5"/>
    </row>
    <row r="117" spans="1:7" ht="19.5" customHeight="1">
      <c r="A117" s="4">
        <v>115</v>
      </c>
      <c r="B117" s="5" t="str">
        <f>"275420201209115408418"</f>
        <v>275420201209115408418</v>
      </c>
      <c r="C117" s="5" t="s">
        <v>8</v>
      </c>
      <c r="D117" s="5" t="str">
        <f>"黄小荷"</f>
        <v>黄小荷</v>
      </c>
      <c r="E117" s="5" t="str">
        <f>"女"</f>
        <v>女</v>
      </c>
      <c r="F117" s="5" t="str">
        <f>"1989-06-04"</f>
        <v>1989-06-04</v>
      </c>
      <c r="G117" s="5"/>
    </row>
    <row r="118" spans="1:7" ht="19.5" customHeight="1">
      <c r="A118" s="4">
        <v>116</v>
      </c>
      <c r="B118" s="5" t="str">
        <f>"275420201209121431422"</f>
        <v>275420201209121431422</v>
      </c>
      <c r="C118" s="5" t="s">
        <v>8</v>
      </c>
      <c r="D118" s="5" t="str">
        <f>"严家武"</f>
        <v>严家武</v>
      </c>
      <c r="E118" s="5" t="str">
        <f t="shared" si="7"/>
        <v>男</v>
      </c>
      <c r="F118" s="5" t="str">
        <f>"1997-09-27"</f>
        <v>1997-09-27</v>
      </c>
      <c r="G118" s="5"/>
    </row>
    <row r="119" spans="1:7" ht="19.5" customHeight="1">
      <c r="A119" s="4">
        <v>117</v>
      </c>
      <c r="B119" s="5" t="str">
        <f>"275420201209125047423"</f>
        <v>275420201209125047423</v>
      </c>
      <c r="C119" s="5" t="s">
        <v>8</v>
      </c>
      <c r="D119" s="5" t="str">
        <f>"陈惺惺"</f>
        <v>陈惺惺</v>
      </c>
      <c r="E119" s="5" t="str">
        <f>"女"</f>
        <v>女</v>
      </c>
      <c r="F119" s="5" t="str">
        <f>"1992-04-20"</f>
        <v>1992-04-20</v>
      </c>
      <c r="G119" s="5"/>
    </row>
    <row r="120" spans="1:7" ht="19.5" customHeight="1">
      <c r="A120" s="4">
        <v>118</v>
      </c>
      <c r="B120" s="5" t="str">
        <f>"275420201209140157431"</f>
        <v>275420201209140157431</v>
      </c>
      <c r="C120" s="5" t="s">
        <v>8</v>
      </c>
      <c r="D120" s="5" t="str">
        <f>"郑耀耀"</f>
        <v>郑耀耀</v>
      </c>
      <c r="E120" s="5" t="str">
        <f aca="true" t="shared" si="8" ref="E120:E126">"男"</f>
        <v>男</v>
      </c>
      <c r="F120" s="5" t="str">
        <f>"1990-10-16"</f>
        <v>1990-10-16</v>
      </c>
      <c r="G120" s="5"/>
    </row>
    <row r="121" spans="1:7" ht="19.5" customHeight="1">
      <c r="A121" s="4">
        <v>119</v>
      </c>
      <c r="B121" s="5" t="str">
        <f>"275420201209140644432"</f>
        <v>275420201209140644432</v>
      </c>
      <c r="C121" s="5" t="s">
        <v>8</v>
      </c>
      <c r="D121" s="5" t="str">
        <f>"蔡望"</f>
        <v>蔡望</v>
      </c>
      <c r="E121" s="5" t="str">
        <f t="shared" si="8"/>
        <v>男</v>
      </c>
      <c r="F121" s="5" t="str">
        <f>"1987-06-02"</f>
        <v>1987-06-02</v>
      </c>
      <c r="G121" s="5"/>
    </row>
    <row r="122" spans="1:7" ht="19.5" customHeight="1">
      <c r="A122" s="4">
        <v>120</v>
      </c>
      <c r="B122" s="5" t="str">
        <f>"275420201209151936438"</f>
        <v>275420201209151936438</v>
      </c>
      <c r="C122" s="5" t="s">
        <v>8</v>
      </c>
      <c r="D122" s="5" t="str">
        <f>"吴艳"</f>
        <v>吴艳</v>
      </c>
      <c r="E122" s="5" t="str">
        <f>"女"</f>
        <v>女</v>
      </c>
      <c r="F122" s="5" t="str">
        <f>"199709"</f>
        <v>199709</v>
      </c>
      <c r="G122" s="5"/>
    </row>
    <row r="123" spans="1:7" ht="19.5" customHeight="1">
      <c r="A123" s="4">
        <v>121</v>
      </c>
      <c r="B123" s="5" t="str">
        <f>"2754202012030920007"</f>
        <v>2754202012030920007</v>
      </c>
      <c r="C123" s="5" t="s">
        <v>9</v>
      </c>
      <c r="D123" s="5" t="str">
        <f>"周慧君"</f>
        <v>周慧君</v>
      </c>
      <c r="E123" s="5" t="str">
        <f>"女"</f>
        <v>女</v>
      </c>
      <c r="F123" s="5" t="str">
        <f>"1997-01-25"</f>
        <v>1997-01-25</v>
      </c>
      <c r="G123" s="5"/>
    </row>
    <row r="124" spans="1:7" ht="19.5" customHeight="1">
      <c r="A124" s="4">
        <v>122</v>
      </c>
      <c r="B124" s="5" t="str">
        <f>"27542020120309355611"</f>
        <v>27542020120309355611</v>
      </c>
      <c r="C124" s="5" t="s">
        <v>9</v>
      </c>
      <c r="D124" s="5" t="str">
        <f>"邢圣业"</f>
        <v>邢圣业</v>
      </c>
      <c r="E124" s="5" t="str">
        <f t="shared" si="8"/>
        <v>男</v>
      </c>
      <c r="F124" s="5" t="str">
        <f>"1993-10-20"</f>
        <v>1993-10-20</v>
      </c>
      <c r="G124" s="5"/>
    </row>
    <row r="125" spans="1:7" ht="19.5" customHeight="1">
      <c r="A125" s="4">
        <v>123</v>
      </c>
      <c r="B125" s="5" t="str">
        <f>"27542020120311281545"</f>
        <v>27542020120311281545</v>
      </c>
      <c r="C125" s="5" t="s">
        <v>9</v>
      </c>
      <c r="D125" s="5" t="str">
        <f>"李权"</f>
        <v>李权</v>
      </c>
      <c r="E125" s="5" t="str">
        <f t="shared" si="8"/>
        <v>男</v>
      </c>
      <c r="F125" s="5" t="str">
        <f>"1988-07-21"</f>
        <v>1988-07-21</v>
      </c>
      <c r="G125" s="5"/>
    </row>
    <row r="126" spans="1:7" ht="19.5" customHeight="1">
      <c r="A126" s="4">
        <v>124</v>
      </c>
      <c r="B126" s="5" t="str">
        <f>"27542020120311365946"</f>
        <v>27542020120311365946</v>
      </c>
      <c r="C126" s="5" t="s">
        <v>9</v>
      </c>
      <c r="D126" s="5" t="str">
        <f>"洪理"</f>
        <v>洪理</v>
      </c>
      <c r="E126" s="5" t="str">
        <f t="shared" si="8"/>
        <v>男</v>
      </c>
      <c r="F126" s="5" t="str">
        <f>"1985-12-07"</f>
        <v>1985-12-07</v>
      </c>
      <c r="G126" s="5"/>
    </row>
    <row r="127" spans="1:7" ht="19.5" customHeight="1">
      <c r="A127" s="4">
        <v>125</v>
      </c>
      <c r="B127" s="5" t="str">
        <f>"27542020120312055450"</f>
        <v>27542020120312055450</v>
      </c>
      <c r="C127" s="5" t="s">
        <v>9</v>
      </c>
      <c r="D127" s="5" t="str">
        <f>"颜振汝"</f>
        <v>颜振汝</v>
      </c>
      <c r="E127" s="5" t="str">
        <f aca="true" t="shared" si="9" ref="E127:E133">"女"</f>
        <v>女</v>
      </c>
      <c r="F127" s="5" t="str">
        <f>"1989-06-28"</f>
        <v>1989-06-28</v>
      </c>
      <c r="G127" s="5"/>
    </row>
    <row r="128" spans="1:7" ht="19.5" customHeight="1">
      <c r="A128" s="4">
        <v>126</v>
      </c>
      <c r="B128" s="5" t="str">
        <f>"27542020120312211852"</f>
        <v>27542020120312211852</v>
      </c>
      <c r="C128" s="5" t="s">
        <v>9</v>
      </c>
      <c r="D128" s="5" t="str">
        <f>"王世强"</f>
        <v>王世强</v>
      </c>
      <c r="E128" s="5" t="str">
        <f>"男"</f>
        <v>男</v>
      </c>
      <c r="F128" s="5" t="str">
        <f>"2000-12-10"</f>
        <v>2000-12-10</v>
      </c>
      <c r="G128" s="5"/>
    </row>
    <row r="129" spans="1:7" ht="19.5" customHeight="1">
      <c r="A129" s="4">
        <v>127</v>
      </c>
      <c r="B129" s="5" t="str">
        <f>"275420201203234846112"</f>
        <v>275420201203234846112</v>
      </c>
      <c r="C129" s="5" t="s">
        <v>9</v>
      </c>
      <c r="D129" s="5" t="str">
        <f>"陈珍兆"</f>
        <v>陈珍兆</v>
      </c>
      <c r="E129" s="5" t="str">
        <f t="shared" si="9"/>
        <v>女</v>
      </c>
      <c r="F129" s="5" t="str">
        <f>"1997-05-31"</f>
        <v>1997-05-31</v>
      </c>
      <c r="G129" s="5"/>
    </row>
    <row r="130" spans="1:7" ht="19.5" customHeight="1">
      <c r="A130" s="4">
        <v>128</v>
      </c>
      <c r="B130" s="5" t="str">
        <f>"275420201204111601143"</f>
        <v>275420201204111601143</v>
      </c>
      <c r="C130" s="5" t="s">
        <v>9</v>
      </c>
      <c r="D130" s="5" t="str">
        <f>"卢元君"</f>
        <v>卢元君</v>
      </c>
      <c r="E130" s="5" t="str">
        <f>"男"</f>
        <v>男</v>
      </c>
      <c r="F130" s="5" t="str">
        <f>"1990-03-21"</f>
        <v>1990-03-21</v>
      </c>
      <c r="G130" s="5"/>
    </row>
    <row r="131" spans="1:7" ht="19.5" customHeight="1">
      <c r="A131" s="4">
        <v>129</v>
      </c>
      <c r="B131" s="5" t="str">
        <f>"275420201204114402145"</f>
        <v>275420201204114402145</v>
      </c>
      <c r="C131" s="5" t="s">
        <v>9</v>
      </c>
      <c r="D131" s="5" t="str">
        <f>"王鹏"</f>
        <v>王鹏</v>
      </c>
      <c r="E131" s="5" t="str">
        <f>"男"</f>
        <v>男</v>
      </c>
      <c r="F131" s="5" t="str">
        <f>"1991-07-19"</f>
        <v>1991-07-19</v>
      </c>
      <c r="G131" s="5"/>
    </row>
    <row r="132" spans="1:7" ht="19.5" customHeight="1">
      <c r="A132" s="4">
        <v>130</v>
      </c>
      <c r="B132" s="5" t="str">
        <f>"275420201204120339148"</f>
        <v>275420201204120339148</v>
      </c>
      <c r="C132" s="5" t="s">
        <v>9</v>
      </c>
      <c r="D132" s="5" t="str">
        <f>"陈柏兴"</f>
        <v>陈柏兴</v>
      </c>
      <c r="E132" s="5" t="str">
        <f t="shared" si="9"/>
        <v>女</v>
      </c>
      <c r="F132" s="5" t="str">
        <f>"1997-01-07"</f>
        <v>1997-01-07</v>
      </c>
      <c r="G132" s="5"/>
    </row>
    <row r="133" spans="1:7" ht="19.5" customHeight="1">
      <c r="A133" s="4">
        <v>131</v>
      </c>
      <c r="B133" s="5" t="str">
        <f>"275420201204185315175"</f>
        <v>275420201204185315175</v>
      </c>
      <c r="C133" s="5" t="s">
        <v>9</v>
      </c>
      <c r="D133" s="5" t="str">
        <f>"吕凯茹"</f>
        <v>吕凯茹</v>
      </c>
      <c r="E133" s="5" t="str">
        <f t="shared" si="9"/>
        <v>女</v>
      </c>
      <c r="F133" s="5" t="str">
        <f>"1997-10-23"</f>
        <v>1997-10-23</v>
      </c>
      <c r="G133" s="5"/>
    </row>
    <row r="134" spans="1:7" ht="19.5" customHeight="1">
      <c r="A134" s="4">
        <v>132</v>
      </c>
      <c r="B134" s="5" t="str">
        <f>"275420201204203447180"</f>
        <v>275420201204203447180</v>
      </c>
      <c r="C134" s="5" t="s">
        <v>9</v>
      </c>
      <c r="D134" s="5" t="str">
        <f>"唐恒明"</f>
        <v>唐恒明</v>
      </c>
      <c r="E134" s="5" t="str">
        <f>"男"</f>
        <v>男</v>
      </c>
      <c r="F134" s="5" t="str">
        <f>"1992-12-26"</f>
        <v>1992-12-26</v>
      </c>
      <c r="G134" s="5"/>
    </row>
    <row r="135" spans="1:7" ht="19.5" customHeight="1">
      <c r="A135" s="4">
        <v>133</v>
      </c>
      <c r="B135" s="5" t="str">
        <f>"275420201204225423192"</f>
        <v>275420201204225423192</v>
      </c>
      <c r="C135" s="5" t="s">
        <v>9</v>
      </c>
      <c r="D135" s="5" t="str">
        <f>"蔡鲷钰"</f>
        <v>蔡鲷钰</v>
      </c>
      <c r="E135" s="5" t="str">
        <f>"女"</f>
        <v>女</v>
      </c>
      <c r="F135" s="5" t="str">
        <f>"1997-03-12"</f>
        <v>1997-03-12</v>
      </c>
      <c r="G135" s="5"/>
    </row>
    <row r="136" spans="1:7" ht="19.5" customHeight="1">
      <c r="A136" s="4">
        <v>134</v>
      </c>
      <c r="B136" s="5" t="str">
        <f>"275420201205034204197"</f>
        <v>275420201205034204197</v>
      </c>
      <c r="C136" s="5" t="s">
        <v>9</v>
      </c>
      <c r="D136" s="5" t="str">
        <f>"李君婵"</f>
        <v>李君婵</v>
      </c>
      <c r="E136" s="5" t="str">
        <f>"女"</f>
        <v>女</v>
      </c>
      <c r="F136" s="5" t="str">
        <f>"1994-03-24"</f>
        <v>1994-03-24</v>
      </c>
      <c r="G136" s="5"/>
    </row>
    <row r="137" spans="1:7" ht="19.5" customHeight="1">
      <c r="A137" s="4">
        <v>135</v>
      </c>
      <c r="B137" s="5" t="str">
        <f>"275420201205173919225"</f>
        <v>275420201205173919225</v>
      </c>
      <c r="C137" s="5" t="s">
        <v>9</v>
      </c>
      <c r="D137" s="5" t="str">
        <f>"许帮潮"</f>
        <v>许帮潮</v>
      </c>
      <c r="E137" s="5" t="str">
        <f aca="true" t="shared" si="10" ref="E137:E142">"男"</f>
        <v>男</v>
      </c>
      <c r="F137" s="5" t="str">
        <f>"1997-11-24"</f>
        <v>1997-11-24</v>
      </c>
      <c r="G137" s="5"/>
    </row>
    <row r="138" spans="1:7" ht="19.5" customHeight="1">
      <c r="A138" s="4">
        <v>136</v>
      </c>
      <c r="B138" s="5" t="str">
        <f>"275420201205185700227"</f>
        <v>275420201205185700227</v>
      </c>
      <c r="C138" s="5" t="s">
        <v>9</v>
      </c>
      <c r="D138" s="5" t="str">
        <f>"刘雅丽"</f>
        <v>刘雅丽</v>
      </c>
      <c r="E138" s="5" t="str">
        <f>"女"</f>
        <v>女</v>
      </c>
      <c r="F138" s="5" t="str">
        <f>"1993-06-07"</f>
        <v>1993-06-07</v>
      </c>
      <c r="G138" s="5"/>
    </row>
    <row r="139" spans="1:7" ht="19.5" customHeight="1">
      <c r="A139" s="4">
        <v>137</v>
      </c>
      <c r="B139" s="5" t="str">
        <f>"275420201206123855249"</f>
        <v>275420201206123855249</v>
      </c>
      <c r="C139" s="5" t="s">
        <v>9</v>
      </c>
      <c r="D139" s="5" t="str">
        <f>"邢梦馨"</f>
        <v>邢梦馨</v>
      </c>
      <c r="E139" s="5" t="str">
        <f>"女"</f>
        <v>女</v>
      </c>
      <c r="F139" s="5" t="str">
        <f>"1996-03-30"</f>
        <v>1996-03-30</v>
      </c>
      <c r="G139" s="5"/>
    </row>
    <row r="140" spans="1:7" ht="19.5" customHeight="1">
      <c r="A140" s="4">
        <v>138</v>
      </c>
      <c r="B140" s="5" t="str">
        <f>"275420201206181810264"</f>
        <v>275420201206181810264</v>
      </c>
      <c r="C140" s="5" t="s">
        <v>9</v>
      </c>
      <c r="D140" s="5" t="str">
        <f>"唐球"</f>
        <v>唐球</v>
      </c>
      <c r="E140" s="5" t="str">
        <f t="shared" si="10"/>
        <v>男</v>
      </c>
      <c r="F140" s="5" t="str">
        <f>"1989-02-15"</f>
        <v>1989-02-15</v>
      </c>
      <c r="G140" s="5"/>
    </row>
    <row r="141" spans="1:7" ht="19.5" customHeight="1">
      <c r="A141" s="4">
        <v>139</v>
      </c>
      <c r="B141" s="5" t="str">
        <f>"275420201206214305273"</f>
        <v>275420201206214305273</v>
      </c>
      <c r="C141" s="5" t="s">
        <v>9</v>
      </c>
      <c r="D141" s="5" t="str">
        <f>"朱壮波"</f>
        <v>朱壮波</v>
      </c>
      <c r="E141" s="5" t="str">
        <f t="shared" si="10"/>
        <v>男</v>
      </c>
      <c r="F141" s="5" t="str">
        <f>"1997-04-26"</f>
        <v>1997-04-26</v>
      </c>
      <c r="G141" s="5"/>
    </row>
    <row r="142" spans="1:7" ht="19.5" customHeight="1">
      <c r="A142" s="4">
        <v>140</v>
      </c>
      <c r="B142" s="5" t="str">
        <f>"275420201207111306296"</f>
        <v>275420201207111306296</v>
      </c>
      <c r="C142" s="5" t="s">
        <v>9</v>
      </c>
      <c r="D142" s="5" t="str">
        <f>"罗铭"</f>
        <v>罗铭</v>
      </c>
      <c r="E142" s="5" t="str">
        <f t="shared" si="10"/>
        <v>男</v>
      </c>
      <c r="F142" s="5" t="str">
        <f>"1998-03-28"</f>
        <v>1998-03-28</v>
      </c>
      <c r="G142" s="5"/>
    </row>
    <row r="143" spans="1:7" ht="19.5" customHeight="1">
      <c r="A143" s="4">
        <v>141</v>
      </c>
      <c r="B143" s="5" t="str">
        <f>"275420201207135118304"</f>
        <v>275420201207135118304</v>
      </c>
      <c r="C143" s="5" t="s">
        <v>9</v>
      </c>
      <c r="D143" s="5" t="str">
        <f>"王慧怡"</f>
        <v>王慧怡</v>
      </c>
      <c r="E143" s="5" t="str">
        <f>"女"</f>
        <v>女</v>
      </c>
      <c r="F143" s="5" t="str">
        <f>"1997-10-20"</f>
        <v>1997-10-20</v>
      </c>
      <c r="G143" s="5"/>
    </row>
    <row r="144" spans="1:7" ht="19.5" customHeight="1">
      <c r="A144" s="4">
        <v>142</v>
      </c>
      <c r="B144" s="5" t="str">
        <f>"275420201207145136307"</f>
        <v>275420201207145136307</v>
      </c>
      <c r="C144" s="5" t="s">
        <v>9</v>
      </c>
      <c r="D144" s="5" t="str">
        <f>"洪青兰"</f>
        <v>洪青兰</v>
      </c>
      <c r="E144" s="5" t="str">
        <f>"女"</f>
        <v>女</v>
      </c>
      <c r="F144" s="5" t="str">
        <f>"1985-11-15"</f>
        <v>1985-11-15</v>
      </c>
      <c r="G144" s="5"/>
    </row>
    <row r="145" spans="1:7" ht="19.5" customHeight="1">
      <c r="A145" s="4">
        <v>143</v>
      </c>
      <c r="B145" s="5" t="str">
        <f>"275420201207163806316"</f>
        <v>275420201207163806316</v>
      </c>
      <c r="C145" s="5" t="s">
        <v>9</v>
      </c>
      <c r="D145" s="5" t="str">
        <f>"王轩"</f>
        <v>王轩</v>
      </c>
      <c r="E145" s="5" t="str">
        <f aca="true" t="shared" si="11" ref="E145:E150">"男"</f>
        <v>男</v>
      </c>
      <c r="F145" s="5" t="str">
        <f>"1997-12-10"</f>
        <v>1997-12-10</v>
      </c>
      <c r="G145" s="5"/>
    </row>
    <row r="146" spans="1:7" ht="19.5" customHeight="1">
      <c r="A146" s="4">
        <v>144</v>
      </c>
      <c r="B146" s="5" t="str">
        <f>"275420201207202803335"</f>
        <v>275420201207202803335</v>
      </c>
      <c r="C146" s="5" t="s">
        <v>9</v>
      </c>
      <c r="D146" s="5" t="str">
        <f>"吉桂伦"</f>
        <v>吉桂伦</v>
      </c>
      <c r="E146" s="5" t="str">
        <f>"女"</f>
        <v>女</v>
      </c>
      <c r="F146" s="5" t="str">
        <f>"1992-11-04"</f>
        <v>1992-11-04</v>
      </c>
      <c r="G146" s="5"/>
    </row>
    <row r="147" spans="1:7" ht="19.5" customHeight="1">
      <c r="A147" s="4">
        <v>145</v>
      </c>
      <c r="B147" s="5" t="str">
        <f>"275420201207205711339"</f>
        <v>275420201207205711339</v>
      </c>
      <c r="C147" s="5" t="s">
        <v>9</v>
      </c>
      <c r="D147" s="5" t="str">
        <f>"洪金生"</f>
        <v>洪金生</v>
      </c>
      <c r="E147" s="5" t="str">
        <f t="shared" si="11"/>
        <v>男</v>
      </c>
      <c r="F147" s="5" t="str">
        <f>"1985-04-22"</f>
        <v>1985-04-22</v>
      </c>
      <c r="G147" s="5"/>
    </row>
    <row r="148" spans="1:7" ht="19.5" customHeight="1">
      <c r="A148" s="4">
        <v>146</v>
      </c>
      <c r="B148" s="5" t="str">
        <f>"275420201208120102364"</f>
        <v>275420201208120102364</v>
      </c>
      <c r="C148" s="5" t="s">
        <v>9</v>
      </c>
      <c r="D148" s="5" t="str">
        <f>"王提"</f>
        <v>王提</v>
      </c>
      <c r="E148" s="5" t="str">
        <f t="shared" si="11"/>
        <v>男</v>
      </c>
      <c r="F148" s="5" t="str">
        <f>"1992-05-05"</f>
        <v>1992-05-05</v>
      </c>
      <c r="G148" s="5"/>
    </row>
    <row r="149" spans="1:7" ht="19.5" customHeight="1">
      <c r="A149" s="4">
        <v>147</v>
      </c>
      <c r="B149" s="5" t="str">
        <f>"275420201208164224375"</f>
        <v>275420201208164224375</v>
      </c>
      <c r="C149" s="5" t="s">
        <v>9</v>
      </c>
      <c r="D149" s="5" t="str">
        <f>"陈黎明"</f>
        <v>陈黎明</v>
      </c>
      <c r="E149" s="5" t="str">
        <f t="shared" si="11"/>
        <v>男</v>
      </c>
      <c r="F149" s="5" t="str">
        <f>"1994-06-16"</f>
        <v>1994-06-16</v>
      </c>
      <c r="G149" s="5"/>
    </row>
    <row r="150" spans="1:7" ht="19.5" customHeight="1">
      <c r="A150" s="4">
        <v>148</v>
      </c>
      <c r="B150" s="5" t="str">
        <f>"275420201208194046385"</f>
        <v>275420201208194046385</v>
      </c>
      <c r="C150" s="5" t="s">
        <v>9</v>
      </c>
      <c r="D150" s="5" t="str">
        <f>"陈伟登"</f>
        <v>陈伟登</v>
      </c>
      <c r="E150" s="5" t="str">
        <f t="shared" si="11"/>
        <v>男</v>
      </c>
      <c r="F150" s="5" t="str">
        <f>"1997-03-05"</f>
        <v>1997-03-05</v>
      </c>
      <c r="G150" s="5"/>
    </row>
    <row r="151" spans="1:7" ht="19.5" customHeight="1">
      <c r="A151" s="4">
        <v>149</v>
      </c>
      <c r="B151" s="5" t="str">
        <f>"275420201209154229439"</f>
        <v>275420201209154229439</v>
      </c>
      <c r="C151" s="5" t="s">
        <v>9</v>
      </c>
      <c r="D151" s="5" t="str">
        <f>"王彩静 "</f>
        <v>王彩静 </v>
      </c>
      <c r="E151" s="5" t="str">
        <f aca="true" t="shared" si="12" ref="E151:E158">"女"</f>
        <v>女</v>
      </c>
      <c r="F151" s="5" t="str">
        <f>"1990-02-15"</f>
        <v>1990-02-15</v>
      </c>
      <c r="G151" s="5"/>
    </row>
    <row r="152" spans="1:7" ht="19.5" customHeight="1">
      <c r="A152" s="4">
        <v>150</v>
      </c>
      <c r="B152" s="5" t="str">
        <f>"275420201209163422445"</f>
        <v>275420201209163422445</v>
      </c>
      <c r="C152" s="5" t="s">
        <v>9</v>
      </c>
      <c r="D152" s="5" t="str">
        <f>"韦浩荣"</f>
        <v>韦浩荣</v>
      </c>
      <c r="E152" s="5" t="str">
        <f>"男"</f>
        <v>男</v>
      </c>
      <c r="F152" s="5" t="str">
        <f>"1997-04-06"</f>
        <v>1997-04-06</v>
      </c>
      <c r="G152" s="5"/>
    </row>
    <row r="153" spans="1:7" ht="19.5" customHeight="1">
      <c r="A153" s="4">
        <v>151</v>
      </c>
      <c r="B153" s="5" t="str">
        <f>"27542020120315582369"</f>
        <v>27542020120315582369</v>
      </c>
      <c r="C153" s="5" t="s">
        <v>10</v>
      </c>
      <c r="D153" s="5" t="str">
        <f>"韦燕"</f>
        <v>韦燕</v>
      </c>
      <c r="E153" s="5" t="str">
        <f t="shared" si="12"/>
        <v>女</v>
      </c>
      <c r="F153" s="5" t="str">
        <f>"1991-12-28"</f>
        <v>1991-12-28</v>
      </c>
      <c r="G153" s="5"/>
    </row>
    <row r="154" spans="1:7" ht="19.5" customHeight="1">
      <c r="A154" s="4">
        <v>152</v>
      </c>
      <c r="B154" s="5" t="str">
        <f>"275420201204161715166"</f>
        <v>275420201204161715166</v>
      </c>
      <c r="C154" s="5" t="s">
        <v>10</v>
      </c>
      <c r="D154" s="5" t="str">
        <f>"符璐"</f>
        <v>符璐</v>
      </c>
      <c r="E154" s="5" t="str">
        <f>"男"</f>
        <v>男</v>
      </c>
      <c r="F154" s="5" t="str">
        <f>"1992-01-12"</f>
        <v>1992-01-12</v>
      </c>
      <c r="G154" s="5"/>
    </row>
    <row r="155" spans="1:7" ht="19.5" customHeight="1">
      <c r="A155" s="4">
        <v>153</v>
      </c>
      <c r="B155" s="5" t="str">
        <f>"275420201204193807179"</f>
        <v>275420201204193807179</v>
      </c>
      <c r="C155" s="5" t="s">
        <v>10</v>
      </c>
      <c r="D155" s="5" t="str">
        <f>"梁定伟"</f>
        <v>梁定伟</v>
      </c>
      <c r="E155" s="5" t="str">
        <f>"男"</f>
        <v>男</v>
      </c>
      <c r="F155" s="5" t="str">
        <f>"1990-07-02"</f>
        <v>1990-07-02</v>
      </c>
      <c r="G155" s="5"/>
    </row>
    <row r="156" spans="1:7" ht="19.5" customHeight="1">
      <c r="A156" s="4">
        <v>154</v>
      </c>
      <c r="B156" s="5" t="str">
        <f>"275420201205115141206"</f>
        <v>275420201205115141206</v>
      </c>
      <c r="C156" s="5" t="s">
        <v>10</v>
      </c>
      <c r="D156" s="5" t="str">
        <f>"邢丽娟"</f>
        <v>邢丽娟</v>
      </c>
      <c r="E156" s="5" t="str">
        <f t="shared" si="12"/>
        <v>女</v>
      </c>
      <c r="F156" s="5" t="str">
        <f>"1985-04-20"</f>
        <v>1985-04-20</v>
      </c>
      <c r="G156" s="5"/>
    </row>
    <row r="157" spans="1:7" ht="19.5" customHeight="1">
      <c r="A157" s="4">
        <v>155</v>
      </c>
      <c r="B157" s="5" t="str">
        <f>"275420201209094646410"</f>
        <v>275420201209094646410</v>
      </c>
      <c r="C157" s="5" t="s">
        <v>10</v>
      </c>
      <c r="D157" s="5" t="str">
        <f>"陈晓轻"</f>
        <v>陈晓轻</v>
      </c>
      <c r="E157" s="5" t="str">
        <f t="shared" si="12"/>
        <v>女</v>
      </c>
      <c r="F157" s="5" t="str">
        <f>"1995-12-24"</f>
        <v>1995-12-24</v>
      </c>
      <c r="G157" s="5"/>
    </row>
    <row r="158" spans="1:7" ht="19.5" customHeight="1">
      <c r="A158" s="4">
        <v>156</v>
      </c>
      <c r="B158" s="5" t="str">
        <f>"27542020120309551415"</f>
        <v>27542020120309551415</v>
      </c>
      <c r="C158" s="5" t="s">
        <v>11</v>
      </c>
      <c r="D158" s="5" t="str">
        <f>"杨国仙"</f>
        <v>杨国仙</v>
      </c>
      <c r="E158" s="5" t="str">
        <f t="shared" si="12"/>
        <v>女</v>
      </c>
      <c r="F158" s="5" t="str">
        <f>"1997-03-20"</f>
        <v>1997-03-20</v>
      </c>
      <c r="G158" s="5"/>
    </row>
    <row r="159" spans="1:7" ht="19.5" customHeight="1">
      <c r="A159" s="4">
        <v>157</v>
      </c>
      <c r="B159" s="5" t="str">
        <f>"27542020120316031371"</f>
        <v>27542020120316031371</v>
      </c>
      <c r="C159" s="5" t="s">
        <v>11</v>
      </c>
      <c r="D159" s="5" t="str">
        <f>"周文聪"</f>
        <v>周文聪</v>
      </c>
      <c r="E159" s="5" t="str">
        <f>"男"</f>
        <v>男</v>
      </c>
      <c r="F159" s="5" t="str">
        <f>"1995-05-27"</f>
        <v>1995-05-27</v>
      </c>
      <c r="G159" s="5"/>
    </row>
    <row r="160" spans="1:7" ht="19.5" customHeight="1">
      <c r="A160" s="4">
        <v>158</v>
      </c>
      <c r="B160" s="5" t="str">
        <f>"27542020120316574180"</f>
        <v>27542020120316574180</v>
      </c>
      <c r="C160" s="5" t="s">
        <v>11</v>
      </c>
      <c r="D160" s="5" t="str">
        <f>"张泽荣"</f>
        <v>张泽荣</v>
      </c>
      <c r="E160" s="5" t="str">
        <f>"男"</f>
        <v>男</v>
      </c>
      <c r="F160" s="5" t="str">
        <f>"1996-06-07"</f>
        <v>1996-06-07</v>
      </c>
      <c r="G160" s="5"/>
    </row>
    <row r="161" spans="1:7" ht="19.5" customHeight="1">
      <c r="A161" s="4">
        <v>159</v>
      </c>
      <c r="B161" s="5" t="str">
        <f>"275420201205214459234"</f>
        <v>275420201205214459234</v>
      </c>
      <c r="C161" s="5" t="s">
        <v>11</v>
      </c>
      <c r="D161" s="5" t="str">
        <f>"黄家志"</f>
        <v>黄家志</v>
      </c>
      <c r="E161" s="5" t="str">
        <f>"男"</f>
        <v>男</v>
      </c>
      <c r="F161" s="5" t="str">
        <f>"1995-10-30"</f>
        <v>1995-10-30</v>
      </c>
      <c r="G161" s="5"/>
    </row>
    <row r="162" spans="1:7" ht="19.5" customHeight="1">
      <c r="A162" s="4">
        <v>160</v>
      </c>
      <c r="B162" s="5" t="str">
        <f>"275420201207092627283"</f>
        <v>275420201207092627283</v>
      </c>
      <c r="C162" s="5" t="s">
        <v>11</v>
      </c>
      <c r="D162" s="5" t="str">
        <f>"杨莉莎"</f>
        <v>杨莉莎</v>
      </c>
      <c r="E162" s="5" t="str">
        <f>"女"</f>
        <v>女</v>
      </c>
      <c r="F162" s="5" t="str">
        <f>"1994-05-02"</f>
        <v>1994-05-02</v>
      </c>
      <c r="G162" s="5"/>
    </row>
    <row r="163" spans="1:7" ht="19.5" customHeight="1">
      <c r="A163" s="4">
        <v>161</v>
      </c>
      <c r="B163" s="5" t="str">
        <f>"275420201207160208311"</f>
        <v>275420201207160208311</v>
      </c>
      <c r="C163" s="5" t="s">
        <v>11</v>
      </c>
      <c r="D163" s="5" t="str">
        <f>"陈亚婷"</f>
        <v>陈亚婷</v>
      </c>
      <c r="E163" s="5" t="str">
        <f>"女"</f>
        <v>女</v>
      </c>
      <c r="F163" s="5" t="str">
        <f>"1996-06-02"</f>
        <v>1996-06-02</v>
      </c>
      <c r="G163" s="5"/>
    </row>
    <row r="164" spans="1:7" ht="19.5" customHeight="1">
      <c r="A164" s="4">
        <v>162</v>
      </c>
      <c r="B164" s="5" t="str">
        <f>"275420201208152929371"</f>
        <v>275420201208152929371</v>
      </c>
      <c r="C164" s="5" t="s">
        <v>11</v>
      </c>
      <c r="D164" s="5" t="str">
        <f>"张俊梅"</f>
        <v>张俊梅</v>
      </c>
      <c r="E164" s="5" t="str">
        <f>"女"</f>
        <v>女</v>
      </c>
      <c r="F164" s="5" t="str">
        <f>"1988-12-05"</f>
        <v>1988-12-05</v>
      </c>
      <c r="G164" s="5"/>
    </row>
    <row r="165" spans="1:7" ht="19.5" customHeight="1">
      <c r="A165" s="4">
        <v>163</v>
      </c>
      <c r="B165" s="5" t="str">
        <f>"275420201208164923376"</f>
        <v>275420201208164923376</v>
      </c>
      <c r="C165" s="5" t="s">
        <v>11</v>
      </c>
      <c r="D165" s="5" t="str">
        <f>"张丰"</f>
        <v>张丰</v>
      </c>
      <c r="E165" s="5" t="str">
        <f>"男"</f>
        <v>男</v>
      </c>
      <c r="F165" s="5" t="str">
        <f>"1991-04-02"</f>
        <v>1991-04-02</v>
      </c>
      <c r="G165" s="5"/>
    </row>
    <row r="166" spans="1:7" ht="19.5" customHeight="1">
      <c r="A166" s="4">
        <v>164</v>
      </c>
      <c r="B166" s="5" t="str">
        <f>"27542020120319005894"</f>
        <v>27542020120319005894</v>
      </c>
      <c r="C166" s="5" t="s">
        <v>12</v>
      </c>
      <c r="D166" s="5" t="str">
        <f>"符壮月"</f>
        <v>符壮月</v>
      </c>
      <c r="E166" s="5" t="str">
        <f>"女"</f>
        <v>女</v>
      </c>
      <c r="F166" s="5" t="str">
        <f>"1995-09-09"</f>
        <v>1995-09-09</v>
      </c>
      <c r="G166" s="5"/>
    </row>
    <row r="167" spans="1:7" ht="19.5" customHeight="1">
      <c r="A167" s="4">
        <v>165</v>
      </c>
      <c r="B167" s="5" t="str">
        <f>"275420201204185213174"</f>
        <v>275420201204185213174</v>
      </c>
      <c r="C167" s="5" t="s">
        <v>12</v>
      </c>
      <c r="D167" s="5" t="str">
        <f>"杨武"</f>
        <v>杨武</v>
      </c>
      <c r="E167" s="5" t="str">
        <f>"男"</f>
        <v>男</v>
      </c>
      <c r="F167" s="5" t="str">
        <f>"1989-10-13"</f>
        <v>1989-10-13</v>
      </c>
      <c r="G167" s="5"/>
    </row>
    <row r="168" spans="1:7" ht="19.5" customHeight="1">
      <c r="A168" s="4">
        <v>166</v>
      </c>
      <c r="B168" s="5" t="str">
        <f>"275420201205163813220"</f>
        <v>275420201205163813220</v>
      </c>
      <c r="C168" s="5" t="s">
        <v>12</v>
      </c>
      <c r="D168" s="5" t="str">
        <f>"邢婉"</f>
        <v>邢婉</v>
      </c>
      <c r="E168" s="5" t="str">
        <f>"女"</f>
        <v>女</v>
      </c>
      <c r="F168" s="5" t="str">
        <f>"1994-12-13"</f>
        <v>1994-12-13</v>
      </c>
      <c r="G168" s="5"/>
    </row>
    <row r="169" spans="1:7" ht="19.5" customHeight="1">
      <c r="A169" s="4">
        <v>167</v>
      </c>
      <c r="B169" s="5" t="str">
        <f>"275420201206111347245"</f>
        <v>275420201206111347245</v>
      </c>
      <c r="C169" s="5" t="s">
        <v>12</v>
      </c>
      <c r="D169" s="5" t="str">
        <f>"邢增超"</f>
        <v>邢增超</v>
      </c>
      <c r="E169" s="5" t="str">
        <f>"男"</f>
        <v>男</v>
      </c>
      <c r="F169" s="5" t="str">
        <f>"1986-08-10"</f>
        <v>1986-08-10</v>
      </c>
      <c r="G169" s="5"/>
    </row>
    <row r="170" spans="1:7" ht="19.5" customHeight="1">
      <c r="A170" s="4">
        <v>168</v>
      </c>
      <c r="B170" s="5" t="str">
        <f>"275420201206180010263"</f>
        <v>275420201206180010263</v>
      </c>
      <c r="C170" s="5" t="s">
        <v>12</v>
      </c>
      <c r="D170" s="5" t="str">
        <f>"张小兰"</f>
        <v>张小兰</v>
      </c>
      <c r="E170" s="5" t="str">
        <f>"女"</f>
        <v>女</v>
      </c>
      <c r="F170" s="5" t="str">
        <f>"1989-09-18"</f>
        <v>1989-09-18</v>
      </c>
      <c r="G170" s="5"/>
    </row>
    <row r="171" spans="1:7" ht="19.5" customHeight="1">
      <c r="A171" s="4">
        <v>169</v>
      </c>
      <c r="B171" s="5" t="str">
        <f>"275420201209094410409"</f>
        <v>275420201209094410409</v>
      </c>
      <c r="C171" s="5" t="s">
        <v>12</v>
      </c>
      <c r="D171" s="5" t="str">
        <f>"唐宏亮"</f>
        <v>唐宏亮</v>
      </c>
      <c r="E171" s="5" t="str">
        <f aca="true" t="shared" si="13" ref="E171:E178">"男"</f>
        <v>男</v>
      </c>
      <c r="F171" s="5" t="str">
        <f>"1994-05-03"</f>
        <v>1994-05-03</v>
      </c>
      <c r="G171" s="5"/>
    </row>
    <row r="172" spans="1:7" ht="19.5" customHeight="1">
      <c r="A172" s="4">
        <v>170</v>
      </c>
      <c r="B172" s="5" t="str">
        <f>"2754202012030911154"</f>
        <v>2754202012030911154</v>
      </c>
      <c r="C172" s="5" t="s">
        <v>13</v>
      </c>
      <c r="D172" s="5" t="str">
        <f>"梁景富"</f>
        <v>梁景富</v>
      </c>
      <c r="E172" s="5" t="str">
        <f t="shared" si="13"/>
        <v>男</v>
      </c>
      <c r="F172" s="5" t="str">
        <f>"1995-03-20"</f>
        <v>1995-03-20</v>
      </c>
      <c r="G172" s="5"/>
    </row>
    <row r="173" spans="1:7" ht="19.5" customHeight="1">
      <c r="A173" s="4">
        <v>171</v>
      </c>
      <c r="B173" s="5" t="str">
        <f>"27542020120309532714"</f>
        <v>27542020120309532714</v>
      </c>
      <c r="C173" s="5" t="s">
        <v>13</v>
      </c>
      <c r="D173" s="5" t="str">
        <f>"杨国政"</f>
        <v>杨国政</v>
      </c>
      <c r="E173" s="5" t="str">
        <f>"女"</f>
        <v>女</v>
      </c>
      <c r="F173" s="5" t="str">
        <f>"1994-05-10"</f>
        <v>1994-05-10</v>
      </c>
      <c r="G173" s="5"/>
    </row>
    <row r="174" spans="1:7" ht="19.5" customHeight="1">
      <c r="A174" s="4">
        <v>172</v>
      </c>
      <c r="B174" s="5" t="str">
        <f>"27542020120309583916"</f>
        <v>27542020120309583916</v>
      </c>
      <c r="C174" s="5" t="s">
        <v>13</v>
      </c>
      <c r="D174" s="5" t="str">
        <f>"梁毓玲"</f>
        <v>梁毓玲</v>
      </c>
      <c r="E174" s="5" t="str">
        <f>"女"</f>
        <v>女</v>
      </c>
      <c r="F174" s="5" t="str">
        <f>"1992-06-23"</f>
        <v>1992-06-23</v>
      </c>
      <c r="G174" s="5"/>
    </row>
    <row r="175" spans="1:7" ht="19.5" customHeight="1">
      <c r="A175" s="4">
        <v>173</v>
      </c>
      <c r="B175" s="5" t="str">
        <f>"275420201205095913201"</f>
        <v>275420201205095913201</v>
      </c>
      <c r="C175" s="5" t="s">
        <v>13</v>
      </c>
      <c r="D175" s="5" t="str">
        <f>"谭彬"</f>
        <v>谭彬</v>
      </c>
      <c r="E175" s="5" t="str">
        <f t="shared" si="13"/>
        <v>男</v>
      </c>
      <c r="F175" s="5" t="str">
        <f>"1986-02-08"</f>
        <v>1986-02-08</v>
      </c>
      <c r="G175" s="5"/>
    </row>
    <row r="176" spans="1:7" ht="19.5" customHeight="1">
      <c r="A176" s="4">
        <v>174</v>
      </c>
      <c r="B176" s="5" t="str">
        <f>"275420201207085105280"</f>
        <v>275420201207085105280</v>
      </c>
      <c r="C176" s="5" t="s">
        <v>13</v>
      </c>
      <c r="D176" s="5" t="str">
        <f>"胡思远"</f>
        <v>胡思远</v>
      </c>
      <c r="E176" s="5" t="str">
        <f t="shared" si="13"/>
        <v>男</v>
      </c>
      <c r="F176" s="5" t="str">
        <f>"1986-10-11"</f>
        <v>1986-10-11</v>
      </c>
      <c r="G176" s="5"/>
    </row>
    <row r="177" spans="1:7" ht="19.5" customHeight="1">
      <c r="A177" s="4">
        <v>175</v>
      </c>
      <c r="B177" s="5" t="str">
        <f>"275420201208113715362"</f>
        <v>275420201208113715362</v>
      </c>
      <c r="C177" s="5" t="s">
        <v>13</v>
      </c>
      <c r="D177" s="5" t="str">
        <f>"张永膑"</f>
        <v>张永膑</v>
      </c>
      <c r="E177" s="5" t="str">
        <f t="shared" si="13"/>
        <v>男</v>
      </c>
      <c r="F177" s="5" t="str">
        <f>"1986-07-29"</f>
        <v>1986-07-29</v>
      </c>
      <c r="G177" s="5"/>
    </row>
    <row r="178" spans="1:7" ht="19.5" customHeight="1">
      <c r="A178" s="4">
        <v>176</v>
      </c>
      <c r="B178" s="5" t="str">
        <f>"275420201208154701372"</f>
        <v>275420201208154701372</v>
      </c>
      <c r="C178" s="5" t="s">
        <v>13</v>
      </c>
      <c r="D178" s="5" t="str">
        <f>"符政"</f>
        <v>符政</v>
      </c>
      <c r="E178" s="5" t="str">
        <f t="shared" si="13"/>
        <v>男</v>
      </c>
      <c r="F178" s="5" t="str">
        <f>"1988-05-10"</f>
        <v>1988-05-10</v>
      </c>
      <c r="G178" s="5"/>
    </row>
    <row r="179" spans="1:7" ht="19.5" customHeight="1">
      <c r="A179" s="4">
        <v>177</v>
      </c>
      <c r="B179" s="5" t="str">
        <f>"275420201209125114424"</f>
        <v>275420201209125114424</v>
      </c>
      <c r="C179" s="5" t="s">
        <v>13</v>
      </c>
      <c r="D179" s="5" t="str">
        <f>"高希昒"</f>
        <v>高希昒</v>
      </c>
      <c r="E179" s="5" t="str">
        <f>"女"</f>
        <v>女</v>
      </c>
      <c r="F179" s="5" t="str">
        <f>"1993-10-18"</f>
        <v>1993-10-18</v>
      </c>
      <c r="G179" s="5"/>
    </row>
    <row r="180" spans="1:7" ht="19.5" customHeight="1">
      <c r="A180" s="4">
        <v>178</v>
      </c>
      <c r="B180" s="5" t="str">
        <f>"275420201209161103444"</f>
        <v>275420201209161103444</v>
      </c>
      <c r="C180" s="5" t="s">
        <v>13</v>
      </c>
      <c r="D180" s="5" t="str">
        <f>"文妍妍"</f>
        <v>文妍妍</v>
      </c>
      <c r="E180" s="5" t="str">
        <f>"女"</f>
        <v>女</v>
      </c>
      <c r="F180" s="5" t="str">
        <f>"1997-01-12"</f>
        <v>1997-01-12</v>
      </c>
      <c r="G180" s="5"/>
    </row>
    <row r="181" spans="1:7" ht="19.5" customHeight="1">
      <c r="A181" s="4">
        <v>179</v>
      </c>
      <c r="B181" s="5" t="str">
        <f>"27542020120310185624"</f>
        <v>27542020120310185624</v>
      </c>
      <c r="C181" s="5" t="s">
        <v>14</v>
      </c>
      <c r="D181" s="5" t="str">
        <f>"林妹"</f>
        <v>林妹</v>
      </c>
      <c r="E181" s="5" t="str">
        <f>"女"</f>
        <v>女</v>
      </c>
      <c r="F181" s="5" t="str">
        <f>"1996-11-28"</f>
        <v>1996-11-28</v>
      </c>
      <c r="G181" s="5"/>
    </row>
    <row r="182" spans="1:7" ht="19.5" customHeight="1">
      <c r="A182" s="4">
        <v>180</v>
      </c>
      <c r="B182" s="5" t="str">
        <f>"27542020120310301425"</f>
        <v>27542020120310301425</v>
      </c>
      <c r="C182" s="5" t="s">
        <v>14</v>
      </c>
      <c r="D182" s="5" t="str">
        <f>"吴素漫"</f>
        <v>吴素漫</v>
      </c>
      <c r="E182" s="5" t="str">
        <f>"女"</f>
        <v>女</v>
      </c>
      <c r="F182" s="5" t="str">
        <f>"1996-04-29"</f>
        <v>1996-04-29</v>
      </c>
      <c r="G182" s="5"/>
    </row>
    <row r="183" spans="1:7" ht="19.5" customHeight="1">
      <c r="A183" s="4">
        <v>181</v>
      </c>
      <c r="B183" s="5" t="str">
        <f>"27542020120311003937"</f>
        <v>27542020120311003937</v>
      </c>
      <c r="C183" s="5" t="s">
        <v>14</v>
      </c>
      <c r="D183" s="5" t="str">
        <f>"纪新群"</f>
        <v>纪新群</v>
      </c>
      <c r="E183" s="5" t="str">
        <f>"女"</f>
        <v>女</v>
      </c>
      <c r="F183" s="5" t="str">
        <f>"1995-04-11"</f>
        <v>1995-04-11</v>
      </c>
      <c r="G183" s="5"/>
    </row>
    <row r="184" spans="1:7" ht="19.5" customHeight="1">
      <c r="A184" s="4">
        <v>182</v>
      </c>
      <c r="B184" s="5" t="str">
        <f>"27542020120318071387"</f>
        <v>27542020120318071387</v>
      </c>
      <c r="C184" s="5" t="s">
        <v>14</v>
      </c>
      <c r="D184" s="5" t="str">
        <f>"林莹"</f>
        <v>林莹</v>
      </c>
      <c r="E184" s="5" t="str">
        <f>"女"</f>
        <v>女</v>
      </c>
      <c r="F184" s="5" t="str">
        <f>"1984-12-11"</f>
        <v>1984-12-11</v>
      </c>
      <c r="G184" s="5"/>
    </row>
    <row r="185" spans="1:7" ht="19.5" customHeight="1">
      <c r="A185" s="4">
        <v>183</v>
      </c>
      <c r="B185" s="5" t="str">
        <f>"275420201203201628102"</f>
        <v>275420201203201628102</v>
      </c>
      <c r="C185" s="5" t="s">
        <v>14</v>
      </c>
      <c r="D185" s="5" t="str">
        <f>"孙鸿信"</f>
        <v>孙鸿信</v>
      </c>
      <c r="E185" s="5" t="str">
        <f>"男"</f>
        <v>男</v>
      </c>
      <c r="F185" s="5" t="str">
        <f>"1993-03-20"</f>
        <v>1993-03-20</v>
      </c>
      <c r="G185" s="5"/>
    </row>
    <row r="186" spans="1:7" ht="19.5" customHeight="1">
      <c r="A186" s="4">
        <v>184</v>
      </c>
      <c r="B186" s="5" t="str">
        <f>"275420201203211352107"</f>
        <v>275420201203211352107</v>
      </c>
      <c r="C186" s="5" t="s">
        <v>14</v>
      </c>
      <c r="D186" s="5" t="str">
        <f>"韦兴简"</f>
        <v>韦兴简</v>
      </c>
      <c r="E186" s="5" t="str">
        <f>"男"</f>
        <v>男</v>
      </c>
      <c r="F186" s="5" t="str">
        <f>"1989-03-05"</f>
        <v>1989-03-05</v>
      </c>
      <c r="G186" s="5"/>
    </row>
    <row r="187" spans="1:7" ht="19.5" customHeight="1">
      <c r="A187" s="4">
        <v>185</v>
      </c>
      <c r="B187" s="5" t="str">
        <f>"275420201204002846114"</f>
        <v>275420201204002846114</v>
      </c>
      <c r="C187" s="5" t="s">
        <v>14</v>
      </c>
      <c r="D187" s="5" t="str">
        <f>"王静"</f>
        <v>王静</v>
      </c>
      <c r="E187" s="5" t="str">
        <f>"女"</f>
        <v>女</v>
      </c>
      <c r="F187" s="5" t="str">
        <f>"1995-07-17"</f>
        <v>1995-07-17</v>
      </c>
      <c r="G187" s="5"/>
    </row>
    <row r="188" spans="1:7" ht="19.5" customHeight="1">
      <c r="A188" s="4">
        <v>186</v>
      </c>
      <c r="B188" s="5" t="str">
        <f>"275420201204090319119"</f>
        <v>275420201204090319119</v>
      </c>
      <c r="C188" s="5" t="s">
        <v>14</v>
      </c>
      <c r="D188" s="5" t="str">
        <f>"陈光娇"</f>
        <v>陈光娇</v>
      </c>
      <c r="E188" s="5" t="str">
        <f>"女"</f>
        <v>女</v>
      </c>
      <c r="F188" s="5" t="str">
        <f>"1995-05-26"</f>
        <v>1995-05-26</v>
      </c>
      <c r="G188" s="5"/>
    </row>
    <row r="189" spans="1:7" ht="19.5" customHeight="1">
      <c r="A189" s="4">
        <v>187</v>
      </c>
      <c r="B189" s="5" t="str">
        <f>"275420201204113024144"</f>
        <v>275420201204113024144</v>
      </c>
      <c r="C189" s="5" t="s">
        <v>14</v>
      </c>
      <c r="D189" s="5" t="str">
        <f>"洪玉盛"</f>
        <v>洪玉盛</v>
      </c>
      <c r="E189" s="5" t="str">
        <f>"男"</f>
        <v>男</v>
      </c>
      <c r="F189" s="5" t="str">
        <f>"1992-05-04"</f>
        <v>1992-05-04</v>
      </c>
      <c r="G189" s="5"/>
    </row>
    <row r="190" spans="1:7" ht="19.5" customHeight="1">
      <c r="A190" s="4">
        <v>188</v>
      </c>
      <c r="B190" s="5" t="str">
        <f>"275420201204151106161"</f>
        <v>275420201204151106161</v>
      </c>
      <c r="C190" s="5" t="s">
        <v>14</v>
      </c>
      <c r="D190" s="5" t="str">
        <f>"姚玉秀"</f>
        <v>姚玉秀</v>
      </c>
      <c r="E190" s="5" t="str">
        <f>"女"</f>
        <v>女</v>
      </c>
      <c r="F190" s="5" t="str">
        <f>"1991-06-19"</f>
        <v>1991-06-19</v>
      </c>
      <c r="G190" s="5"/>
    </row>
    <row r="191" spans="1:7" ht="19.5" customHeight="1">
      <c r="A191" s="4">
        <v>189</v>
      </c>
      <c r="B191" s="5" t="str">
        <f>"275420201204193106177"</f>
        <v>275420201204193106177</v>
      </c>
      <c r="C191" s="5" t="s">
        <v>14</v>
      </c>
      <c r="D191" s="5" t="str">
        <f>"陈登洲"</f>
        <v>陈登洲</v>
      </c>
      <c r="E191" s="5" t="str">
        <f>"女"</f>
        <v>女</v>
      </c>
      <c r="F191" s="5" t="str">
        <f>"1980-06-04"</f>
        <v>1980-06-04</v>
      </c>
      <c r="G191" s="5"/>
    </row>
    <row r="192" spans="1:7" ht="19.5" customHeight="1">
      <c r="A192" s="4">
        <v>190</v>
      </c>
      <c r="B192" s="5" t="str">
        <f>"275420201205104917203"</f>
        <v>275420201205104917203</v>
      </c>
      <c r="C192" s="5" t="s">
        <v>14</v>
      </c>
      <c r="D192" s="5" t="str">
        <f>"孙令雪"</f>
        <v>孙令雪</v>
      </c>
      <c r="E192" s="5" t="str">
        <f>"女"</f>
        <v>女</v>
      </c>
      <c r="F192" s="5" t="str">
        <f>"1983-12-01"</f>
        <v>1983-12-01</v>
      </c>
      <c r="G192" s="5"/>
    </row>
    <row r="193" spans="1:7" ht="19.5" customHeight="1">
      <c r="A193" s="4">
        <v>191</v>
      </c>
      <c r="B193" s="5" t="str">
        <f>"275420201205123306209"</f>
        <v>275420201205123306209</v>
      </c>
      <c r="C193" s="5" t="s">
        <v>14</v>
      </c>
      <c r="D193" s="5" t="str">
        <f>"纪新春"</f>
        <v>纪新春</v>
      </c>
      <c r="E193" s="5" t="str">
        <f>"女"</f>
        <v>女</v>
      </c>
      <c r="F193" s="5" t="str">
        <f>"1997-07-29"</f>
        <v>1997-07-29</v>
      </c>
      <c r="G193" s="5"/>
    </row>
    <row r="194" spans="1:7" ht="19.5" customHeight="1">
      <c r="A194" s="4">
        <v>192</v>
      </c>
      <c r="B194" s="5" t="str">
        <f>"275420201206170319257"</f>
        <v>275420201206170319257</v>
      </c>
      <c r="C194" s="5" t="s">
        <v>14</v>
      </c>
      <c r="D194" s="5" t="str">
        <f>"陈证富"</f>
        <v>陈证富</v>
      </c>
      <c r="E194" s="5" t="str">
        <f>"男"</f>
        <v>男</v>
      </c>
      <c r="F194" s="5" t="str">
        <f>"1994-04-15"</f>
        <v>1994-04-15</v>
      </c>
      <c r="G194" s="5"/>
    </row>
    <row r="195" spans="1:7" ht="19.5" customHeight="1">
      <c r="A195" s="4">
        <v>193</v>
      </c>
      <c r="B195" s="5" t="str">
        <f>"275420201207155821310"</f>
        <v>275420201207155821310</v>
      </c>
      <c r="C195" s="5" t="s">
        <v>14</v>
      </c>
      <c r="D195" s="5" t="str">
        <f>"陈永梅"</f>
        <v>陈永梅</v>
      </c>
      <c r="E195" s="5" t="str">
        <f>"女"</f>
        <v>女</v>
      </c>
      <c r="F195" s="5" t="str">
        <f>"1987-10-02"</f>
        <v>1987-10-02</v>
      </c>
      <c r="G195" s="5"/>
    </row>
    <row r="196" spans="1:7" ht="19.5" customHeight="1">
      <c r="A196" s="4">
        <v>194</v>
      </c>
      <c r="B196" s="5" t="str">
        <f>"275420201207184109323"</f>
        <v>275420201207184109323</v>
      </c>
      <c r="C196" s="5" t="s">
        <v>14</v>
      </c>
      <c r="D196" s="5" t="str">
        <f>"罗望"</f>
        <v>罗望</v>
      </c>
      <c r="E196" s="5" t="str">
        <f>"男"</f>
        <v>男</v>
      </c>
      <c r="F196" s="5" t="str">
        <f>"1990-09-12"</f>
        <v>1990-09-12</v>
      </c>
      <c r="G196" s="5"/>
    </row>
    <row r="197" spans="1:7" ht="19.5" customHeight="1">
      <c r="A197" s="4">
        <v>195</v>
      </c>
      <c r="B197" s="5" t="str">
        <f>"275420201208100105356"</f>
        <v>275420201208100105356</v>
      </c>
      <c r="C197" s="5" t="s">
        <v>14</v>
      </c>
      <c r="D197" s="5" t="str">
        <f>"刘阳顺"</f>
        <v>刘阳顺</v>
      </c>
      <c r="E197" s="5" t="str">
        <f>"女"</f>
        <v>女</v>
      </c>
      <c r="F197" s="5" t="str">
        <f>"1994-06-17"</f>
        <v>1994-06-17</v>
      </c>
      <c r="G197" s="5"/>
    </row>
    <row r="198" spans="1:7" ht="19.5" customHeight="1">
      <c r="A198" s="4">
        <v>196</v>
      </c>
      <c r="B198" s="5" t="str">
        <f>"275420201208142224368"</f>
        <v>275420201208142224368</v>
      </c>
      <c r="C198" s="5" t="s">
        <v>14</v>
      </c>
      <c r="D198" s="5" t="str">
        <f>"陈福赞"</f>
        <v>陈福赞</v>
      </c>
      <c r="E198" s="5" t="str">
        <f>"男"</f>
        <v>男</v>
      </c>
      <c r="F198" s="5" t="str">
        <f>"1989-06-12"</f>
        <v>1989-06-12</v>
      </c>
      <c r="G198" s="5"/>
    </row>
    <row r="199" spans="1:7" ht="19.5" customHeight="1">
      <c r="A199" s="4">
        <v>197</v>
      </c>
      <c r="B199" s="5" t="str">
        <f>"275420201209121031420"</f>
        <v>275420201209121031420</v>
      </c>
      <c r="C199" s="5" t="s">
        <v>14</v>
      </c>
      <c r="D199" s="5" t="str">
        <f>"卫卫"</f>
        <v>卫卫</v>
      </c>
      <c r="E199" s="5" t="str">
        <f>"男"</f>
        <v>男</v>
      </c>
      <c r="F199" s="5" t="str">
        <f>"1986-05-30"</f>
        <v>1986-05-30</v>
      </c>
      <c r="G199" s="5"/>
    </row>
    <row r="200" spans="1:7" ht="19.5" customHeight="1">
      <c r="A200" s="4">
        <v>198</v>
      </c>
      <c r="B200" s="5" t="str">
        <f>"275420201209145222436"</f>
        <v>275420201209145222436</v>
      </c>
      <c r="C200" s="5" t="s">
        <v>14</v>
      </c>
      <c r="D200" s="5" t="str">
        <f>"孙小珍"</f>
        <v>孙小珍</v>
      </c>
      <c r="E200" s="5" t="str">
        <f>"女"</f>
        <v>女</v>
      </c>
      <c r="F200" s="5" t="str">
        <f>"1995-09-03"</f>
        <v>1995-09-03</v>
      </c>
      <c r="G200" s="5"/>
    </row>
    <row r="201" spans="1:7" ht="19.5" customHeight="1">
      <c r="A201" s="4">
        <v>199</v>
      </c>
      <c r="B201" s="5" t="str">
        <f>"2754202012030916396"</f>
        <v>2754202012030916396</v>
      </c>
      <c r="C201" s="5" t="s">
        <v>15</v>
      </c>
      <c r="D201" s="5" t="str">
        <f>"陈积媚"</f>
        <v>陈积媚</v>
      </c>
      <c r="E201" s="5" t="str">
        <f>"女"</f>
        <v>女</v>
      </c>
      <c r="F201" s="5" t="str">
        <f>"1997-08-09"</f>
        <v>1997-08-09</v>
      </c>
      <c r="G201" s="5"/>
    </row>
    <row r="202" spans="1:7" ht="19.5" customHeight="1">
      <c r="A202" s="4">
        <v>200</v>
      </c>
      <c r="B202" s="5" t="str">
        <f>"2754202012030921268"</f>
        <v>2754202012030921268</v>
      </c>
      <c r="C202" s="5" t="s">
        <v>15</v>
      </c>
      <c r="D202" s="5" t="str">
        <f>"邢连珍"</f>
        <v>邢连珍</v>
      </c>
      <c r="E202" s="5" t="str">
        <f>"女"</f>
        <v>女</v>
      </c>
      <c r="F202" s="5" t="str">
        <f>"1996-08-08"</f>
        <v>1996-08-08</v>
      </c>
      <c r="G202" s="5"/>
    </row>
    <row r="203" spans="1:7" ht="19.5" customHeight="1">
      <c r="A203" s="4">
        <v>201</v>
      </c>
      <c r="B203" s="5" t="str">
        <f>"27542020120310040017"</f>
        <v>27542020120310040017</v>
      </c>
      <c r="C203" s="5" t="s">
        <v>15</v>
      </c>
      <c r="D203" s="5" t="str">
        <f>"潘子豪"</f>
        <v>潘子豪</v>
      </c>
      <c r="E203" s="5" t="str">
        <f>"男"</f>
        <v>男</v>
      </c>
      <c r="F203" s="5" t="str">
        <f>"1998-10-04"</f>
        <v>1998-10-04</v>
      </c>
      <c r="G203" s="5"/>
    </row>
    <row r="204" spans="1:7" ht="19.5" customHeight="1">
      <c r="A204" s="4">
        <v>202</v>
      </c>
      <c r="B204" s="5" t="str">
        <f>"27542020120310322826"</f>
        <v>27542020120310322826</v>
      </c>
      <c r="C204" s="5" t="s">
        <v>15</v>
      </c>
      <c r="D204" s="5" t="str">
        <f>"郑元寅"</f>
        <v>郑元寅</v>
      </c>
      <c r="E204" s="5" t="str">
        <f>"女"</f>
        <v>女</v>
      </c>
      <c r="F204" s="5" t="str">
        <f>"1988-03-18"</f>
        <v>1988-03-18</v>
      </c>
      <c r="G204" s="5"/>
    </row>
    <row r="205" spans="1:7" ht="19.5" customHeight="1">
      <c r="A205" s="4">
        <v>203</v>
      </c>
      <c r="B205" s="5" t="str">
        <f>"27542020120310421328"</f>
        <v>27542020120310421328</v>
      </c>
      <c r="C205" s="5" t="s">
        <v>15</v>
      </c>
      <c r="D205" s="5" t="str">
        <f>"麦石雄"</f>
        <v>麦石雄</v>
      </c>
      <c r="E205" s="5" t="str">
        <f>"男"</f>
        <v>男</v>
      </c>
      <c r="F205" s="5" t="str">
        <f>"1990-05-12"</f>
        <v>1990-05-12</v>
      </c>
      <c r="G205" s="5"/>
    </row>
    <row r="206" spans="1:7" ht="19.5" customHeight="1">
      <c r="A206" s="4">
        <v>204</v>
      </c>
      <c r="B206" s="5" t="str">
        <f>"27542020120311050139"</f>
        <v>27542020120311050139</v>
      </c>
      <c r="C206" s="5" t="s">
        <v>15</v>
      </c>
      <c r="D206" s="5" t="str">
        <f>"陈忠干"</f>
        <v>陈忠干</v>
      </c>
      <c r="E206" s="5" t="str">
        <f>"男"</f>
        <v>男</v>
      </c>
      <c r="F206" s="5" t="str">
        <f>"1984-06-19"</f>
        <v>1984-06-19</v>
      </c>
      <c r="G206" s="5"/>
    </row>
    <row r="207" spans="1:7" ht="19.5" customHeight="1">
      <c r="A207" s="4">
        <v>205</v>
      </c>
      <c r="B207" s="5" t="str">
        <f>"27542020120311053440"</f>
        <v>27542020120311053440</v>
      </c>
      <c r="C207" s="5" t="s">
        <v>15</v>
      </c>
      <c r="D207" s="5" t="str">
        <f>"黎春甜"</f>
        <v>黎春甜</v>
      </c>
      <c r="E207" s="5" t="str">
        <f>"女"</f>
        <v>女</v>
      </c>
      <c r="F207" s="5" t="str">
        <f>"1985-06-12"</f>
        <v>1985-06-12</v>
      </c>
      <c r="G207" s="5"/>
    </row>
    <row r="208" spans="1:7" ht="19.5" customHeight="1">
      <c r="A208" s="4">
        <v>206</v>
      </c>
      <c r="B208" s="5" t="str">
        <f>"27542020120311061641"</f>
        <v>27542020120311061641</v>
      </c>
      <c r="C208" s="5" t="s">
        <v>15</v>
      </c>
      <c r="D208" s="5" t="str">
        <f>"邢孔导"</f>
        <v>邢孔导</v>
      </c>
      <c r="E208" s="5" t="str">
        <f>"男"</f>
        <v>男</v>
      </c>
      <c r="F208" s="5" t="str">
        <f>"1985-04-13"</f>
        <v>1985-04-13</v>
      </c>
      <c r="G208" s="5"/>
    </row>
    <row r="209" spans="1:7" ht="19.5" customHeight="1">
      <c r="A209" s="4">
        <v>207</v>
      </c>
      <c r="B209" s="5" t="str">
        <f>"27542020120311131643"</f>
        <v>27542020120311131643</v>
      </c>
      <c r="C209" s="5" t="s">
        <v>15</v>
      </c>
      <c r="D209" s="5" t="str">
        <f>"汪春开"</f>
        <v>汪春开</v>
      </c>
      <c r="E209" s="5" t="str">
        <f>"男"</f>
        <v>男</v>
      </c>
      <c r="F209" s="5" t="str">
        <f>"1978-09-14"</f>
        <v>1978-09-14</v>
      </c>
      <c r="G209" s="5"/>
    </row>
    <row r="210" spans="1:7" ht="19.5" customHeight="1">
      <c r="A210" s="4">
        <v>208</v>
      </c>
      <c r="B210" s="5" t="str">
        <f>"27542020120312001148"</f>
        <v>27542020120312001148</v>
      </c>
      <c r="C210" s="5" t="s">
        <v>15</v>
      </c>
      <c r="D210" s="5" t="str">
        <f>"林资杰"</f>
        <v>林资杰</v>
      </c>
      <c r="E210" s="5" t="str">
        <f>"男"</f>
        <v>男</v>
      </c>
      <c r="F210" s="5" t="str">
        <f>"1998-09-22"</f>
        <v>1998-09-22</v>
      </c>
      <c r="G210" s="5"/>
    </row>
    <row r="211" spans="1:7" ht="19.5" customHeight="1">
      <c r="A211" s="4">
        <v>209</v>
      </c>
      <c r="B211" s="5" t="str">
        <f>"27542020120313044757"</f>
        <v>27542020120313044757</v>
      </c>
      <c r="C211" s="5" t="s">
        <v>15</v>
      </c>
      <c r="D211" s="5" t="str">
        <f>"麦芳棉"</f>
        <v>麦芳棉</v>
      </c>
      <c r="E211" s="5" t="str">
        <f>"女"</f>
        <v>女</v>
      </c>
      <c r="F211" s="5" t="str">
        <f>"1989-11-23"</f>
        <v>1989-11-23</v>
      </c>
      <c r="G211" s="5"/>
    </row>
    <row r="212" spans="1:7" ht="19.5" customHeight="1">
      <c r="A212" s="4">
        <v>210</v>
      </c>
      <c r="B212" s="5" t="str">
        <f>"27542020120313215558"</f>
        <v>27542020120313215558</v>
      </c>
      <c r="C212" s="5" t="s">
        <v>15</v>
      </c>
      <c r="D212" s="5" t="str">
        <f>"罗祥炯"</f>
        <v>罗祥炯</v>
      </c>
      <c r="E212" s="5" t="str">
        <f>"男"</f>
        <v>男</v>
      </c>
      <c r="F212" s="5" t="str">
        <f>"1992-12-28"</f>
        <v>1992-12-28</v>
      </c>
      <c r="G212" s="5"/>
    </row>
    <row r="213" spans="1:7" ht="19.5" customHeight="1">
      <c r="A213" s="4">
        <v>211</v>
      </c>
      <c r="B213" s="5" t="str">
        <f>"27542020120314595465"</f>
        <v>27542020120314595465</v>
      </c>
      <c r="C213" s="5" t="s">
        <v>15</v>
      </c>
      <c r="D213" s="5" t="str">
        <f>"周文杰"</f>
        <v>周文杰</v>
      </c>
      <c r="E213" s="5" t="str">
        <f>"男"</f>
        <v>男</v>
      </c>
      <c r="F213" s="5" t="str">
        <f>"1992-06-16"</f>
        <v>1992-06-16</v>
      </c>
      <c r="G213" s="5"/>
    </row>
    <row r="214" spans="1:7" ht="19.5" customHeight="1">
      <c r="A214" s="4">
        <v>212</v>
      </c>
      <c r="B214" s="5" t="str">
        <f>"27542020120316343577"</f>
        <v>27542020120316343577</v>
      </c>
      <c r="C214" s="5" t="s">
        <v>15</v>
      </c>
      <c r="D214" s="5" t="str">
        <f>"钟善静"</f>
        <v>钟善静</v>
      </c>
      <c r="E214" s="5" t="str">
        <f>"女"</f>
        <v>女</v>
      </c>
      <c r="F214" s="5" t="str">
        <f>"1993-04-08"</f>
        <v>1993-04-08</v>
      </c>
      <c r="G214" s="5"/>
    </row>
    <row r="215" spans="1:7" ht="19.5" customHeight="1">
      <c r="A215" s="4">
        <v>213</v>
      </c>
      <c r="B215" s="5" t="str">
        <f>"27542020120317001681"</f>
        <v>27542020120317001681</v>
      </c>
      <c r="C215" s="5" t="s">
        <v>15</v>
      </c>
      <c r="D215" s="5" t="str">
        <f>"邢维丽"</f>
        <v>邢维丽</v>
      </c>
      <c r="E215" s="5" t="str">
        <f>"女"</f>
        <v>女</v>
      </c>
      <c r="F215" s="5" t="str">
        <f>"1990-01-03"</f>
        <v>1990-01-03</v>
      </c>
      <c r="G215" s="5"/>
    </row>
    <row r="216" spans="1:7" ht="19.5" customHeight="1">
      <c r="A216" s="4">
        <v>214</v>
      </c>
      <c r="B216" s="5" t="str">
        <f>"27542020120318030486"</f>
        <v>27542020120318030486</v>
      </c>
      <c r="C216" s="5" t="s">
        <v>15</v>
      </c>
      <c r="D216" s="5" t="str">
        <f>"张品一"</f>
        <v>张品一</v>
      </c>
      <c r="E216" s="5" t="str">
        <f>"女"</f>
        <v>女</v>
      </c>
      <c r="F216" s="5" t="str">
        <f>"1997-07-19"</f>
        <v>1997-07-19</v>
      </c>
      <c r="G216" s="5"/>
    </row>
    <row r="217" spans="1:7" ht="19.5" customHeight="1">
      <c r="A217" s="4">
        <v>215</v>
      </c>
      <c r="B217" s="5" t="str">
        <f>"27542020120318150088"</f>
        <v>27542020120318150088</v>
      </c>
      <c r="C217" s="5" t="s">
        <v>15</v>
      </c>
      <c r="D217" s="5" t="str">
        <f>"周警"</f>
        <v>周警</v>
      </c>
      <c r="E217" s="5" t="str">
        <f>"男"</f>
        <v>男</v>
      </c>
      <c r="F217" s="5" t="str">
        <f>"1992-07-02"</f>
        <v>1992-07-02</v>
      </c>
      <c r="G217" s="5"/>
    </row>
    <row r="218" spans="1:7" ht="19.5" customHeight="1">
      <c r="A218" s="4">
        <v>216</v>
      </c>
      <c r="B218" s="5" t="str">
        <f>"275420201203220910111"</f>
        <v>275420201203220910111</v>
      </c>
      <c r="C218" s="5" t="s">
        <v>15</v>
      </c>
      <c r="D218" s="5" t="str">
        <f>"王昌民"</f>
        <v>王昌民</v>
      </c>
      <c r="E218" s="5" t="str">
        <f>"男"</f>
        <v>男</v>
      </c>
      <c r="F218" s="5" t="str">
        <f>"1995-10-19"</f>
        <v>1995-10-19</v>
      </c>
      <c r="G218" s="5"/>
    </row>
    <row r="219" spans="1:7" ht="19.5" customHeight="1">
      <c r="A219" s="4">
        <v>217</v>
      </c>
      <c r="B219" s="5" t="str">
        <f>"275420201204001730113"</f>
        <v>275420201204001730113</v>
      </c>
      <c r="C219" s="5" t="s">
        <v>15</v>
      </c>
      <c r="D219" s="5" t="str">
        <f>"唐永创"</f>
        <v>唐永创</v>
      </c>
      <c r="E219" s="5" t="str">
        <f>"男"</f>
        <v>男</v>
      </c>
      <c r="F219" s="5" t="str">
        <f>"1995-09-14"</f>
        <v>1995-09-14</v>
      </c>
      <c r="G219" s="5"/>
    </row>
    <row r="220" spans="1:7" ht="19.5" customHeight="1">
      <c r="A220" s="4">
        <v>218</v>
      </c>
      <c r="B220" s="5" t="str">
        <f>"275420201204095352126"</f>
        <v>275420201204095352126</v>
      </c>
      <c r="C220" s="5" t="s">
        <v>15</v>
      </c>
      <c r="D220" s="5" t="str">
        <f>"吉才娜"</f>
        <v>吉才娜</v>
      </c>
      <c r="E220" s="5" t="str">
        <f>"女"</f>
        <v>女</v>
      </c>
      <c r="F220" s="5" t="str">
        <f>"1984-01-01"</f>
        <v>1984-01-01</v>
      </c>
      <c r="G220" s="5"/>
    </row>
    <row r="221" spans="1:7" ht="19.5" customHeight="1">
      <c r="A221" s="4">
        <v>219</v>
      </c>
      <c r="B221" s="5" t="str">
        <f>"275420201204095910127"</f>
        <v>275420201204095910127</v>
      </c>
      <c r="C221" s="5" t="s">
        <v>15</v>
      </c>
      <c r="D221" s="5" t="str">
        <f>"王星星"</f>
        <v>王星星</v>
      </c>
      <c r="E221" s="5" t="str">
        <f>"女"</f>
        <v>女</v>
      </c>
      <c r="F221" s="5" t="str">
        <f>"1998-08-18"</f>
        <v>1998-08-18</v>
      </c>
      <c r="G221" s="5"/>
    </row>
    <row r="222" spans="1:7" ht="19.5" customHeight="1">
      <c r="A222" s="4">
        <v>220</v>
      </c>
      <c r="B222" s="5" t="str">
        <f>"275420201204145445159"</f>
        <v>275420201204145445159</v>
      </c>
      <c r="C222" s="5" t="s">
        <v>15</v>
      </c>
      <c r="D222" s="5" t="str">
        <f>"洪来"</f>
        <v>洪来</v>
      </c>
      <c r="E222" s="5" t="str">
        <f>"女"</f>
        <v>女</v>
      </c>
      <c r="F222" s="5" t="str">
        <f>"1986-07-02"</f>
        <v>1986-07-02</v>
      </c>
      <c r="G222" s="5"/>
    </row>
    <row r="223" spans="1:7" ht="19.5" customHeight="1">
      <c r="A223" s="4">
        <v>221</v>
      </c>
      <c r="B223" s="5" t="str">
        <f>"275420201204150206160"</f>
        <v>275420201204150206160</v>
      </c>
      <c r="C223" s="5" t="s">
        <v>15</v>
      </c>
      <c r="D223" s="5" t="str">
        <f>"林元奋"</f>
        <v>林元奋</v>
      </c>
      <c r="E223" s="5" t="str">
        <f>"男"</f>
        <v>男</v>
      </c>
      <c r="F223" s="5" t="str">
        <f>"1976-07-02"</f>
        <v>1976-07-02</v>
      </c>
      <c r="G223" s="5"/>
    </row>
    <row r="224" spans="1:7" ht="19.5" customHeight="1">
      <c r="A224" s="4">
        <v>222</v>
      </c>
      <c r="B224" s="5" t="str">
        <f>"275420201204181627172"</f>
        <v>275420201204181627172</v>
      </c>
      <c r="C224" s="5" t="s">
        <v>15</v>
      </c>
      <c r="D224" s="5" t="str">
        <f>"周文婷"</f>
        <v>周文婷</v>
      </c>
      <c r="E224" s="5" t="str">
        <f>"女"</f>
        <v>女</v>
      </c>
      <c r="F224" s="5" t="str">
        <f>"1990-05-12"</f>
        <v>1990-05-12</v>
      </c>
      <c r="G224" s="5"/>
    </row>
    <row r="225" spans="1:7" ht="19.5" customHeight="1">
      <c r="A225" s="4">
        <v>223</v>
      </c>
      <c r="B225" s="5" t="str">
        <f>"275420201204193402178"</f>
        <v>275420201204193402178</v>
      </c>
      <c r="C225" s="5" t="s">
        <v>15</v>
      </c>
      <c r="D225" s="5" t="str">
        <f>"容智探"</f>
        <v>容智探</v>
      </c>
      <c r="E225" s="5" t="str">
        <f>"男"</f>
        <v>男</v>
      </c>
      <c r="F225" s="5" t="str">
        <f>"1996-06-26"</f>
        <v>1996-06-26</v>
      </c>
      <c r="G225" s="5"/>
    </row>
    <row r="226" spans="1:7" ht="19.5" customHeight="1">
      <c r="A226" s="4">
        <v>224</v>
      </c>
      <c r="B226" s="5" t="str">
        <f>"275420201204221244190"</f>
        <v>275420201204221244190</v>
      </c>
      <c r="C226" s="5" t="s">
        <v>15</v>
      </c>
      <c r="D226" s="5" t="str">
        <f>"韦兴慧"</f>
        <v>韦兴慧</v>
      </c>
      <c r="E226" s="5" t="str">
        <f>"女"</f>
        <v>女</v>
      </c>
      <c r="F226" s="5" t="str">
        <f>"1995-01-20"</f>
        <v>1995-01-20</v>
      </c>
      <c r="G226" s="5"/>
    </row>
    <row r="227" spans="1:7" ht="19.5" customHeight="1">
      <c r="A227" s="4">
        <v>225</v>
      </c>
      <c r="B227" s="5" t="str">
        <f>"275420201205162728217"</f>
        <v>275420201205162728217</v>
      </c>
      <c r="C227" s="5" t="s">
        <v>15</v>
      </c>
      <c r="D227" s="5" t="str">
        <f>"周啟导"</f>
        <v>周啟导</v>
      </c>
      <c r="E227" s="5" t="str">
        <f>"男"</f>
        <v>男</v>
      </c>
      <c r="F227" s="5" t="str">
        <f>"1991-07-17"</f>
        <v>1991-07-17</v>
      </c>
      <c r="G227" s="5"/>
    </row>
    <row r="228" spans="1:7" ht="19.5" customHeight="1">
      <c r="A228" s="4">
        <v>226</v>
      </c>
      <c r="B228" s="5" t="str">
        <f>"275420201205164400221"</f>
        <v>275420201205164400221</v>
      </c>
      <c r="C228" s="5" t="s">
        <v>15</v>
      </c>
      <c r="D228" s="5" t="str">
        <f>"林云鹏"</f>
        <v>林云鹏</v>
      </c>
      <c r="E228" s="5" t="str">
        <f>"男"</f>
        <v>男</v>
      </c>
      <c r="F228" s="5" t="str">
        <f>"1996-12-08"</f>
        <v>1996-12-08</v>
      </c>
      <c r="G228" s="5"/>
    </row>
    <row r="229" spans="1:7" ht="19.5" customHeight="1">
      <c r="A229" s="4">
        <v>227</v>
      </c>
      <c r="B229" s="5" t="str">
        <f>"275420201206113652246"</f>
        <v>275420201206113652246</v>
      </c>
      <c r="C229" s="5" t="s">
        <v>15</v>
      </c>
      <c r="D229" s="5" t="str">
        <f>"吉才捷"</f>
        <v>吉才捷</v>
      </c>
      <c r="E229" s="5" t="str">
        <f>"男"</f>
        <v>男</v>
      </c>
      <c r="F229" s="5" t="str">
        <f>"1998-12-08"</f>
        <v>1998-12-08</v>
      </c>
      <c r="G229" s="5"/>
    </row>
    <row r="230" spans="1:7" ht="19.5" customHeight="1">
      <c r="A230" s="4">
        <v>228</v>
      </c>
      <c r="B230" s="5" t="str">
        <f>"275420201206142422251"</f>
        <v>275420201206142422251</v>
      </c>
      <c r="C230" s="5" t="s">
        <v>15</v>
      </c>
      <c r="D230" s="5" t="str">
        <f>"蔡容"</f>
        <v>蔡容</v>
      </c>
      <c r="E230" s="5" t="str">
        <f>"女"</f>
        <v>女</v>
      </c>
      <c r="F230" s="5" t="str">
        <f>"1996-06-30"</f>
        <v>1996-06-30</v>
      </c>
      <c r="G230" s="5"/>
    </row>
    <row r="231" spans="1:7" ht="19.5" customHeight="1">
      <c r="A231" s="4">
        <v>229</v>
      </c>
      <c r="B231" s="5" t="str">
        <f>"275420201206144128252"</f>
        <v>275420201206144128252</v>
      </c>
      <c r="C231" s="5" t="s">
        <v>15</v>
      </c>
      <c r="D231" s="5" t="str">
        <f>"吉彦玉"</f>
        <v>吉彦玉</v>
      </c>
      <c r="E231" s="5" t="str">
        <f>"女"</f>
        <v>女</v>
      </c>
      <c r="F231" s="5" t="str">
        <f>"1989-06-08"</f>
        <v>1989-06-08</v>
      </c>
      <c r="G231" s="5"/>
    </row>
    <row r="232" spans="1:7" ht="19.5" customHeight="1">
      <c r="A232" s="4">
        <v>230</v>
      </c>
      <c r="B232" s="5" t="str">
        <f>"275420201206144524253"</f>
        <v>275420201206144524253</v>
      </c>
      <c r="C232" s="5" t="s">
        <v>15</v>
      </c>
      <c r="D232" s="5" t="str">
        <f>"陈桦"</f>
        <v>陈桦</v>
      </c>
      <c r="E232" s="5" t="str">
        <f>"男"</f>
        <v>男</v>
      </c>
      <c r="F232" s="5" t="str">
        <f>"1990-07-08"</f>
        <v>1990-07-08</v>
      </c>
      <c r="G232" s="5"/>
    </row>
    <row r="233" spans="1:7" ht="19.5" customHeight="1">
      <c r="A233" s="4">
        <v>231</v>
      </c>
      <c r="B233" s="5" t="str">
        <f>"275420201206171648261"</f>
        <v>275420201206171648261</v>
      </c>
      <c r="C233" s="5" t="s">
        <v>15</v>
      </c>
      <c r="D233" s="5" t="str">
        <f>"何钻"</f>
        <v>何钻</v>
      </c>
      <c r="E233" s="5" t="str">
        <f>"男"</f>
        <v>男</v>
      </c>
      <c r="F233" s="5" t="str">
        <f>"1981-08-09"</f>
        <v>1981-08-09</v>
      </c>
      <c r="G233" s="5"/>
    </row>
    <row r="234" spans="1:7" ht="19.5" customHeight="1">
      <c r="A234" s="4">
        <v>232</v>
      </c>
      <c r="B234" s="5" t="str">
        <f>"275420201206173010262"</f>
        <v>275420201206173010262</v>
      </c>
      <c r="C234" s="5" t="s">
        <v>15</v>
      </c>
      <c r="D234" s="5" t="str">
        <f>"罗学灿"</f>
        <v>罗学灿</v>
      </c>
      <c r="E234" s="5" t="str">
        <f>"男"</f>
        <v>男</v>
      </c>
      <c r="F234" s="5" t="str">
        <f>"1987-11-08"</f>
        <v>1987-11-08</v>
      </c>
      <c r="G234" s="5"/>
    </row>
    <row r="235" spans="1:7" ht="19.5" customHeight="1">
      <c r="A235" s="4">
        <v>233</v>
      </c>
      <c r="B235" s="5" t="str">
        <f>"275420201206202619271"</f>
        <v>275420201206202619271</v>
      </c>
      <c r="C235" s="5" t="s">
        <v>15</v>
      </c>
      <c r="D235" s="5" t="str">
        <f>"魏大江"</f>
        <v>魏大江</v>
      </c>
      <c r="E235" s="5" t="str">
        <f>"男"</f>
        <v>男</v>
      </c>
      <c r="F235" s="5" t="str">
        <f>"1988-09-28"</f>
        <v>1988-09-28</v>
      </c>
      <c r="G235" s="5"/>
    </row>
    <row r="236" spans="1:7" ht="19.5" customHeight="1">
      <c r="A236" s="4">
        <v>234</v>
      </c>
      <c r="B236" s="5" t="str">
        <f>"275420201207100418288"</f>
        <v>275420201207100418288</v>
      </c>
      <c r="C236" s="5" t="s">
        <v>15</v>
      </c>
      <c r="D236" s="5" t="str">
        <f>"罗才尚"</f>
        <v>罗才尚</v>
      </c>
      <c r="E236" s="5" t="str">
        <f>"男"</f>
        <v>男</v>
      </c>
      <c r="F236" s="5" t="str">
        <f>"1990-08-16"</f>
        <v>1990-08-16</v>
      </c>
      <c r="G236" s="5"/>
    </row>
    <row r="237" spans="1:7" ht="19.5" customHeight="1">
      <c r="A237" s="4">
        <v>235</v>
      </c>
      <c r="B237" s="5" t="str">
        <f>"275420201207104420293"</f>
        <v>275420201207104420293</v>
      </c>
      <c r="C237" s="5" t="s">
        <v>15</v>
      </c>
      <c r="D237" s="5" t="str">
        <f>"吴丹丹"</f>
        <v>吴丹丹</v>
      </c>
      <c r="E237" s="5" t="str">
        <f aca="true" t="shared" si="14" ref="E237:E242">"女"</f>
        <v>女</v>
      </c>
      <c r="F237" s="5" t="str">
        <f>"1992-03-07"</f>
        <v>1992-03-07</v>
      </c>
      <c r="G237" s="5"/>
    </row>
    <row r="238" spans="1:7" ht="19.5" customHeight="1">
      <c r="A238" s="4">
        <v>236</v>
      </c>
      <c r="B238" s="5" t="str">
        <f>"275420201207110101295"</f>
        <v>275420201207110101295</v>
      </c>
      <c r="C238" s="5" t="s">
        <v>15</v>
      </c>
      <c r="D238" s="5" t="str">
        <f>"郭照琳"</f>
        <v>郭照琳</v>
      </c>
      <c r="E238" s="5" t="str">
        <f t="shared" si="14"/>
        <v>女</v>
      </c>
      <c r="F238" s="5" t="str">
        <f>"1998-10-20"</f>
        <v>1998-10-20</v>
      </c>
      <c r="G238" s="5"/>
    </row>
    <row r="239" spans="1:7" ht="19.5" customHeight="1">
      <c r="A239" s="4">
        <v>237</v>
      </c>
      <c r="B239" s="5" t="str">
        <f>"275420201207135412305"</f>
        <v>275420201207135412305</v>
      </c>
      <c r="C239" s="5" t="s">
        <v>15</v>
      </c>
      <c r="D239" s="5" t="str">
        <f>"林芳莺"</f>
        <v>林芳莺</v>
      </c>
      <c r="E239" s="5" t="str">
        <f t="shared" si="14"/>
        <v>女</v>
      </c>
      <c r="F239" s="5" t="str">
        <f>"1982-01-16"</f>
        <v>1982-01-16</v>
      </c>
      <c r="G239" s="5"/>
    </row>
    <row r="240" spans="1:7" ht="19.5" customHeight="1">
      <c r="A240" s="4">
        <v>238</v>
      </c>
      <c r="B240" s="5" t="str">
        <f>"275420201207164651318"</f>
        <v>275420201207164651318</v>
      </c>
      <c r="C240" s="5" t="s">
        <v>15</v>
      </c>
      <c r="D240" s="5" t="str">
        <f>"陈运艳"</f>
        <v>陈运艳</v>
      </c>
      <c r="E240" s="5" t="str">
        <f t="shared" si="14"/>
        <v>女</v>
      </c>
      <c r="F240" s="5" t="str">
        <f>"1995-06-02"</f>
        <v>1995-06-02</v>
      </c>
      <c r="G240" s="5"/>
    </row>
    <row r="241" spans="1:7" ht="19.5" customHeight="1">
      <c r="A241" s="4">
        <v>239</v>
      </c>
      <c r="B241" s="5" t="str">
        <f>"275420201207190626326"</f>
        <v>275420201207190626326</v>
      </c>
      <c r="C241" s="5" t="s">
        <v>15</v>
      </c>
      <c r="D241" s="5" t="str">
        <f>"陈嘉裕"</f>
        <v>陈嘉裕</v>
      </c>
      <c r="E241" s="5" t="str">
        <f t="shared" si="14"/>
        <v>女</v>
      </c>
      <c r="F241" s="5" t="str">
        <f>"1994-06-02"</f>
        <v>1994-06-02</v>
      </c>
      <c r="G241" s="5"/>
    </row>
    <row r="242" spans="1:7" ht="19.5" customHeight="1">
      <c r="A242" s="4">
        <v>240</v>
      </c>
      <c r="B242" s="5" t="str">
        <f>"275420201207195656332"</f>
        <v>275420201207195656332</v>
      </c>
      <c r="C242" s="5" t="s">
        <v>15</v>
      </c>
      <c r="D242" s="5" t="str">
        <f>"吴莎莎"</f>
        <v>吴莎莎</v>
      </c>
      <c r="E242" s="5" t="str">
        <f t="shared" si="14"/>
        <v>女</v>
      </c>
      <c r="F242" s="5" t="str">
        <f>"1997-06-05"</f>
        <v>1997-06-05</v>
      </c>
      <c r="G242" s="5"/>
    </row>
    <row r="243" spans="1:7" ht="19.5" customHeight="1">
      <c r="A243" s="4">
        <v>241</v>
      </c>
      <c r="B243" s="5" t="str">
        <f>"275420201207210230340"</f>
        <v>275420201207210230340</v>
      </c>
      <c r="C243" s="5" t="s">
        <v>15</v>
      </c>
      <c r="D243" s="5" t="str">
        <f>"林岸"</f>
        <v>林岸</v>
      </c>
      <c r="E243" s="5" t="str">
        <f>"男"</f>
        <v>男</v>
      </c>
      <c r="F243" s="5" t="str">
        <f>"1981-11-27"</f>
        <v>1981-11-27</v>
      </c>
      <c r="G243" s="5"/>
    </row>
    <row r="244" spans="1:7" ht="19.5" customHeight="1">
      <c r="A244" s="4">
        <v>242</v>
      </c>
      <c r="B244" s="5" t="str">
        <f>"275420201208001901349"</f>
        <v>275420201208001901349</v>
      </c>
      <c r="C244" s="5" t="s">
        <v>15</v>
      </c>
      <c r="D244" s="5" t="str">
        <f>"高人钦"</f>
        <v>高人钦</v>
      </c>
      <c r="E244" s="5" t="str">
        <f>"男"</f>
        <v>男</v>
      </c>
      <c r="F244" s="5" t="str">
        <f>"1998-05-05"</f>
        <v>1998-05-05</v>
      </c>
      <c r="G244" s="5"/>
    </row>
    <row r="245" spans="1:7" ht="19.5" customHeight="1">
      <c r="A245" s="4">
        <v>243</v>
      </c>
      <c r="B245" s="5" t="str">
        <f>"275420201208172048378"</f>
        <v>275420201208172048378</v>
      </c>
      <c r="C245" s="5" t="s">
        <v>15</v>
      </c>
      <c r="D245" s="5" t="str">
        <f>"黎水红"</f>
        <v>黎水红</v>
      </c>
      <c r="E245" s="5" t="str">
        <f>"女"</f>
        <v>女</v>
      </c>
      <c r="F245" s="5" t="str">
        <f>"1997-04-26"</f>
        <v>1997-04-26</v>
      </c>
      <c r="G245" s="5"/>
    </row>
    <row r="246" spans="1:7" ht="19.5" customHeight="1">
      <c r="A246" s="4">
        <v>244</v>
      </c>
      <c r="B246" s="5" t="str">
        <f>"275420201208183030382"</f>
        <v>275420201208183030382</v>
      </c>
      <c r="C246" s="5" t="s">
        <v>15</v>
      </c>
      <c r="D246" s="5" t="str">
        <f>"罗才维"</f>
        <v>罗才维</v>
      </c>
      <c r="E246" s="5" t="str">
        <f>"男"</f>
        <v>男</v>
      </c>
      <c r="F246" s="5" t="str">
        <f>"1997-04-26"</f>
        <v>1997-04-26</v>
      </c>
      <c r="G246" s="5"/>
    </row>
    <row r="247" spans="1:7" ht="19.5" customHeight="1">
      <c r="A247" s="4">
        <v>245</v>
      </c>
      <c r="B247" s="5" t="str">
        <f>"275420201208224244393"</f>
        <v>275420201208224244393</v>
      </c>
      <c r="C247" s="5" t="s">
        <v>15</v>
      </c>
      <c r="D247" s="5" t="str">
        <f>"邢福珍"</f>
        <v>邢福珍</v>
      </c>
      <c r="E247" s="5" t="str">
        <f>"女"</f>
        <v>女</v>
      </c>
      <c r="F247" s="5" t="str">
        <f>"1985-05-06"</f>
        <v>1985-05-06</v>
      </c>
      <c r="G247" s="5"/>
    </row>
    <row r="248" spans="1:7" ht="19.5" customHeight="1">
      <c r="A248" s="4">
        <v>246</v>
      </c>
      <c r="B248" s="5" t="str">
        <f>"275420201209142026433"</f>
        <v>275420201209142026433</v>
      </c>
      <c r="C248" s="5" t="s">
        <v>15</v>
      </c>
      <c r="D248" s="5" t="str">
        <f>"陈汝珍"</f>
        <v>陈汝珍</v>
      </c>
      <c r="E248" s="5" t="str">
        <f>"女"</f>
        <v>女</v>
      </c>
      <c r="F248" s="5" t="str">
        <f>"1990-07-28"</f>
        <v>1990-07-28</v>
      </c>
      <c r="G248" s="5"/>
    </row>
    <row r="249" spans="1:7" ht="19.5" customHeight="1">
      <c r="A249" s="4">
        <v>247</v>
      </c>
      <c r="B249" s="5" t="str">
        <f>"2754202012030909232"</f>
        <v>2754202012030909232</v>
      </c>
      <c r="C249" s="5" t="s">
        <v>16</v>
      </c>
      <c r="D249" s="5" t="str">
        <f>"陈积榕"</f>
        <v>陈积榕</v>
      </c>
      <c r="E249" s="5" t="str">
        <f>"女"</f>
        <v>女</v>
      </c>
      <c r="F249" s="5" t="str">
        <f>"1998-08-24"</f>
        <v>1998-08-24</v>
      </c>
      <c r="G249" s="5"/>
    </row>
    <row r="250" spans="1:7" ht="19.5" customHeight="1">
      <c r="A250" s="4">
        <v>248</v>
      </c>
      <c r="B250" s="5" t="str">
        <f>"27542020120310050819"</f>
        <v>27542020120310050819</v>
      </c>
      <c r="C250" s="5" t="s">
        <v>16</v>
      </c>
      <c r="D250" s="5" t="str">
        <f>"关井康"</f>
        <v>关井康</v>
      </c>
      <c r="E250" s="5" t="str">
        <f>"男"</f>
        <v>男</v>
      </c>
      <c r="F250" s="5" t="str">
        <f>"1988-09-06"</f>
        <v>1988-09-06</v>
      </c>
      <c r="G250" s="5"/>
    </row>
    <row r="251" spans="1:7" ht="19.5" customHeight="1">
      <c r="A251" s="4">
        <v>249</v>
      </c>
      <c r="B251" s="5" t="str">
        <f>"27542020120310132322"</f>
        <v>27542020120310132322</v>
      </c>
      <c r="C251" s="5" t="s">
        <v>16</v>
      </c>
      <c r="D251" s="5" t="str">
        <f>"黎惠娇"</f>
        <v>黎惠娇</v>
      </c>
      <c r="E251" s="5" t="str">
        <f>"女"</f>
        <v>女</v>
      </c>
      <c r="F251" s="5" t="str">
        <f>"1997-05-22"</f>
        <v>1997-05-22</v>
      </c>
      <c r="G251" s="5"/>
    </row>
    <row r="252" spans="1:7" ht="19.5" customHeight="1">
      <c r="A252" s="4">
        <v>250</v>
      </c>
      <c r="B252" s="5" t="str">
        <f>"27542020120312021749"</f>
        <v>27542020120312021749</v>
      </c>
      <c r="C252" s="5" t="s">
        <v>16</v>
      </c>
      <c r="D252" s="5" t="str">
        <f>"邢孔养"</f>
        <v>邢孔养</v>
      </c>
      <c r="E252" s="5" t="str">
        <f>"男"</f>
        <v>男</v>
      </c>
      <c r="F252" s="5" t="str">
        <f>"1989-11-17"</f>
        <v>1989-11-17</v>
      </c>
      <c r="G252" s="5"/>
    </row>
    <row r="253" spans="1:7" ht="19.5" customHeight="1">
      <c r="A253" s="4">
        <v>251</v>
      </c>
      <c r="B253" s="5" t="str">
        <f>"27542020120312511455"</f>
        <v>27542020120312511455</v>
      </c>
      <c r="C253" s="5" t="s">
        <v>16</v>
      </c>
      <c r="D253" s="5" t="str">
        <f>"苏琼恋"</f>
        <v>苏琼恋</v>
      </c>
      <c r="E253" s="5" t="str">
        <f>"女"</f>
        <v>女</v>
      </c>
      <c r="F253" s="5" t="str">
        <f>"1994-05-22"</f>
        <v>1994-05-22</v>
      </c>
      <c r="G253" s="5"/>
    </row>
    <row r="254" spans="1:7" ht="19.5" customHeight="1">
      <c r="A254" s="4">
        <v>252</v>
      </c>
      <c r="B254" s="5" t="str">
        <f>"27542020120314272263"</f>
        <v>27542020120314272263</v>
      </c>
      <c r="C254" s="5" t="s">
        <v>16</v>
      </c>
      <c r="D254" s="5" t="str">
        <f>"邢增铃"</f>
        <v>邢增铃</v>
      </c>
      <c r="E254" s="5" t="str">
        <f>"女"</f>
        <v>女</v>
      </c>
      <c r="F254" s="5" t="str">
        <f>"1992-08-18"</f>
        <v>1992-08-18</v>
      </c>
      <c r="G254" s="5"/>
    </row>
    <row r="255" spans="1:7" ht="19.5" customHeight="1">
      <c r="A255" s="4">
        <v>253</v>
      </c>
      <c r="B255" s="5" t="str">
        <f>"27542020120316003270"</f>
        <v>27542020120316003270</v>
      </c>
      <c r="C255" s="5" t="s">
        <v>16</v>
      </c>
      <c r="D255" s="5" t="str">
        <f>"黄建东"</f>
        <v>黄建东</v>
      </c>
      <c r="E255" s="5" t="str">
        <f>"男"</f>
        <v>男</v>
      </c>
      <c r="F255" s="5" t="str">
        <f>"1986-02-05"</f>
        <v>1986-02-05</v>
      </c>
      <c r="G255" s="5"/>
    </row>
    <row r="256" spans="1:7" ht="19.5" customHeight="1">
      <c r="A256" s="4">
        <v>254</v>
      </c>
      <c r="B256" s="5" t="str">
        <f>"27542020120316195075"</f>
        <v>27542020120316195075</v>
      </c>
      <c r="C256" s="5" t="s">
        <v>16</v>
      </c>
      <c r="D256" s="5" t="str">
        <f>"赵天豪"</f>
        <v>赵天豪</v>
      </c>
      <c r="E256" s="5" t="str">
        <f>"男"</f>
        <v>男</v>
      </c>
      <c r="F256" s="5" t="str">
        <f>"1995-11-13"</f>
        <v>1995-11-13</v>
      </c>
      <c r="G256" s="5"/>
    </row>
    <row r="257" spans="1:7" ht="19.5" customHeight="1">
      <c r="A257" s="4">
        <v>255</v>
      </c>
      <c r="B257" s="5" t="str">
        <f>"27542020120317474185"</f>
        <v>27542020120317474185</v>
      </c>
      <c r="C257" s="5" t="s">
        <v>16</v>
      </c>
      <c r="D257" s="5" t="str">
        <f>"徐光东"</f>
        <v>徐光东</v>
      </c>
      <c r="E257" s="5" t="str">
        <f>"男"</f>
        <v>男</v>
      </c>
      <c r="F257" s="5" t="str">
        <f>"1989-09-20"</f>
        <v>1989-09-20</v>
      </c>
      <c r="G257" s="5"/>
    </row>
    <row r="258" spans="1:7" ht="19.5" customHeight="1">
      <c r="A258" s="4">
        <v>256</v>
      </c>
      <c r="B258" s="5" t="str">
        <f>"27542020120319474999"</f>
        <v>27542020120319474999</v>
      </c>
      <c r="C258" s="5" t="s">
        <v>16</v>
      </c>
      <c r="D258" s="5" t="str">
        <f>"张春科"</f>
        <v>张春科</v>
      </c>
      <c r="E258" s="5" t="str">
        <f>"女"</f>
        <v>女</v>
      </c>
      <c r="F258" s="5" t="str">
        <f>"1994-07-13"</f>
        <v>1994-07-13</v>
      </c>
      <c r="G258" s="5"/>
    </row>
    <row r="259" spans="1:7" ht="19.5" customHeight="1">
      <c r="A259" s="4">
        <v>257</v>
      </c>
      <c r="B259" s="5" t="str">
        <f>"275420201203203734104"</f>
        <v>275420201203203734104</v>
      </c>
      <c r="C259" s="5" t="s">
        <v>16</v>
      </c>
      <c r="D259" s="5" t="str">
        <f>"邢智忠"</f>
        <v>邢智忠</v>
      </c>
      <c r="E259" s="5" t="str">
        <f>"男"</f>
        <v>男</v>
      </c>
      <c r="F259" s="5" t="str">
        <f>"1992-06-07"</f>
        <v>1992-06-07</v>
      </c>
      <c r="G259" s="5"/>
    </row>
    <row r="260" spans="1:7" ht="19.5" customHeight="1">
      <c r="A260" s="4">
        <v>258</v>
      </c>
      <c r="B260" s="5" t="str">
        <f>"275420201203211945108"</f>
        <v>275420201203211945108</v>
      </c>
      <c r="C260" s="5" t="s">
        <v>16</v>
      </c>
      <c r="D260" s="5" t="str">
        <f>"王艺隆"</f>
        <v>王艺隆</v>
      </c>
      <c r="E260" s="5" t="str">
        <f>"男"</f>
        <v>男</v>
      </c>
      <c r="F260" s="5" t="str">
        <f>"1999-03-12"</f>
        <v>1999-03-12</v>
      </c>
      <c r="G260" s="5"/>
    </row>
    <row r="261" spans="1:7" ht="19.5" customHeight="1">
      <c r="A261" s="4">
        <v>259</v>
      </c>
      <c r="B261" s="5" t="str">
        <f>"275420201204134101153"</f>
        <v>275420201204134101153</v>
      </c>
      <c r="C261" s="5" t="s">
        <v>16</v>
      </c>
      <c r="D261" s="5" t="str">
        <f>"包帅"</f>
        <v>包帅</v>
      </c>
      <c r="E261" s="5" t="str">
        <f>"男"</f>
        <v>男</v>
      </c>
      <c r="F261" s="5" t="str">
        <f>"1994-09-13"</f>
        <v>1994-09-13</v>
      </c>
      <c r="G261" s="5"/>
    </row>
    <row r="262" spans="1:7" ht="19.5" customHeight="1">
      <c r="A262" s="4">
        <v>260</v>
      </c>
      <c r="B262" s="5" t="str">
        <f>"275420201205064050198"</f>
        <v>275420201205064050198</v>
      </c>
      <c r="C262" s="5" t="s">
        <v>16</v>
      </c>
      <c r="D262" s="5" t="str">
        <f>"陈运妃"</f>
        <v>陈运妃</v>
      </c>
      <c r="E262" s="5" t="str">
        <f>"女"</f>
        <v>女</v>
      </c>
      <c r="F262" s="5" t="str">
        <f>"1977-09-08"</f>
        <v>1977-09-08</v>
      </c>
      <c r="G262" s="5"/>
    </row>
    <row r="263" spans="1:7" ht="19.5" customHeight="1">
      <c r="A263" s="4">
        <v>261</v>
      </c>
      <c r="B263" s="5" t="str">
        <f>"275420201205085039200"</f>
        <v>275420201205085039200</v>
      </c>
      <c r="C263" s="5" t="s">
        <v>16</v>
      </c>
      <c r="D263" s="5" t="str">
        <f>"陈积亮"</f>
        <v>陈积亮</v>
      </c>
      <c r="E263" s="5" t="str">
        <f aca="true" t="shared" si="15" ref="E263:E268">"男"</f>
        <v>男</v>
      </c>
      <c r="F263" s="5" t="str">
        <f>"1986-08-08"</f>
        <v>1986-08-08</v>
      </c>
      <c r="G263" s="5"/>
    </row>
    <row r="264" spans="1:7" ht="19.5" customHeight="1">
      <c r="A264" s="4">
        <v>262</v>
      </c>
      <c r="B264" s="5" t="str">
        <f>"275420201205134858210"</f>
        <v>275420201205134858210</v>
      </c>
      <c r="C264" s="5" t="s">
        <v>16</v>
      </c>
      <c r="D264" s="5" t="str">
        <f>"杨彬彬"</f>
        <v>杨彬彬</v>
      </c>
      <c r="E264" s="5" t="str">
        <f t="shared" si="15"/>
        <v>男</v>
      </c>
      <c r="F264" s="5" t="str">
        <f>"1989-11-29"</f>
        <v>1989-11-29</v>
      </c>
      <c r="G264" s="5"/>
    </row>
    <row r="265" spans="1:7" ht="19.5" customHeight="1">
      <c r="A265" s="4">
        <v>263</v>
      </c>
      <c r="B265" s="5" t="str">
        <f>"275420201205151412212"</f>
        <v>275420201205151412212</v>
      </c>
      <c r="C265" s="5" t="s">
        <v>16</v>
      </c>
      <c r="D265" s="5" t="str">
        <f>"邢益胜"</f>
        <v>邢益胜</v>
      </c>
      <c r="E265" s="5" t="str">
        <f t="shared" si="15"/>
        <v>男</v>
      </c>
      <c r="F265" s="5" t="str">
        <f>"1996-01-22"</f>
        <v>1996-01-22</v>
      </c>
      <c r="G265" s="5"/>
    </row>
    <row r="266" spans="1:7" ht="19.5" customHeight="1">
      <c r="A266" s="4">
        <v>264</v>
      </c>
      <c r="B266" s="5" t="str">
        <f>"275420201206191954265"</f>
        <v>275420201206191954265</v>
      </c>
      <c r="C266" s="5" t="s">
        <v>16</v>
      </c>
      <c r="D266" s="5" t="str">
        <f>"王育振"</f>
        <v>王育振</v>
      </c>
      <c r="E266" s="5" t="str">
        <f t="shared" si="15"/>
        <v>男</v>
      </c>
      <c r="F266" s="5" t="str">
        <f>"1996-03-23"</f>
        <v>1996-03-23</v>
      </c>
      <c r="G266" s="5"/>
    </row>
    <row r="267" spans="1:7" ht="19.5" customHeight="1">
      <c r="A267" s="4">
        <v>265</v>
      </c>
      <c r="B267" s="5" t="str">
        <f>"275420201206225019277"</f>
        <v>275420201206225019277</v>
      </c>
      <c r="C267" s="5" t="s">
        <v>16</v>
      </c>
      <c r="D267" s="5" t="str">
        <f>"李宗捷"</f>
        <v>李宗捷</v>
      </c>
      <c r="E267" s="5" t="str">
        <f t="shared" si="15"/>
        <v>男</v>
      </c>
      <c r="F267" s="5" t="str">
        <f>"1994-04-07"</f>
        <v>1994-04-07</v>
      </c>
      <c r="G267" s="5"/>
    </row>
    <row r="268" spans="1:7" ht="19.5" customHeight="1">
      <c r="A268" s="4">
        <v>266</v>
      </c>
      <c r="B268" s="5" t="str">
        <f>"275420201207030351279"</f>
        <v>275420201207030351279</v>
      </c>
      <c r="C268" s="5" t="s">
        <v>16</v>
      </c>
      <c r="D268" s="5" t="str">
        <f>"羊南"</f>
        <v>羊南</v>
      </c>
      <c r="E268" s="5" t="str">
        <f t="shared" si="15"/>
        <v>男</v>
      </c>
      <c r="F268" s="5" t="str">
        <f>"1991-12-15"</f>
        <v>1991-12-15</v>
      </c>
      <c r="G268" s="5"/>
    </row>
    <row r="269" spans="1:7" ht="19.5" customHeight="1">
      <c r="A269" s="4">
        <v>267</v>
      </c>
      <c r="B269" s="5" t="str">
        <f>"275420201207095154286"</f>
        <v>275420201207095154286</v>
      </c>
      <c r="C269" s="5" t="s">
        <v>16</v>
      </c>
      <c r="D269" s="5" t="str">
        <f>"孟云和"</f>
        <v>孟云和</v>
      </c>
      <c r="E269" s="5" t="str">
        <f>"女"</f>
        <v>女</v>
      </c>
      <c r="F269" s="5" t="str">
        <f>"1982-03-04"</f>
        <v>1982-03-04</v>
      </c>
      <c r="G269" s="5"/>
    </row>
    <row r="270" spans="1:7" ht="19.5" customHeight="1">
      <c r="A270" s="4">
        <v>268</v>
      </c>
      <c r="B270" s="5" t="str">
        <f>"275420201207101124290"</f>
        <v>275420201207101124290</v>
      </c>
      <c r="C270" s="5" t="s">
        <v>16</v>
      </c>
      <c r="D270" s="5" t="str">
        <f>"黄泽涛"</f>
        <v>黄泽涛</v>
      </c>
      <c r="E270" s="5" t="str">
        <f>"男"</f>
        <v>男</v>
      </c>
      <c r="F270" s="5" t="str">
        <f>"1978-05-26"</f>
        <v>1978-05-26</v>
      </c>
      <c r="G270" s="5"/>
    </row>
    <row r="271" spans="1:7" ht="19.5" customHeight="1">
      <c r="A271" s="4">
        <v>269</v>
      </c>
      <c r="B271" s="5" t="str">
        <f>"275420201207102257291"</f>
        <v>275420201207102257291</v>
      </c>
      <c r="C271" s="5" t="s">
        <v>16</v>
      </c>
      <c r="D271" s="5" t="str">
        <f>"黄福宝"</f>
        <v>黄福宝</v>
      </c>
      <c r="E271" s="5" t="str">
        <f>"男"</f>
        <v>男</v>
      </c>
      <c r="F271" s="5" t="str">
        <f>"1993-02-05"</f>
        <v>1993-02-05</v>
      </c>
      <c r="G271" s="5"/>
    </row>
    <row r="272" spans="1:7" ht="19.5" customHeight="1">
      <c r="A272" s="4">
        <v>270</v>
      </c>
      <c r="B272" s="5" t="str">
        <f>"275420201207125146299"</f>
        <v>275420201207125146299</v>
      </c>
      <c r="C272" s="5" t="s">
        <v>16</v>
      </c>
      <c r="D272" s="5" t="str">
        <f>"羊招姑"</f>
        <v>羊招姑</v>
      </c>
      <c r="E272" s="5" t="str">
        <f>"女"</f>
        <v>女</v>
      </c>
      <c r="F272" s="5" t="str">
        <f>"1988-10-24"</f>
        <v>1988-10-24</v>
      </c>
      <c r="G272" s="5"/>
    </row>
    <row r="273" spans="1:7" ht="19.5" customHeight="1">
      <c r="A273" s="4">
        <v>271</v>
      </c>
      <c r="B273" s="5" t="str">
        <f>"275420201207131946303"</f>
        <v>275420201207131946303</v>
      </c>
      <c r="C273" s="5" t="s">
        <v>16</v>
      </c>
      <c r="D273" s="5" t="str">
        <f>"容合琪"</f>
        <v>容合琪</v>
      </c>
      <c r="E273" s="5" t="str">
        <f>"男"</f>
        <v>男</v>
      </c>
      <c r="F273" s="5" t="str">
        <f>"1999-05-29"</f>
        <v>1999-05-29</v>
      </c>
      <c r="G273" s="5"/>
    </row>
    <row r="274" spans="1:7" ht="19.5" customHeight="1">
      <c r="A274" s="4">
        <v>272</v>
      </c>
      <c r="B274" s="5" t="str">
        <f>"275420201207160752312"</f>
        <v>275420201207160752312</v>
      </c>
      <c r="C274" s="5" t="s">
        <v>16</v>
      </c>
      <c r="D274" s="5" t="str">
        <f>"林昌俊"</f>
        <v>林昌俊</v>
      </c>
      <c r="E274" s="5" t="str">
        <f>"男"</f>
        <v>男</v>
      </c>
      <c r="F274" s="5" t="str">
        <f>"2000-10-08"</f>
        <v>2000-10-08</v>
      </c>
      <c r="G274" s="5"/>
    </row>
    <row r="275" spans="1:7" ht="19.5" customHeight="1">
      <c r="A275" s="4">
        <v>273</v>
      </c>
      <c r="B275" s="5" t="str">
        <f>"275420201207192202328"</f>
        <v>275420201207192202328</v>
      </c>
      <c r="C275" s="5" t="s">
        <v>16</v>
      </c>
      <c r="D275" s="5" t="str">
        <f>"陈添婷"</f>
        <v>陈添婷</v>
      </c>
      <c r="E275" s="5" t="str">
        <f>"女"</f>
        <v>女</v>
      </c>
      <c r="F275" s="5" t="str">
        <f>"1987-08-04"</f>
        <v>1987-08-04</v>
      </c>
      <c r="G275" s="5"/>
    </row>
    <row r="276" spans="1:7" ht="19.5" customHeight="1">
      <c r="A276" s="4">
        <v>274</v>
      </c>
      <c r="B276" s="5" t="str">
        <f>"275420201207192556329"</f>
        <v>275420201207192556329</v>
      </c>
      <c r="C276" s="5" t="s">
        <v>16</v>
      </c>
      <c r="D276" s="5" t="str">
        <f>"王宏妍"</f>
        <v>王宏妍</v>
      </c>
      <c r="E276" s="5" t="str">
        <f>"女"</f>
        <v>女</v>
      </c>
      <c r="F276" s="5" t="str">
        <f>"1996-02-15"</f>
        <v>1996-02-15</v>
      </c>
      <c r="G276" s="5"/>
    </row>
    <row r="277" spans="1:7" ht="19.5" customHeight="1">
      <c r="A277" s="4">
        <v>275</v>
      </c>
      <c r="B277" s="5" t="str">
        <f>"275420201207193934331"</f>
        <v>275420201207193934331</v>
      </c>
      <c r="C277" s="5" t="s">
        <v>16</v>
      </c>
      <c r="D277" s="5" t="str">
        <f>"黄迅"</f>
        <v>黄迅</v>
      </c>
      <c r="E277" s="5" t="str">
        <f>"男"</f>
        <v>男</v>
      </c>
      <c r="F277" s="5" t="str">
        <f>"1989-01-11"</f>
        <v>1989-01-11</v>
      </c>
      <c r="G277" s="5"/>
    </row>
    <row r="278" spans="1:7" ht="19.5" customHeight="1">
      <c r="A278" s="4">
        <v>276</v>
      </c>
      <c r="B278" s="5" t="str">
        <f>"275420201207205320338"</f>
        <v>275420201207205320338</v>
      </c>
      <c r="C278" s="5" t="s">
        <v>16</v>
      </c>
      <c r="D278" s="5" t="str">
        <f>"吴群霞"</f>
        <v>吴群霞</v>
      </c>
      <c r="E278" s="5" t="str">
        <f>"女"</f>
        <v>女</v>
      </c>
      <c r="F278" s="5" t="str">
        <f>"1986-03-07"</f>
        <v>1986-03-07</v>
      </c>
      <c r="G278" s="5"/>
    </row>
    <row r="279" spans="1:7" ht="19.5" customHeight="1">
      <c r="A279" s="4">
        <v>277</v>
      </c>
      <c r="B279" s="5" t="str">
        <f>"275420201207211042341"</f>
        <v>275420201207211042341</v>
      </c>
      <c r="C279" s="5" t="s">
        <v>16</v>
      </c>
      <c r="D279" s="5" t="str">
        <f>"李明辉"</f>
        <v>李明辉</v>
      </c>
      <c r="E279" s="5" t="str">
        <f>"女"</f>
        <v>女</v>
      </c>
      <c r="F279" s="5" t="str">
        <f>"1985-05-31"</f>
        <v>1985-05-31</v>
      </c>
      <c r="G279" s="5"/>
    </row>
    <row r="280" spans="1:7" ht="19.5" customHeight="1">
      <c r="A280" s="4">
        <v>278</v>
      </c>
      <c r="B280" s="5" t="str">
        <f>"275420201207223002347"</f>
        <v>275420201207223002347</v>
      </c>
      <c r="C280" s="5" t="s">
        <v>16</v>
      </c>
      <c r="D280" s="5" t="str">
        <f>"黄少慧"</f>
        <v>黄少慧</v>
      </c>
      <c r="E280" s="5" t="str">
        <f>"女"</f>
        <v>女</v>
      </c>
      <c r="F280" s="5" t="str">
        <f>"1993-03-21"</f>
        <v>1993-03-21</v>
      </c>
      <c r="G280" s="5"/>
    </row>
    <row r="281" spans="1:7" ht="19.5" customHeight="1">
      <c r="A281" s="4">
        <v>279</v>
      </c>
      <c r="B281" s="5" t="str">
        <f>"275420201208093213352"</f>
        <v>275420201208093213352</v>
      </c>
      <c r="C281" s="5" t="s">
        <v>16</v>
      </c>
      <c r="D281" s="5" t="str">
        <f>"苏琼珠"</f>
        <v>苏琼珠</v>
      </c>
      <c r="E281" s="5" t="str">
        <f>"女"</f>
        <v>女</v>
      </c>
      <c r="F281" s="5" t="str">
        <f>"1990-11-23"</f>
        <v>1990-11-23</v>
      </c>
      <c r="G281" s="5"/>
    </row>
    <row r="282" spans="1:7" ht="19.5" customHeight="1">
      <c r="A282" s="4">
        <v>280</v>
      </c>
      <c r="B282" s="5" t="str">
        <f>"275420201208123540366"</f>
        <v>275420201208123540366</v>
      </c>
      <c r="C282" s="5" t="s">
        <v>16</v>
      </c>
      <c r="D282" s="5" t="str">
        <f>"张丽春"</f>
        <v>张丽春</v>
      </c>
      <c r="E282" s="5" t="str">
        <f>"女"</f>
        <v>女</v>
      </c>
      <c r="F282" s="5" t="str">
        <f>"1988-10-16"</f>
        <v>1988-10-16</v>
      </c>
      <c r="G282" s="5"/>
    </row>
    <row r="283" spans="1:7" ht="19.5" customHeight="1">
      <c r="A283" s="4">
        <v>281</v>
      </c>
      <c r="B283" s="5" t="str">
        <f>"275420201208180342380"</f>
        <v>275420201208180342380</v>
      </c>
      <c r="C283" s="5" t="s">
        <v>16</v>
      </c>
      <c r="D283" s="5" t="str">
        <f>"童烨亮"</f>
        <v>童烨亮</v>
      </c>
      <c r="E283" s="5" t="str">
        <f>"男"</f>
        <v>男</v>
      </c>
      <c r="F283" s="5" t="str">
        <f>"1997-11-09"</f>
        <v>1997-11-09</v>
      </c>
      <c r="G283" s="5"/>
    </row>
    <row r="284" spans="1:7" ht="19.5" customHeight="1">
      <c r="A284" s="4">
        <v>282</v>
      </c>
      <c r="B284" s="5" t="str">
        <f>"275420201209113034417"</f>
        <v>275420201209113034417</v>
      </c>
      <c r="C284" s="5" t="s">
        <v>16</v>
      </c>
      <c r="D284" s="5" t="str">
        <f>"吴开莲 "</f>
        <v>吴开莲 </v>
      </c>
      <c r="E284" s="5" t="str">
        <f>"女"</f>
        <v>女</v>
      </c>
      <c r="F284" s="5" t="str">
        <f>"1991-04-16"</f>
        <v>1991-04-16</v>
      </c>
      <c r="G284" s="5"/>
    </row>
    <row r="285" spans="1:7" ht="19.5" customHeight="1">
      <c r="A285" s="4">
        <v>283</v>
      </c>
      <c r="B285" s="5" t="str">
        <f>"275420201209125415425"</f>
        <v>275420201209125415425</v>
      </c>
      <c r="C285" s="5" t="s">
        <v>16</v>
      </c>
      <c r="D285" s="5" t="str">
        <f>"周妹娟"</f>
        <v>周妹娟</v>
      </c>
      <c r="E285" s="5" t="str">
        <f>"女"</f>
        <v>女</v>
      </c>
      <c r="F285" s="5" t="str">
        <f>"1988-10-27"</f>
        <v>1988-10-27</v>
      </c>
      <c r="G285" s="5"/>
    </row>
    <row r="286" spans="1:7" ht="19.5" customHeight="1">
      <c r="A286" s="4">
        <v>284</v>
      </c>
      <c r="B286" s="5" t="str">
        <f>"275420201209133216429"</f>
        <v>275420201209133216429</v>
      </c>
      <c r="C286" s="5" t="s">
        <v>16</v>
      </c>
      <c r="D286" s="5" t="str">
        <f>"黎晓敏"</f>
        <v>黎晓敏</v>
      </c>
      <c r="E286" s="5" t="str">
        <f>"女"</f>
        <v>女</v>
      </c>
      <c r="F286" s="5" t="str">
        <f>"1988-07-31"</f>
        <v>1988-07-31</v>
      </c>
      <c r="G286" s="5"/>
    </row>
    <row r="287" spans="1:7" ht="19.5" customHeight="1">
      <c r="A287" s="4">
        <v>285</v>
      </c>
      <c r="B287" s="5" t="str">
        <f>"2754202012030914545"</f>
        <v>2754202012030914545</v>
      </c>
      <c r="C287" s="5" t="s">
        <v>17</v>
      </c>
      <c r="D287" s="5" t="str">
        <f>"钟诚文"</f>
        <v>钟诚文</v>
      </c>
      <c r="E287" s="5" t="str">
        <f>"男"</f>
        <v>男</v>
      </c>
      <c r="F287" s="5" t="str">
        <f>"1991-01-23"</f>
        <v>1991-01-23</v>
      </c>
      <c r="G287" s="5"/>
    </row>
    <row r="288" spans="1:7" ht="19.5" customHeight="1">
      <c r="A288" s="4">
        <v>286</v>
      </c>
      <c r="B288" s="5" t="str">
        <f>"27542020120309410813"</f>
        <v>27542020120309410813</v>
      </c>
      <c r="C288" s="5" t="s">
        <v>17</v>
      </c>
      <c r="D288" s="5" t="str">
        <f>"符晓彩"</f>
        <v>符晓彩</v>
      </c>
      <c r="E288" s="5" t="str">
        <f>"女"</f>
        <v>女</v>
      </c>
      <c r="F288" s="5" t="str">
        <f>"1991-02-11"</f>
        <v>1991-02-11</v>
      </c>
      <c r="G288" s="5"/>
    </row>
    <row r="289" spans="1:7" ht="19.5" customHeight="1">
      <c r="A289" s="4">
        <v>287</v>
      </c>
      <c r="B289" s="5" t="str">
        <f>"27542020120316441079"</f>
        <v>27542020120316441079</v>
      </c>
      <c r="C289" s="5" t="s">
        <v>17</v>
      </c>
      <c r="D289" s="5" t="str">
        <f>"符尖"</f>
        <v>符尖</v>
      </c>
      <c r="E289" s="5" t="str">
        <f>"女"</f>
        <v>女</v>
      </c>
      <c r="F289" s="5" t="str">
        <f>"1995-10-26"</f>
        <v>1995-10-26</v>
      </c>
      <c r="G289" s="5"/>
    </row>
    <row r="290" spans="1:7" ht="19.5" customHeight="1">
      <c r="A290" s="4">
        <v>288</v>
      </c>
      <c r="B290" s="5" t="str">
        <f>"27542020120318411390"</f>
        <v>27542020120318411390</v>
      </c>
      <c r="C290" s="5" t="s">
        <v>17</v>
      </c>
      <c r="D290" s="5" t="str">
        <f>"田泽宏"</f>
        <v>田泽宏</v>
      </c>
      <c r="E290" s="5" t="str">
        <f>"男"</f>
        <v>男</v>
      </c>
      <c r="F290" s="5" t="str">
        <f>"1997-01-23"</f>
        <v>1997-01-23</v>
      </c>
      <c r="G290" s="5"/>
    </row>
    <row r="291" spans="1:7" ht="19.5" customHeight="1">
      <c r="A291" s="4">
        <v>289</v>
      </c>
      <c r="B291" s="5" t="str">
        <f>"275420201204144617158"</f>
        <v>275420201204144617158</v>
      </c>
      <c r="C291" s="5" t="s">
        <v>17</v>
      </c>
      <c r="D291" s="5" t="str">
        <f>"何红茜"</f>
        <v>何红茜</v>
      </c>
      <c r="E291" s="5" t="str">
        <f>"女"</f>
        <v>女</v>
      </c>
      <c r="F291" s="5" t="str">
        <f>"1994-03-10"</f>
        <v>1994-03-10</v>
      </c>
      <c r="G291" s="5"/>
    </row>
    <row r="292" spans="1:7" ht="19.5" customHeight="1">
      <c r="A292" s="4">
        <v>290</v>
      </c>
      <c r="B292" s="5" t="str">
        <f>"275420201206102441243"</f>
        <v>275420201206102441243</v>
      </c>
      <c r="C292" s="5" t="s">
        <v>17</v>
      </c>
      <c r="D292" s="5" t="str">
        <f>"方方"</f>
        <v>方方</v>
      </c>
      <c r="E292" s="5" t="str">
        <f>"男"</f>
        <v>男</v>
      </c>
      <c r="F292" s="5" t="str">
        <f>"1985-05-04"</f>
        <v>1985-05-04</v>
      </c>
      <c r="G292" s="5"/>
    </row>
    <row r="293" spans="1:7" ht="19.5" customHeight="1">
      <c r="A293" s="4">
        <v>291</v>
      </c>
      <c r="B293" s="5" t="str">
        <f>"275420201206171301259"</f>
        <v>275420201206171301259</v>
      </c>
      <c r="C293" s="5" t="s">
        <v>17</v>
      </c>
      <c r="D293" s="5" t="str">
        <f>"方睿"</f>
        <v>方睿</v>
      </c>
      <c r="E293" s="5" t="str">
        <f>"男"</f>
        <v>男</v>
      </c>
      <c r="F293" s="5" t="str">
        <f>"1991-07-31"</f>
        <v>1991-07-31</v>
      </c>
      <c r="G293" s="5"/>
    </row>
    <row r="294" spans="1:7" ht="19.5" customHeight="1">
      <c r="A294" s="4">
        <v>292</v>
      </c>
      <c r="B294" s="5" t="str">
        <f>"275420201207203542336"</f>
        <v>275420201207203542336</v>
      </c>
      <c r="C294" s="5" t="s">
        <v>17</v>
      </c>
      <c r="D294" s="5" t="str">
        <f>"陈海珍"</f>
        <v>陈海珍</v>
      </c>
      <c r="E294" s="5" t="str">
        <f>"女"</f>
        <v>女</v>
      </c>
      <c r="F294" s="5" t="str">
        <f>"1987-09-10"</f>
        <v>1987-09-10</v>
      </c>
      <c r="G294" s="5"/>
    </row>
    <row r="295" spans="1:7" ht="19.5" customHeight="1">
      <c r="A295" s="4">
        <v>293</v>
      </c>
      <c r="B295" s="5" t="str">
        <f>"275420201208095259354"</f>
        <v>275420201208095259354</v>
      </c>
      <c r="C295" s="5" t="s">
        <v>17</v>
      </c>
      <c r="D295" s="5" t="str">
        <f>"袁海魁"</f>
        <v>袁海魁</v>
      </c>
      <c r="E295" s="5" t="str">
        <f>"男"</f>
        <v>男</v>
      </c>
      <c r="F295" s="5" t="str">
        <f>"1985-10-15"</f>
        <v>1985-10-15</v>
      </c>
      <c r="G295" s="5"/>
    </row>
    <row r="296" spans="1:7" ht="19.5" customHeight="1">
      <c r="A296" s="4">
        <v>294</v>
      </c>
      <c r="B296" s="5" t="str">
        <f>"275420201208203917386"</f>
        <v>275420201208203917386</v>
      </c>
      <c r="C296" s="5" t="s">
        <v>17</v>
      </c>
      <c r="D296" s="5" t="str">
        <f>"庄开吉"</f>
        <v>庄开吉</v>
      </c>
      <c r="E296" s="5" t="str">
        <f>"男"</f>
        <v>男</v>
      </c>
      <c r="F296" s="5" t="str">
        <f>"1992-10-02"</f>
        <v>1992-10-02</v>
      </c>
      <c r="G296" s="5"/>
    </row>
    <row r="297" spans="1:7" ht="19.5" customHeight="1">
      <c r="A297" s="4">
        <v>295</v>
      </c>
      <c r="B297" s="5" t="str">
        <f>"275420201208225714394"</f>
        <v>275420201208225714394</v>
      </c>
      <c r="C297" s="5" t="s">
        <v>17</v>
      </c>
      <c r="D297" s="5" t="str">
        <f>"吴忠辉"</f>
        <v>吴忠辉</v>
      </c>
      <c r="E297" s="5" t="str">
        <f>"男"</f>
        <v>男</v>
      </c>
      <c r="F297" s="5" t="str">
        <f>"1992-09-21"</f>
        <v>1992-09-21</v>
      </c>
      <c r="G297" s="5"/>
    </row>
    <row r="298" spans="1:7" ht="19.5" customHeight="1">
      <c r="A298" s="4">
        <v>296</v>
      </c>
      <c r="B298" s="5" t="str">
        <f>"275420201209080432404"</f>
        <v>275420201209080432404</v>
      </c>
      <c r="C298" s="5" t="s">
        <v>17</v>
      </c>
      <c r="D298" s="5" t="str">
        <f>"邢钧钇"</f>
        <v>邢钧钇</v>
      </c>
      <c r="E298" s="5" t="str">
        <f>"男"</f>
        <v>男</v>
      </c>
      <c r="F298" s="5" t="str">
        <f>"1989-03-03"</f>
        <v>1989-03-03</v>
      </c>
      <c r="G298" s="5"/>
    </row>
    <row r="299" spans="1:7" ht="19.5" customHeight="1">
      <c r="A299" s="4">
        <v>297</v>
      </c>
      <c r="B299" s="5" t="str">
        <f>"2754202012030910413"</f>
        <v>2754202012030910413</v>
      </c>
      <c r="C299" s="5" t="s">
        <v>18</v>
      </c>
      <c r="D299" s="5" t="str">
        <f>"石玉珠"</f>
        <v>石玉珠</v>
      </c>
      <c r="E299" s="5" t="str">
        <f>"女"</f>
        <v>女</v>
      </c>
      <c r="F299" s="5" t="str">
        <f>"1994-11-28"</f>
        <v>1994-11-28</v>
      </c>
      <c r="G299" s="5"/>
    </row>
    <row r="300" spans="1:7" ht="19.5" customHeight="1">
      <c r="A300" s="4">
        <v>298</v>
      </c>
      <c r="B300" s="5" t="str">
        <f>"2754202012030926529"</f>
        <v>2754202012030926529</v>
      </c>
      <c r="C300" s="5" t="s">
        <v>18</v>
      </c>
      <c r="D300" s="5" t="str">
        <f>"杨洪"</f>
        <v>杨洪</v>
      </c>
      <c r="E300" s="5" t="str">
        <f>"男"</f>
        <v>男</v>
      </c>
      <c r="F300" s="5" t="str">
        <f>"1991-07-24"</f>
        <v>1991-07-24</v>
      </c>
      <c r="G300" s="5"/>
    </row>
    <row r="301" spans="1:7" ht="19.5" customHeight="1">
      <c r="A301" s="4">
        <v>299</v>
      </c>
      <c r="B301" s="5" t="str">
        <f>"27542020120309373912"</f>
        <v>27542020120309373912</v>
      </c>
      <c r="C301" s="5" t="s">
        <v>18</v>
      </c>
      <c r="D301" s="5" t="str">
        <f>"张惠惠"</f>
        <v>张惠惠</v>
      </c>
      <c r="E301" s="5" t="str">
        <f>"女"</f>
        <v>女</v>
      </c>
      <c r="F301" s="5" t="str">
        <f>"1998-11-24"</f>
        <v>1998-11-24</v>
      </c>
      <c r="G301" s="5"/>
    </row>
    <row r="302" spans="1:7" ht="19.5" customHeight="1">
      <c r="A302" s="4">
        <v>300</v>
      </c>
      <c r="B302" s="5" t="str">
        <f>"27542020120310050618"</f>
        <v>27542020120310050618</v>
      </c>
      <c r="C302" s="5" t="s">
        <v>18</v>
      </c>
      <c r="D302" s="5" t="str">
        <f>"吉家睿"</f>
        <v>吉家睿</v>
      </c>
      <c r="E302" s="5" t="str">
        <f>"男"</f>
        <v>男</v>
      </c>
      <c r="F302" s="5" t="str">
        <f>"1998-09-19"</f>
        <v>1998-09-19</v>
      </c>
      <c r="G302" s="5"/>
    </row>
    <row r="303" spans="1:7" ht="19.5" customHeight="1">
      <c r="A303" s="4">
        <v>301</v>
      </c>
      <c r="B303" s="5" t="str">
        <f>"27542020120310504232"</f>
        <v>27542020120310504232</v>
      </c>
      <c r="C303" s="5" t="s">
        <v>18</v>
      </c>
      <c r="D303" s="5" t="str">
        <f>"潘在雪"</f>
        <v>潘在雪</v>
      </c>
      <c r="E303" s="5" t="str">
        <f>"女"</f>
        <v>女</v>
      </c>
      <c r="F303" s="5" t="str">
        <f>"1996-12-04"</f>
        <v>1996-12-04</v>
      </c>
      <c r="G303" s="5"/>
    </row>
    <row r="304" spans="1:7" ht="19.5" customHeight="1">
      <c r="A304" s="4">
        <v>302</v>
      </c>
      <c r="B304" s="5" t="str">
        <f>"27542020120310504533"</f>
        <v>27542020120310504533</v>
      </c>
      <c r="C304" s="5" t="s">
        <v>18</v>
      </c>
      <c r="D304" s="5" t="str">
        <f>"王力"</f>
        <v>王力</v>
      </c>
      <c r="E304" s="5" t="str">
        <f>"男"</f>
        <v>男</v>
      </c>
      <c r="F304" s="5" t="str">
        <f>"1995-06-20"</f>
        <v>1995-06-20</v>
      </c>
      <c r="G304" s="5"/>
    </row>
    <row r="305" spans="1:7" ht="19.5" customHeight="1">
      <c r="A305" s="4">
        <v>303</v>
      </c>
      <c r="B305" s="5" t="str">
        <f>"27542020120313575561"</f>
        <v>27542020120313575561</v>
      </c>
      <c r="C305" s="5" t="s">
        <v>18</v>
      </c>
      <c r="D305" s="5" t="str">
        <f>"赵文彬"</f>
        <v>赵文彬</v>
      </c>
      <c r="E305" s="5" t="str">
        <f>"男"</f>
        <v>男</v>
      </c>
      <c r="F305" s="5" t="str">
        <f>"1993-02-20"</f>
        <v>1993-02-20</v>
      </c>
      <c r="G305" s="5"/>
    </row>
    <row r="306" spans="1:7" ht="19.5" customHeight="1">
      <c r="A306" s="4">
        <v>304</v>
      </c>
      <c r="B306" s="5" t="str">
        <f>"27542020120318423091"</f>
        <v>27542020120318423091</v>
      </c>
      <c r="C306" s="5" t="s">
        <v>18</v>
      </c>
      <c r="D306" s="5" t="str">
        <f>"黄垂展"</f>
        <v>黄垂展</v>
      </c>
      <c r="E306" s="5" t="str">
        <f>"男"</f>
        <v>男</v>
      </c>
      <c r="F306" s="5" t="str">
        <f>"1998-07-15"</f>
        <v>1998-07-15</v>
      </c>
      <c r="G306" s="5"/>
    </row>
    <row r="307" spans="1:7" ht="19.5" customHeight="1">
      <c r="A307" s="4">
        <v>305</v>
      </c>
      <c r="B307" s="5" t="str">
        <f>"27542020120319373196"</f>
        <v>27542020120319373196</v>
      </c>
      <c r="C307" s="5" t="s">
        <v>18</v>
      </c>
      <c r="D307" s="5" t="str">
        <f>"王世威"</f>
        <v>王世威</v>
      </c>
      <c r="E307" s="5" t="str">
        <f>"男"</f>
        <v>男</v>
      </c>
      <c r="F307" s="5" t="str">
        <f>"1991-12-12"</f>
        <v>1991-12-12</v>
      </c>
      <c r="G307" s="5"/>
    </row>
    <row r="308" spans="1:7" ht="19.5" customHeight="1">
      <c r="A308" s="4">
        <v>306</v>
      </c>
      <c r="B308" s="5" t="str">
        <f>"27542020120319465498"</f>
        <v>27542020120319465498</v>
      </c>
      <c r="C308" s="5" t="s">
        <v>18</v>
      </c>
      <c r="D308" s="5" t="str">
        <f>"曾天攀"</f>
        <v>曾天攀</v>
      </c>
      <c r="E308" s="5" t="str">
        <f>"男"</f>
        <v>男</v>
      </c>
      <c r="F308" s="5" t="str">
        <f>"1999-12-05"</f>
        <v>1999-12-05</v>
      </c>
      <c r="G308" s="5"/>
    </row>
    <row r="309" spans="1:7" ht="19.5" customHeight="1">
      <c r="A309" s="4">
        <v>307</v>
      </c>
      <c r="B309" s="5" t="str">
        <f>"275420201204101333129"</f>
        <v>275420201204101333129</v>
      </c>
      <c r="C309" s="5" t="s">
        <v>18</v>
      </c>
      <c r="D309" s="5" t="str">
        <f>"吴慧"</f>
        <v>吴慧</v>
      </c>
      <c r="E309" s="5" t="str">
        <f>"女"</f>
        <v>女</v>
      </c>
      <c r="F309" s="5" t="str">
        <f>"1993-01-15"</f>
        <v>1993-01-15</v>
      </c>
      <c r="G309" s="5"/>
    </row>
    <row r="310" spans="1:7" ht="19.5" customHeight="1">
      <c r="A310" s="4">
        <v>308</v>
      </c>
      <c r="B310" s="5" t="str">
        <f>"275420201204102916132"</f>
        <v>275420201204102916132</v>
      </c>
      <c r="C310" s="5" t="s">
        <v>18</v>
      </c>
      <c r="D310" s="5" t="str">
        <f>"郭贵强"</f>
        <v>郭贵强</v>
      </c>
      <c r="E310" s="5" t="str">
        <f>"女"</f>
        <v>女</v>
      </c>
      <c r="F310" s="5" t="str">
        <f>"1986-12-26"</f>
        <v>1986-12-26</v>
      </c>
      <c r="G310" s="5"/>
    </row>
    <row r="311" spans="1:7" ht="19.5" customHeight="1">
      <c r="A311" s="4">
        <v>309</v>
      </c>
      <c r="B311" s="5" t="str">
        <f>"275420201204103256134"</f>
        <v>275420201204103256134</v>
      </c>
      <c r="C311" s="5" t="s">
        <v>18</v>
      </c>
      <c r="D311" s="5" t="str">
        <f>"许叔春"</f>
        <v>许叔春</v>
      </c>
      <c r="E311" s="5" t="str">
        <f>"女"</f>
        <v>女</v>
      </c>
      <c r="F311" s="5" t="str">
        <f>"1989-09-17"</f>
        <v>1989-09-17</v>
      </c>
      <c r="G311" s="5"/>
    </row>
    <row r="312" spans="1:7" ht="19.5" customHeight="1">
      <c r="A312" s="4">
        <v>310</v>
      </c>
      <c r="B312" s="5" t="str">
        <f>"275420201204110638138"</f>
        <v>275420201204110638138</v>
      </c>
      <c r="C312" s="5" t="s">
        <v>18</v>
      </c>
      <c r="D312" s="5" t="str">
        <f>"黄夏芳"</f>
        <v>黄夏芳</v>
      </c>
      <c r="E312" s="5" t="str">
        <f>"女"</f>
        <v>女</v>
      </c>
      <c r="F312" s="5" t="str">
        <f>"1994-05-05"</f>
        <v>1994-05-05</v>
      </c>
      <c r="G312" s="5"/>
    </row>
    <row r="313" spans="1:7" ht="19.5" customHeight="1">
      <c r="A313" s="4">
        <v>311</v>
      </c>
      <c r="B313" s="5" t="str">
        <f>"275420201204111310141"</f>
        <v>275420201204111310141</v>
      </c>
      <c r="C313" s="5" t="s">
        <v>18</v>
      </c>
      <c r="D313" s="5" t="str">
        <f>"潘振堂"</f>
        <v>潘振堂</v>
      </c>
      <c r="E313" s="5" t="str">
        <f>"男"</f>
        <v>男</v>
      </c>
      <c r="F313" s="5" t="str">
        <f>"1979-08-19"</f>
        <v>1979-08-19</v>
      </c>
      <c r="G313" s="5"/>
    </row>
    <row r="314" spans="1:7" ht="19.5" customHeight="1">
      <c r="A314" s="4">
        <v>312</v>
      </c>
      <c r="B314" s="5" t="str">
        <f>"275420201204142951157"</f>
        <v>275420201204142951157</v>
      </c>
      <c r="C314" s="5" t="s">
        <v>18</v>
      </c>
      <c r="D314" s="5" t="str">
        <f>"林方雪"</f>
        <v>林方雪</v>
      </c>
      <c r="E314" s="5" t="str">
        <f>"女"</f>
        <v>女</v>
      </c>
      <c r="F314" s="5" t="str">
        <f>"1980-08-20"</f>
        <v>1980-08-20</v>
      </c>
      <c r="G314" s="5"/>
    </row>
    <row r="315" spans="1:7" ht="19.5" customHeight="1">
      <c r="A315" s="4">
        <v>313</v>
      </c>
      <c r="B315" s="5" t="str">
        <f>"275420201204154553163"</f>
        <v>275420201204154553163</v>
      </c>
      <c r="C315" s="5" t="s">
        <v>18</v>
      </c>
      <c r="D315" s="5" t="str">
        <f>"蔡志强"</f>
        <v>蔡志强</v>
      </c>
      <c r="E315" s="5" t="str">
        <f>"男"</f>
        <v>男</v>
      </c>
      <c r="F315" s="5" t="str">
        <f>"1992-12-01"</f>
        <v>1992-12-01</v>
      </c>
      <c r="G315" s="5"/>
    </row>
    <row r="316" spans="1:7" ht="19.5" customHeight="1">
      <c r="A316" s="4">
        <v>314</v>
      </c>
      <c r="B316" s="5" t="str">
        <f>"275420201204165708167"</f>
        <v>275420201204165708167</v>
      </c>
      <c r="C316" s="5" t="s">
        <v>18</v>
      </c>
      <c r="D316" s="5" t="str">
        <f>"陈丽才"</f>
        <v>陈丽才</v>
      </c>
      <c r="E316" s="5" t="str">
        <f>"女"</f>
        <v>女</v>
      </c>
      <c r="F316" s="5" t="str">
        <f>"1979-08-20"</f>
        <v>1979-08-20</v>
      </c>
      <c r="G316" s="5"/>
    </row>
    <row r="317" spans="1:7" ht="19.5" customHeight="1">
      <c r="A317" s="4">
        <v>315</v>
      </c>
      <c r="B317" s="5" t="str">
        <f>"275420201204174318170"</f>
        <v>275420201204174318170</v>
      </c>
      <c r="C317" s="5" t="s">
        <v>18</v>
      </c>
      <c r="D317" s="5" t="str">
        <f>"吉奎汁"</f>
        <v>吉奎汁</v>
      </c>
      <c r="E317" s="5" t="str">
        <f>"男"</f>
        <v>男</v>
      </c>
      <c r="F317" s="5" t="str">
        <f>"1988-10-19"</f>
        <v>1988-10-19</v>
      </c>
      <c r="G317" s="5"/>
    </row>
    <row r="318" spans="1:7" ht="19.5" customHeight="1">
      <c r="A318" s="4">
        <v>316</v>
      </c>
      <c r="B318" s="5" t="str">
        <f>"275420201205120753207"</f>
        <v>275420201205120753207</v>
      </c>
      <c r="C318" s="5" t="s">
        <v>18</v>
      </c>
      <c r="D318" s="5" t="str">
        <f>"杨善君"</f>
        <v>杨善君</v>
      </c>
      <c r="E318" s="5" t="str">
        <f>"男"</f>
        <v>男</v>
      </c>
      <c r="F318" s="5" t="str">
        <f>"1992-02-14"</f>
        <v>1992-02-14</v>
      </c>
      <c r="G318" s="5"/>
    </row>
    <row r="319" spans="1:7" ht="19.5" customHeight="1">
      <c r="A319" s="4">
        <v>317</v>
      </c>
      <c r="B319" s="5" t="str">
        <f>"275420201205121811208"</f>
        <v>275420201205121811208</v>
      </c>
      <c r="C319" s="5" t="s">
        <v>18</v>
      </c>
      <c r="D319" s="5" t="str">
        <f>"王春兰"</f>
        <v>王春兰</v>
      </c>
      <c r="E319" s="5" t="str">
        <f>"女"</f>
        <v>女</v>
      </c>
      <c r="F319" s="5" t="str">
        <f>"1976-10-05"</f>
        <v>1976-10-05</v>
      </c>
      <c r="G319" s="5"/>
    </row>
    <row r="320" spans="1:7" ht="19.5" customHeight="1">
      <c r="A320" s="4">
        <v>318</v>
      </c>
      <c r="B320" s="5" t="str">
        <f>"275420201205162710216"</f>
        <v>275420201205162710216</v>
      </c>
      <c r="C320" s="5" t="s">
        <v>18</v>
      </c>
      <c r="D320" s="5" t="str">
        <f>"石腾鹰"</f>
        <v>石腾鹰</v>
      </c>
      <c r="E320" s="5" t="str">
        <f>"男"</f>
        <v>男</v>
      </c>
      <c r="F320" s="5" t="str">
        <f>"1975-10-12"</f>
        <v>1975-10-12</v>
      </c>
      <c r="G320" s="5"/>
    </row>
    <row r="321" spans="1:7" ht="19.5" customHeight="1">
      <c r="A321" s="4">
        <v>319</v>
      </c>
      <c r="B321" s="5" t="str">
        <f>"275420201205193904229"</f>
        <v>275420201205193904229</v>
      </c>
      <c r="C321" s="5" t="s">
        <v>18</v>
      </c>
      <c r="D321" s="5" t="str">
        <f>"吉水标"</f>
        <v>吉水标</v>
      </c>
      <c r="E321" s="5" t="str">
        <f>"男"</f>
        <v>男</v>
      </c>
      <c r="F321" s="5" t="str">
        <f>"1990-08-28"</f>
        <v>1990-08-28</v>
      </c>
      <c r="G321" s="5"/>
    </row>
    <row r="322" spans="1:7" ht="19.5" customHeight="1">
      <c r="A322" s="4">
        <v>320</v>
      </c>
      <c r="B322" s="5" t="str">
        <f>"275420201206123836248"</f>
        <v>275420201206123836248</v>
      </c>
      <c r="C322" s="5" t="s">
        <v>18</v>
      </c>
      <c r="D322" s="5" t="str">
        <f>"黎训托"</f>
        <v>黎训托</v>
      </c>
      <c r="E322" s="5" t="str">
        <f>"男"</f>
        <v>男</v>
      </c>
      <c r="F322" s="5" t="str">
        <f>"1986-02-08"</f>
        <v>1986-02-08</v>
      </c>
      <c r="G322" s="5"/>
    </row>
    <row r="323" spans="1:7" ht="19.5" customHeight="1">
      <c r="A323" s="4">
        <v>321</v>
      </c>
      <c r="B323" s="5" t="str">
        <f>"275420201206155030254"</f>
        <v>275420201206155030254</v>
      </c>
      <c r="C323" s="5" t="s">
        <v>18</v>
      </c>
      <c r="D323" s="5" t="str">
        <f>"邢增越"</f>
        <v>邢增越</v>
      </c>
      <c r="E323" s="5" t="str">
        <f>"男"</f>
        <v>男</v>
      </c>
      <c r="F323" s="5" t="str">
        <f>"1994-01-17"</f>
        <v>1994-01-17</v>
      </c>
      <c r="G323" s="5"/>
    </row>
    <row r="324" spans="1:7" ht="19.5" customHeight="1">
      <c r="A324" s="4">
        <v>322</v>
      </c>
      <c r="B324" s="5" t="str">
        <f>"275420201206215338275"</f>
        <v>275420201206215338275</v>
      </c>
      <c r="C324" s="5" t="s">
        <v>18</v>
      </c>
      <c r="D324" s="5" t="str">
        <f>"吉才虹"</f>
        <v>吉才虹</v>
      </c>
      <c r="E324" s="5" t="str">
        <f>"女"</f>
        <v>女</v>
      </c>
      <c r="F324" s="5" t="str">
        <f>"1990-07-17"</f>
        <v>1990-07-17</v>
      </c>
      <c r="G324" s="5"/>
    </row>
    <row r="325" spans="1:7" ht="19.5" customHeight="1">
      <c r="A325" s="4">
        <v>323</v>
      </c>
      <c r="B325" s="5" t="str">
        <f>"275420201207125419300"</f>
        <v>275420201207125419300</v>
      </c>
      <c r="C325" s="5" t="s">
        <v>18</v>
      </c>
      <c r="D325" s="5" t="str">
        <f>"吉家银"</f>
        <v>吉家银</v>
      </c>
      <c r="E325" s="5" t="str">
        <f>"女"</f>
        <v>女</v>
      </c>
      <c r="F325" s="5" t="str">
        <f>"1994-03-15"</f>
        <v>1994-03-15</v>
      </c>
      <c r="G325" s="5"/>
    </row>
    <row r="326" spans="1:7" ht="19.5" customHeight="1">
      <c r="A326" s="4">
        <v>324</v>
      </c>
      <c r="B326" s="5" t="str">
        <f>"275420201207165135320"</f>
        <v>275420201207165135320</v>
      </c>
      <c r="C326" s="5" t="s">
        <v>18</v>
      </c>
      <c r="D326" s="5" t="str">
        <f>"王世慧"</f>
        <v>王世慧</v>
      </c>
      <c r="E326" s="5" t="str">
        <f>"女"</f>
        <v>女</v>
      </c>
      <c r="F326" s="5" t="str">
        <f>"1995-05-02"</f>
        <v>1995-05-02</v>
      </c>
      <c r="G326" s="5"/>
    </row>
    <row r="327" spans="1:7" ht="19.5" customHeight="1">
      <c r="A327" s="4">
        <v>325</v>
      </c>
      <c r="B327" s="5" t="str">
        <f>"275420201207193305330"</f>
        <v>275420201207193305330</v>
      </c>
      <c r="C327" s="5" t="s">
        <v>18</v>
      </c>
      <c r="D327" s="5" t="str">
        <f>"邢志刚"</f>
        <v>邢志刚</v>
      </c>
      <c r="E327" s="5" t="str">
        <f>"男"</f>
        <v>男</v>
      </c>
      <c r="F327" s="5" t="str">
        <f>"1992-08-21"</f>
        <v>1992-08-21</v>
      </c>
      <c r="G327" s="5"/>
    </row>
    <row r="328" spans="1:7" ht="19.5" customHeight="1">
      <c r="A328" s="4">
        <v>326</v>
      </c>
      <c r="B328" s="5" t="str">
        <f>"275420201207212752343"</f>
        <v>275420201207212752343</v>
      </c>
      <c r="C328" s="5" t="s">
        <v>18</v>
      </c>
      <c r="D328" s="5" t="str">
        <f>"陈丽妃"</f>
        <v>陈丽妃</v>
      </c>
      <c r="E328" s="5" t="str">
        <f>"女"</f>
        <v>女</v>
      </c>
      <c r="F328" s="5" t="str">
        <f>"1996-05-16"</f>
        <v>1996-05-16</v>
      </c>
      <c r="G328" s="5"/>
    </row>
    <row r="329" spans="1:7" ht="19.5" customHeight="1">
      <c r="A329" s="4">
        <v>327</v>
      </c>
      <c r="B329" s="5" t="str">
        <f>"275420201207220242345"</f>
        <v>275420201207220242345</v>
      </c>
      <c r="C329" s="5" t="s">
        <v>18</v>
      </c>
      <c r="D329" s="5" t="str">
        <f>"吴源完"</f>
        <v>吴源完</v>
      </c>
      <c r="E329" s="5" t="str">
        <f>"女"</f>
        <v>女</v>
      </c>
      <c r="F329" s="5" t="str">
        <f>"1997-11-01"</f>
        <v>1997-11-01</v>
      </c>
      <c r="G329" s="5"/>
    </row>
    <row r="330" spans="1:7" ht="19.5" customHeight="1">
      <c r="A330" s="4">
        <v>328</v>
      </c>
      <c r="B330" s="5" t="str">
        <f>"275420201208101632357"</f>
        <v>275420201208101632357</v>
      </c>
      <c r="C330" s="5" t="s">
        <v>18</v>
      </c>
      <c r="D330" s="5" t="str">
        <f>"黄垂界"</f>
        <v>黄垂界</v>
      </c>
      <c r="E330" s="5" t="str">
        <f>"男"</f>
        <v>男</v>
      </c>
      <c r="F330" s="5" t="str">
        <f>"1985-05-18"</f>
        <v>1985-05-18</v>
      </c>
      <c r="G330" s="5"/>
    </row>
    <row r="331" spans="1:7" ht="19.5" customHeight="1">
      <c r="A331" s="4">
        <v>329</v>
      </c>
      <c r="B331" s="5" t="str">
        <f>"275420201208112809361"</f>
        <v>275420201208112809361</v>
      </c>
      <c r="C331" s="5" t="s">
        <v>18</v>
      </c>
      <c r="D331" s="5" t="str">
        <f>"方是忠"</f>
        <v>方是忠</v>
      </c>
      <c r="E331" s="5" t="str">
        <f>"男"</f>
        <v>男</v>
      </c>
      <c r="F331" s="5" t="str">
        <f>"1985-09-10"</f>
        <v>1985-09-10</v>
      </c>
      <c r="G331" s="5"/>
    </row>
    <row r="332" spans="1:7" ht="19.5" customHeight="1">
      <c r="A332" s="4">
        <v>330</v>
      </c>
      <c r="B332" s="5" t="str">
        <f>"275420201209104404414"</f>
        <v>275420201209104404414</v>
      </c>
      <c r="C332" s="5" t="s">
        <v>18</v>
      </c>
      <c r="D332" s="5" t="str">
        <f>"黄贻盖"</f>
        <v>黄贻盖</v>
      </c>
      <c r="E332" s="5" t="str">
        <f>"男"</f>
        <v>男</v>
      </c>
      <c r="F332" s="5" t="str">
        <f>"1993-06-20"</f>
        <v>1993-06-20</v>
      </c>
      <c r="G332" s="5"/>
    </row>
    <row r="333" spans="1:7" ht="19.5" customHeight="1">
      <c r="A333" s="4">
        <v>331</v>
      </c>
      <c r="B333" s="5" t="str">
        <f>"275420201209121321421"</f>
        <v>275420201209121321421</v>
      </c>
      <c r="C333" s="5" t="s">
        <v>18</v>
      </c>
      <c r="D333" s="5" t="str">
        <f>"林鸳"</f>
        <v>林鸳</v>
      </c>
      <c r="E333" s="5" t="str">
        <f>"女"</f>
        <v>女</v>
      </c>
      <c r="F333" s="5" t="str">
        <f>"1994-05-08"</f>
        <v>1994-05-08</v>
      </c>
      <c r="G333" s="5"/>
    </row>
    <row r="334" spans="1:7" ht="19.5" customHeight="1">
      <c r="A334" s="4">
        <v>332</v>
      </c>
      <c r="B334" s="5" t="str">
        <f>"275420201209131913427"</f>
        <v>275420201209131913427</v>
      </c>
      <c r="C334" s="5" t="s">
        <v>18</v>
      </c>
      <c r="D334" s="5" t="str">
        <f>"王娇"</f>
        <v>王娇</v>
      </c>
      <c r="E334" s="5" t="str">
        <f>"女"</f>
        <v>女</v>
      </c>
      <c r="F334" s="5" t="str">
        <f>"1989-10-01"</f>
        <v>1989-10-01</v>
      </c>
      <c r="G334" s="5"/>
    </row>
    <row r="335" spans="1:7" ht="19.5" customHeight="1">
      <c r="A335" s="4">
        <v>333</v>
      </c>
      <c r="B335" s="5" t="str">
        <f>"275420201209143806434"</f>
        <v>275420201209143806434</v>
      </c>
      <c r="C335" s="5" t="s">
        <v>18</v>
      </c>
      <c r="D335" s="5" t="str">
        <f>"曾慧攀"</f>
        <v>曾慧攀</v>
      </c>
      <c r="E335" s="5" t="str">
        <f>"女"</f>
        <v>女</v>
      </c>
      <c r="F335" s="5" t="str">
        <f>"1996-09-04"</f>
        <v>1996-09-04</v>
      </c>
      <c r="G335" s="5"/>
    </row>
    <row r="336" spans="1:7" ht="19.5" customHeight="1">
      <c r="A336" s="4">
        <v>334</v>
      </c>
      <c r="B336" s="5" t="str">
        <f>"275420201209151221437"</f>
        <v>275420201209151221437</v>
      </c>
      <c r="C336" s="5" t="s">
        <v>18</v>
      </c>
      <c r="D336" s="5" t="str">
        <f>"陈泽冬"</f>
        <v>陈泽冬</v>
      </c>
      <c r="E336" s="5" t="str">
        <f>"女"</f>
        <v>女</v>
      </c>
      <c r="F336" s="5" t="str">
        <f>"1997-10-20"</f>
        <v>1997-10-20</v>
      </c>
      <c r="G336" s="5"/>
    </row>
    <row r="337" spans="1:7" ht="19.5" customHeight="1">
      <c r="A337" s="4">
        <v>335</v>
      </c>
      <c r="B337" s="5" t="str">
        <f>"275420201204091547120"</f>
        <v>275420201204091547120</v>
      </c>
      <c r="C337" s="5" t="s">
        <v>19</v>
      </c>
      <c r="D337" s="5" t="str">
        <f>"邢孔虎"</f>
        <v>邢孔虎</v>
      </c>
      <c r="E337" s="5" t="str">
        <f>"男"</f>
        <v>男</v>
      </c>
      <c r="F337" s="5" t="str">
        <f>"1987-12-27"</f>
        <v>1987-12-27</v>
      </c>
      <c r="G337" s="5"/>
    </row>
    <row r="338" spans="1:7" ht="19.5" customHeight="1">
      <c r="A338" s="4">
        <v>336</v>
      </c>
      <c r="B338" s="5" t="str">
        <f>"275420201204093245121"</f>
        <v>275420201204093245121</v>
      </c>
      <c r="C338" s="5" t="s">
        <v>19</v>
      </c>
      <c r="D338" s="5" t="str">
        <f>"符泽鹏"</f>
        <v>符泽鹏</v>
      </c>
      <c r="E338" s="5" t="str">
        <f>"男"</f>
        <v>男</v>
      </c>
      <c r="F338" s="5" t="str">
        <f>"1986-06-12"</f>
        <v>1986-06-12</v>
      </c>
      <c r="G338" s="5"/>
    </row>
    <row r="339" spans="1:7" ht="19.5" customHeight="1">
      <c r="A339" s="4">
        <v>337</v>
      </c>
      <c r="B339" s="5" t="str">
        <f>"275420201204102357130"</f>
        <v>275420201204102357130</v>
      </c>
      <c r="C339" s="5" t="s">
        <v>19</v>
      </c>
      <c r="D339" s="5" t="str">
        <f>"古裕霞"</f>
        <v>古裕霞</v>
      </c>
      <c r="E339" s="5" t="str">
        <f>"女"</f>
        <v>女</v>
      </c>
      <c r="F339" s="5" t="str">
        <f>"1992-06-16"</f>
        <v>1992-06-16</v>
      </c>
      <c r="G339" s="5"/>
    </row>
    <row r="340" spans="1:7" ht="19.5" customHeight="1">
      <c r="A340" s="4">
        <v>338</v>
      </c>
      <c r="B340" s="5" t="str">
        <f>"275420201204102812131"</f>
        <v>275420201204102812131</v>
      </c>
      <c r="C340" s="5" t="s">
        <v>19</v>
      </c>
      <c r="D340" s="5" t="str">
        <f>"陈余珏"</f>
        <v>陈余珏</v>
      </c>
      <c r="E340" s="5" t="str">
        <f>"男"</f>
        <v>男</v>
      </c>
      <c r="F340" s="5" t="str">
        <f>"1990-08-02"</f>
        <v>1990-08-02</v>
      </c>
      <c r="G340" s="5"/>
    </row>
    <row r="341" spans="1:7" ht="19.5" customHeight="1">
      <c r="A341" s="4">
        <v>339</v>
      </c>
      <c r="B341" s="5" t="str">
        <f>"275420201205172413224"</f>
        <v>275420201205172413224</v>
      </c>
      <c r="C341" s="5" t="s">
        <v>19</v>
      </c>
      <c r="D341" s="5" t="str">
        <f>"骆美明"</f>
        <v>骆美明</v>
      </c>
      <c r="E341" s="5" t="str">
        <f>"女"</f>
        <v>女</v>
      </c>
      <c r="F341" s="5" t="str">
        <f>"1996-04-18"</f>
        <v>1996-04-18</v>
      </c>
      <c r="G341" s="5"/>
    </row>
    <row r="342" spans="1:7" ht="19.5" customHeight="1">
      <c r="A342" s="4">
        <v>340</v>
      </c>
      <c r="B342" s="5" t="str">
        <f>"275420201208172559379"</f>
        <v>275420201208172559379</v>
      </c>
      <c r="C342" s="5" t="s">
        <v>19</v>
      </c>
      <c r="D342" s="5" t="str">
        <f>"符良臣"</f>
        <v>符良臣</v>
      </c>
      <c r="E342" s="5" t="str">
        <f>"男"</f>
        <v>男</v>
      </c>
      <c r="F342" s="5" t="str">
        <f>"1994-02-10"</f>
        <v>1994-02-10</v>
      </c>
      <c r="G342" s="5"/>
    </row>
    <row r="343" spans="1:7" ht="19.5" customHeight="1">
      <c r="A343" s="4">
        <v>341</v>
      </c>
      <c r="B343" s="5" t="str">
        <f>"275420201208185943383"</f>
        <v>275420201208185943383</v>
      </c>
      <c r="C343" s="5" t="s">
        <v>19</v>
      </c>
      <c r="D343" s="5" t="str">
        <f>"李丽莎"</f>
        <v>李丽莎</v>
      </c>
      <c r="E343" s="5" t="str">
        <f>"女"</f>
        <v>女</v>
      </c>
      <c r="F343" s="5" t="str">
        <f>"1992-04-13"</f>
        <v>1992-04-13</v>
      </c>
      <c r="G343" s="5"/>
    </row>
    <row r="344" spans="1:7" ht="19.5" customHeight="1">
      <c r="A344" s="4">
        <v>342</v>
      </c>
      <c r="B344" s="5" t="str">
        <f>"275420201209100736413"</f>
        <v>275420201209100736413</v>
      </c>
      <c r="C344" s="5" t="s">
        <v>19</v>
      </c>
      <c r="D344" s="5" t="str">
        <f>"李海霞"</f>
        <v>李海霞</v>
      </c>
      <c r="E344" s="5" t="str">
        <f>"女"</f>
        <v>女</v>
      </c>
      <c r="F344" s="5" t="str">
        <f>"1997-08-27"</f>
        <v>1997-08-27</v>
      </c>
      <c r="G344" s="5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2020-12-10T06:09:07Z</dcterms:created>
  <dcterms:modified xsi:type="dcterms:W3CDTF">2020-12-14T00:42:51Z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