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<sst xmlns="http://schemas.openxmlformats.org/spreadsheetml/2006/main" count="2152" uniqueCount="11">
  <si>
    <t>三亚市崖州区机关事业单位2020年公开招考政府雇员储备库通过资格初审合格人员名单</t>
  </si>
  <si>
    <t>序号</t>
  </si>
  <si>
    <t>报考号</t>
  </si>
  <si>
    <t>报考岗位</t>
  </si>
  <si>
    <t>姓名</t>
  </si>
  <si>
    <t>出生年月</t>
  </si>
  <si>
    <t>备注</t>
  </si>
  <si>
    <t>0101_综合岗1</t>
  </si>
  <si>
    <t>0102_综合岗2</t>
  </si>
  <si>
    <t>0103_综合岗3</t>
  </si>
  <si>
    <t>0104_综合岗4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</si>
</sst>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47"/>
  <sheetViews>
    <sheetView tabSelected="1" zoomScale="85" zoomScaleNormal="85" workbookViewId="0" topLeftCell="A223">
      <selection activeCell="J6" sqref="J6"/>
    </sheetView>
  </sheetViews>
  <sheetFormatPr defaultColWidth="9.00390625" defaultRowHeight="30" customHeight="1"/>
  <cols>
    <col min="1" max="1" width="9.00390625" style="2" customWidth="1"/>
    <col min="2" max="2" width="22.57421875" style="2" customWidth="1"/>
    <col min="3" max="3" width="13.421875" style="2" customWidth="1"/>
    <col min="4" max="4" width="8.28125" style="2" customWidth="1"/>
    <col min="5" max="5" width="11.421875" style="2" customWidth="1"/>
    <col min="6" max="6" width="25.00390625" style="2" customWidth="1"/>
    <col min="7" max="16384" width="9.00390625" style="2" customWidth="1"/>
  </cols>
  <sheetData>
    <row r="1" spans="1:6" ht="54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0" customHeight="1">
      <c r="A3" s="6">
        <v>1</v>
      </c>
      <c r="B3" s="6" t="str">
        <f>"2728202011200900582"</f>
        <v>2728202011200900582</v>
      </c>
      <c r="C3" s="6" t="s">
        <v>7</v>
      </c>
      <c r="D3" s="6" t="str">
        <f>"石玉珠"</f>
        <v>石玉珠</v>
      </c>
      <c r="E3" s="6" t="str">
        <f>"1994-11-28"</f>
        <v>1994-11-28</v>
      </c>
      <c r="F3" s="6"/>
    </row>
    <row r="4" spans="1:6" ht="30" customHeight="1">
      <c r="A4" s="6">
        <v>2</v>
      </c>
      <c r="B4" s="6" t="str">
        <f>"2728202011200901203"</f>
        <v>2728202011200901203</v>
      </c>
      <c r="C4" s="6" t="s">
        <v>7</v>
      </c>
      <c r="D4" s="6" t="str">
        <f>"李生"</f>
        <v>李生</v>
      </c>
      <c r="E4" s="6" t="str">
        <f>"1994-09-27"</f>
        <v>1994-09-27</v>
      </c>
      <c r="F4" s="6"/>
    </row>
    <row r="5" spans="1:6" ht="30" customHeight="1">
      <c r="A5" s="6">
        <v>3</v>
      </c>
      <c r="B5" s="6" t="str">
        <f>"2728202011200901234"</f>
        <v>2728202011200901234</v>
      </c>
      <c r="C5" s="6" t="s">
        <v>7</v>
      </c>
      <c r="D5" s="6" t="str">
        <f>"李智渊"</f>
        <v>李智渊</v>
      </c>
      <c r="E5" s="6" t="str">
        <f>"1998-07-07"</f>
        <v>1998-07-07</v>
      </c>
      <c r="F5" s="6"/>
    </row>
    <row r="6" spans="1:6" ht="30" customHeight="1">
      <c r="A6" s="6">
        <v>4</v>
      </c>
      <c r="B6" s="6" t="str">
        <f>"2728202011200901566"</f>
        <v>2728202011200901566</v>
      </c>
      <c r="C6" s="6" t="s">
        <v>7</v>
      </c>
      <c r="D6" s="6" t="str">
        <f>"云天静"</f>
        <v>云天静</v>
      </c>
      <c r="E6" s="6" t="str">
        <f>"1997-02-09"</f>
        <v>1997-02-09</v>
      </c>
      <c r="F6" s="6"/>
    </row>
    <row r="7" spans="1:6" ht="30" customHeight="1">
      <c r="A7" s="6">
        <v>5</v>
      </c>
      <c r="B7" s="6" t="str">
        <f>"2728202011200902349"</f>
        <v>2728202011200902349</v>
      </c>
      <c r="C7" s="6" t="s">
        <v>7</v>
      </c>
      <c r="D7" s="6" t="str">
        <f>"容召康"</f>
        <v>容召康</v>
      </c>
      <c r="E7" s="6" t="str">
        <f>"1995-11-25"</f>
        <v>1995-11-25</v>
      </c>
      <c r="F7" s="6"/>
    </row>
    <row r="8" spans="1:6" ht="30" customHeight="1">
      <c r="A8" s="6">
        <v>6</v>
      </c>
      <c r="B8" s="6" t="str">
        <f>"27282020112009024610"</f>
        <v>27282020112009024610</v>
      </c>
      <c r="C8" s="6" t="s">
        <v>7</v>
      </c>
      <c r="D8" s="6" t="str">
        <f>"张希峥"</f>
        <v>张希峥</v>
      </c>
      <c r="E8" s="6" t="str">
        <f>"1995-05-06"</f>
        <v>1995-05-06</v>
      </c>
      <c r="F8" s="6"/>
    </row>
    <row r="9" spans="1:6" ht="30" customHeight="1">
      <c r="A9" s="6">
        <v>7</v>
      </c>
      <c r="B9" s="6" t="str">
        <f>"27282020112009025111"</f>
        <v>27282020112009025111</v>
      </c>
      <c r="C9" s="6" t="s">
        <v>7</v>
      </c>
      <c r="D9" s="6" t="str">
        <f>"吴佳丽"</f>
        <v>吴佳丽</v>
      </c>
      <c r="E9" s="6" t="str">
        <f>"1997-03-11"</f>
        <v>1997-03-11</v>
      </c>
      <c r="F9" s="6"/>
    </row>
    <row r="10" spans="1:6" ht="30" customHeight="1">
      <c r="A10" s="6">
        <v>8</v>
      </c>
      <c r="B10" s="6" t="str">
        <f>"27282020112009025812"</f>
        <v>27282020112009025812</v>
      </c>
      <c r="C10" s="6" t="s">
        <v>7</v>
      </c>
      <c r="D10" s="6" t="str">
        <f>"胡皇琪"</f>
        <v>胡皇琪</v>
      </c>
      <c r="E10" s="6" t="str">
        <f>"1993-05-10"</f>
        <v>1993-05-10</v>
      </c>
      <c r="F10" s="6"/>
    </row>
    <row r="11" spans="1:6" ht="30" customHeight="1">
      <c r="A11" s="6">
        <v>9</v>
      </c>
      <c r="B11" s="6" t="str">
        <f>"27282020112009033014"</f>
        <v>27282020112009033014</v>
      </c>
      <c r="C11" s="6" t="s">
        <v>7</v>
      </c>
      <c r="D11" s="6" t="str">
        <f>"王雄仙"</f>
        <v>王雄仙</v>
      </c>
      <c r="E11" s="6" t="str">
        <f>"1997-04-07"</f>
        <v>1997-04-07</v>
      </c>
      <c r="F11" s="6"/>
    </row>
    <row r="12" spans="1:6" ht="30" customHeight="1">
      <c r="A12" s="6">
        <v>10</v>
      </c>
      <c r="B12" s="6" t="str">
        <f>"27282020112009035917"</f>
        <v>27282020112009035917</v>
      </c>
      <c r="C12" s="6" t="s">
        <v>7</v>
      </c>
      <c r="D12" s="6" t="str">
        <f>"谭诗于"</f>
        <v>谭诗于</v>
      </c>
      <c r="E12" s="6" t="str">
        <f>"1995-04-26"</f>
        <v>1995-04-26</v>
      </c>
      <c r="F12" s="6"/>
    </row>
    <row r="13" spans="1:6" ht="30" customHeight="1">
      <c r="A13" s="6">
        <v>11</v>
      </c>
      <c r="B13" s="6" t="str">
        <f>"27282020112009045518"</f>
        <v>27282020112009045518</v>
      </c>
      <c r="C13" s="6" t="s">
        <v>7</v>
      </c>
      <c r="D13" s="6" t="str">
        <f>"孟春婉"</f>
        <v>孟春婉</v>
      </c>
      <c r="E13" s="6" t="str">
        <f>"1987-09-11"</f>
        <v>1987-09-11</v>
      </c>
      <c r="F13" s="6"/>
    </row>
    <row r="14" spans="1:6" ht="30" customHeight="1">
      <c r="A14" s="6">
        <v>12</v>
      </c>
      <c r="B14" s="6" t="str">
        <f>"27282020112009054621"</f>
        <v>27282020112009054621</v>
      </c>
      <c r="C14" s="6" t="s">
        <v>7</v>
      </c>
      <c r="D14" s="6" t="str">
        <f>"程晓青"</f>
        <v>程晓青</v>
      </c>
      <c r="E14" s="6" t="str">
        <f>"1997-12-20"</f>
        <v>1997-12-20</v>
      </c>
      <c r="F14" s="6"/>
    </row>
    <row r="15" spans="1:6" ht="30" customHeight="1">
      <c r="A15" s="6">
        <v>13</v>
      </c>
      <c r="B15" s="6" t="str">
        <f>"27282020112009055222"</f>
        <v>27282020112009055222</v>
      </c>
      <c r="C15" s="6" t="s">
        <v>7</v>
      </c>
      <c r="D15" s="6" t="str">
        <f>"胡莉"</f>
        <v>胡莉</v>
      </c>
      <c r="E15" s="6" t="str">
        <f>"1994-09-15"</f>
        <v>1994-09-15</v>
      </c>
      <c r="F15" s="6"/>
    </row>
    <row r="16" spans="1:6" ht="30" customHeight="1">
      <c r="A16" s="6">
        <v>14</v>
      </c>
      <c r="B16" s="6" t="str">
        <f>"27282020112009063325"</f>
        <v>27282020112009063325</v>
      </c>
      <c r="C16" s="6" t="s">
        <v>7</v>
      </c>
      <c r="D16" s="6" t="str">
        <f>"邢有宁"</f>
        <v>邢有宁</v>
      </c>
      <c r="E16" s="6" t="str">
        <f>"1994-02-23"</f>
        <v>1994-02-23</v>
      </c>
      <c r="F16" s="6"/>
    </row>
    <row r="17" spans="1:6" ht="30" customHeight="1">
      <c r="A17" s="6">
        <v>15</v>
      </c>
      <c r="B17" s="6" t="str">
        <f>"27282020112009072827"</f>
        <v>27282020112009072827</v>
      </c>
      <c r="C17" s="6" t="s">
        <v>7</v>
      </c>
      <c r="D17" s="6" t="str">
        <f>"王诗琪"</f>
        <v>王诗琪</v>
      </c>
      <c r="E17" s="6" t="str">
        <f>"1992-05-30"</f>
        <v>1992-05-30</v>
      </c>
      <c r="F17" s="6"/>
    </row>
    <row r="18" spans="1:6" ht="30" customHeight="1">
      <c r="A18" s="6">
        <v>16</v>
      </c>
      <c r="B18" s="6" t="str">
        <f>"27282020112009090529"</f>
        <v>27282020112009090529</v>
      </c>
      <c r="C18" s="6" t="s">
        <v>7</v>
      </c>
      <c r="D18" s="6" t="str">
        <f>"黄立宇"</f>
        <v>黄立宇</v>
      </c>
      <c r="E18" s="6" t="str">
        <f>"1995-01-22"</f>
        <v>1995-01-22</v>
      </c>
      <c r="F18" s="6"/>
    </row>
    <row r="19" spans="1:6" ht="30" customHeight="1">
      <c r="A19" s="6">
        <v>17</v>
      </c>
      <c r="B19" s="6" t="str">
        <f>"27282020112009092230"</f>
        <v>27282020112009092230</v>
      </c>
      <c r="C19" s="6" t="s">
        <v>7</v>
      </c>
      <c r="D19" s="6" t="str">
        <f>"任才峰"</f>
        <v>任才峰</v>
      </c>
      <c r="E19" s="6" t="str">
        <f>"1994-04-01"</f>
        <v>1994-04-01</v>
      </c>
      <c r="F19" s="6"/>
    </row>
    <row r="20" spans="1:6" ht="30" customHeight="1">
      <c r="A20" s="6">
        <v>18</v>
      </c>
      <c r="B20" s="6" t="str">
        <f>"27282020112009093531"</f>
        <v>27282020112009093531</v>
      </c>
      <c r="C20" s="6" t="s">
        <v>7</v>
      </c>
      <c r="D20" s="6" t="str">
        <f>"罗泽城"</f>
        <v>罗泽城</v>
      </c>
      <c r="E20" s="6" t="str">
        <f>"1995-09-12"</f>
        <v>1995-09-12</v>
      </c>
      <c r="F20" s="6"/>
    </row>
    <row r="21" spans="1:6" ht="30" customHeight="1">
      <c r="A21" s="6">
        <v>19</v>
      </c>
      <c r="B21" s="6" t="str">
        <f>"27282020112009095332"</f>
        <v>27282020112009095332</v>
      </c>
      <c r="C21" s="6" t="s">
        <v>7</v>
      </c>
      <c r="D21" s="6" t="str">
        <f>"陈慧莹"</f>
        <v>陈慧莹</v>
      </c>
      <c r="E21" s="6" t="str">
        <f>"1997-06-01"</f>
        <v>1997-06-01</v>
      </c>
      <c r="F21" s="6"/>
    </row>
    <row r="22" spans="1:6" ht="30" customHeight="1">
      <c r="A22" s="6">
        <v>20</v>
      </c>
      <c r="B22" s="6" t="str">
        <f>"27282020112009100934"</f>
        <v>27282020112009100934</v>
      </c>
      <c r="C22" s="6" t="s">
        <v>7</v>
      </c>
      <c r="D22" s="6" t="str">
        <f>"林亨儿"</f>
        <v>林亨儿</v>
      </c>
      <c r="E22" s="6" t="str">
        <f>"1997-01-08"</f>
        <v>1997-01-08</v>
      </c>
      <c r="F22" s="6"/>
    </row>
    <row r="23" spans="1:6" ht="30" customHeight="1">
      <c r="A23" s="6">
        <v>21</v>
      </c>
      <c r="B23" s="6" t="str">
        <f>"27282020112009110536"</f>
        <v>27282020112009110536</v>
      </c>
      <c r="C23" s="6" t="s">
        <v>7</v>
      </c>
      <c r="D23" s="6" t="str">
        <f>"许禄德"</f>
        <v>许禄德</v>
      </c>
      <c r="E23" s="6" t="str">
        <f>"1988-11-07"</f>
        <v>1988-11-07</v>
      </c>
      <c r="F23" s="6"/>
    </row>
    <row r="24" spans="1:6" ht="30" customHeight="1">
      <c r="A24" s="6">
        <v>22</v>
      </c>
      <c r="B24" s="6" t="str">
        <f>"27282020112009112737"</f>
        <v>27282020112009112737</v>
      </c>
      <c r="C24" s="6" t="s">
        <v>7</v>
      </c>
      <c r="D24" s="6" t="str">
        <f>"苏定民"</f>
        <v>苏定民</v>
      </c>
      <c r="E24" s="6" t="str">
        <f>"1996-04-10"</f>
        <v>1996-04-10</v>
      </c>
      <c r="F24" s="6"/>
    </row>
    <row r="25" spans="1:6" ht="30" customHeight="1">
      <c r="A25" s="6">
        <v>23</v>
      </c>
      <c r="B25" s="6" t="str">
        <f>"27282020112009114938"</f>
        <v>27282020112009114938</v>
      </c>
      <c r="C25" s="6" t="s">
        <v>7</v>
      </c>
      <c r="D25" s="6" t="str">
        <f>"陈保金"</f>
        <v>陈保金</v>
      </c>
      <c r="E25" s="6" t="str">
        <f>"1995-09-28"</f>
        <v>1995-09-28</v>
      </c>
      <c r="F25" s="6"/>
    </row>
    <row r="26" spans="1:6" ht="30" customHeight="1">
      <c r="A26" s="6">
        <v>24</v>
      </c>
      <c r="B26" s="6" t="str">
        <f>"27282020112009120939"</f>
        <v>27282020112009120939</v>
      </c>
      <c r="C26" s="6" t="s">
        <v>7</v>
      </c>
      <c r="D26" s="6" t="str">
        <f>"李秋爱"</f>
        <v>李秋爱</v>
      </c>
      <c r="E26" s="6" t="str">
        <f>"1996-03-04"</f>
        <v>1996-03-04</v>
      </c>
      <c r="F26" s="6"/>
    </row>
    <row r="27" spans="1:6" ht="30" customHeight="1">
      <c r="A27" s="6">
        <v>25</v>
      </c>
      <c r="B27" s="6" t="str">
        <f>"27282020112009122240"</f>
        <v>27282020112009122240</v>
      </c>
      <c r="C27" s="6" t="s">
        <v>7</v>
      </c>
      <c r="D27" s="6" t="str">
        <f>"陈炫廷"</f>
        <v>陈炫廷</v>
      </c>
      <c r="E27" s="6" t="str">
        <f>"1991-03-08"</f>
        <v>1991-03-08</v>
      </c>
      <c r="F27" s="6"/>
    </row>
    <row r="28" spans="1:6" ht="30" customHeight="1">
      <c r="A28" s="6">
        <v>26</v>
      </c>
      <c r="B28" s="6" t="str">
        <f>"27282020112009123541"</f>
        <v>27282020112009123541</v>
      </c>
      <c r="C28" s="6" t="s">
        <v>7</v>
      </c>
      <c r="D28" s="6" t="str">
        <f>"邢维攀"</f>
        <v>邢维攀</v>
      </c>
      <c r="E28" s="6" t="str">
        <f>"1999-05-08"</f>
        <v>1999-05-08</v>
      </c>
      <c r="F28" s="6"/>
    </row>
    <row r="29" spans="1:6" ht="30" customHeight="1">
      <c r="A29" s="6">
        <v>27</v>
      </c>
      <c r="B29" s="6" t="str">
        <f>"27282020112009123742"</f>
        <v>27282020112009123742</v>
      </c>
      <c r="C29" s="6" t="s">
        <v>7</v>
      </c>
      <c r="D29" s="6" t="str">
        <f>"孙文"</f>
        <v>孙文</v>
      </c>
      <c r="E29" s="6" t="str">
        <f>"1999-03-08"</f>
        <v>1999-03-08</v>
      </c>
      <c r="F29" s="6"/>
    </row>
    <row r="30" spans="1:6" ht="30" customHeight="1">
      <c r="A30" s="6">
        <v>28</v>
      </c>
      <c r="B30" s="6" t="str">
        <f>"27282020112009143944"</f>
        <v>27282020112009143944</v>
      </c>
      <c r="C30" s="6" t="s">
        <v>7</v>
      </c>
      <c r="D30" s="6" t="str">
        <f>"纪新群"</f>
        <v>纪新群</v>
      </c>
      <c r="E30" s="6" t="str">
        <f>"1995-04-11"</f>
        <v>1995-04-11</v>
      </c>
      <c r="F30" s="6"/>
    </row>
    <row r="31" spans="1:6" ht="30" customHeight="1">
      <c r="A31" s="6">
        <v>29</v>
      </c>
      <c r="B31" s="6" t="str">
        <f>"27282020112009144445"</f>
        <v>27282020112009144445</v>
      </c>
      <c r="C31" s="6" t="s">
        <v>7</v>
      </c>
      <c r="D31" s="6" t="str">
        <f>"林柔"</f>
        <v>林柔</v>
      </c>
      <c r="E31" s="6" t="str">
        <f>"1997-06-06"</f>
        <v>1997-06-06</v>
      </c>
      <c r="F31" s="6"/>
    </row>
    <row r="32" spans="1:6" ht="30" customHeight="1">
      <c r="A32" s="6">
        <v>30</v>
      </c>
      <c r="B32" s="6" t="str">
        <f>"27282020112009163747"</f>
        <v>27282020112009163747</v>
      </c>
      <c r="C32" s="6" t="s">
        <v>7</v>
      </c>
      <c r="D32" s="6" t="str">
        <f>"林景"</f>
        <v>林景</v>
      </c>
      <c r="E32" s="6" t="str">
        <f>"1990-05-10"</f>
        <v>1990-05-10</v>
      </c>
      <c r="F32" s="6"/>
    </row>
    <row r="33" spans="1:6" ht="30" customHeight="1">
      <c r="A33" s="6">
        <v>31</v>
      </c>
      <c r="B33" s="6" t="str">
        <f>"27282020112009173848"</f>
        <v>27282020112009173848</v>
      </c>
      <c r="C33" s="6" t="s">
        <v>7</v>
      </c>
      <c r="D33" s="6" t="str">
        <f>"陈小怡"</f>
        <v>陈小怡</v>
      </c>
      <c r="E33" s="6" t="str">
        <f>"1996-06-16"</f>
        <v>1996-06-16</v>
      </c>
      <c r="F33" s="6"/>
    </row>
    <row r="34" spans="1:6" ht="30" customHeight="1">
      <c r="A34" s="6">
        <v>32</v>
      </c>
      <c r="B34" s="6" t="str">
        <f>"27282020112009173849"</f>
        <v>27282020112009173849</v>
      </c>
      <c r="C34" s="6" t="s">
        <v>7</v>
      </c>
      <c r="D34" s="6" t="str">
        <f>"张彦超"</f>
        <v>张彦超</v>
      </c>
      <c r="E34" s="6" t="str">
        <f>"1993-03-14"</f>
        <v>1993-03-14</v>
      </c>
      <c r="F34" s="6"/>
    </row>
    <row r="35" spans="1:6" ht="30" customHeight="1">
      <c r="A35" s="6">
        <v>33</v>
      </c>
      <c r="B35" s="6" t="str">
        <f>"27282020112009181850"</f>
        <v>27282020112009181850</v>
      </c>
      <c r="C35" s="6" t="s">
        <v>7</v>
      </c>
      <c r="D35" s="6" t="str">
        <f>"唐海宽"</f>
        <v>唐海宽</v>
      </c>
      <c r="E35" s="6" t="str">
        <f>"1995-05-27"</f>
        <v>1995-05-27</v>
      </c>
      <c r="F35" s="6"/>
    </row>
    <row r="36" spans="1:6" ht="30" customHeight="1">
      <c r="A36" s="6">
        <v>34</v>
      </c>
      <c r="B36" s="6" t="str">
        <f>"27282020112009183051"</f>
        <v>27282020112009183051</v>
      </c>
      <c r="C36" s="6" t="s">
        <v>7</v>
      </c>
      <c r="D36" s="6" t="str">
        <f>"苏彦铨"</f>
        <v>苏彦铨</v>
      </c>
      <c r="E36" s="6" t="str">
        <f>"1996-03-02"</f>
        <v>1996-03-02</v>
      </c>
      <c r="F36" s="6"/>
    </row>
    <row r="37" spans="1:6" ht="30" customHeight="1">
      <c r="A37" s="6">
        <v>35</v>
      </c>
      <c r="B37" s="6" t="str">
        <f>"27282020112009210854"</f>
        <v>27282020112009210854</v>
      </c>
      <c r="C37" s="6" t="s">
        <v>7</v>
      </c>
      <c r="D37" s="6" t="str">
        <f>"吴坤凤"</f>
        <v>吴坤凤</v>
      </c>
      <c r="E37" s="6" t="str">
        <f>"1992-05-11"</f>
        <v>1992-05-11</v>
      </c>
      <c r="F37" s="6"/>
    </row>
    <row r="38" spans="1:6" ht="30" customHeight="1">
      <c r="A38" s="6">
        <v>36</v>
      </c>
      <c r="B38" s="6" t="str">
        <f>"27282020112009225155"</f>
        <v>27282020112009225155</v>
      </c>
      <c r="C38" s="6" t="s">
        <v>7</v>
      </c>
      <c r="D38" s="6" t="str">
        <f>"赵越"</f>
        <v>赵越</v>
      </c>
      <c r="E38" s="6" t="str">
        <f>"1986-01-05"</f>
        <v>1986-01-05</v>
      </c>
      <c r="F38" s="6"/>
    </row>
    <row r="39" spans="1:6" ht="30" customHeight="1">
      <c r="A39" s="6">
        <v>37</v>
      </c>
      <c r="B39" s="6" t="str">
        <f>"27282020112009241256"</f>
        <v>27282020112009241256</v>
      </c>
      <c r="C39" s="6" t="s">
        <v>7</v>
      </c>
      <c r="D39" s="6" t="str">
        <f>"朱康欢"</f>
        <v>朱康欢</v>
      </c>
      <c r="E39" s="6" t="str">
        <f>"1997-09-03"</f>
        <v>1997-09-03</v>
      </c>
      <c r="F39" s="6"/>
    </row>
    <row r="40" spans="1:6" ht="30" customHeight="1">
      <c r="A40" s="6">
        <v>38</v>
      </c>
      <c r="B40" s="6" t="str">
        <f>"27282020112009270559"</f>
        <v>27282020112009270559</v>
      </c>
      <c r="C40" s="6" t="s">
        <v>7</v>
      </c>
      <c r="D40" s="6" t="str">
        <f>"文泽航"</f>
        <v>文泽航</v>
      </c>
      <c r="E40" s="6" t="str">
        <f>"1995-05-02"</f>
        <v>1995-05-02</v>
      </c>
      <c r="F40" s="6"/>
    </row>
    <row r="41" spans="1:6" ht="30" customHeight="1">
      <c r="A41" s="6">
        <v>39</v>
      </c>
      <c r="B41" s="6" t="str">
        <f>"27282020112009305164"</f>
        <v>27282020112009305164</v>
      </c>
      <c r="C41" s="6" t="s">
        <v>7</v>
      </c>
      <c r="D41" s="6" t="str">
        <f>"李斌斌"</f>
        <v>李斌斌</v>
      </c>
      <c r="E41" s="6" t="str">
        <f>"1991-01-15"</f>
        <v>1991-01-15</v>
      </c>
      <c r="F41" s="6"/>
    </row>
    <row r="42" spans="1:6" ht="30" customHeight="1">
      <c r="A42" s="6">
        <v>40</v>
      </c>
      <c r="B42" s="6" t="str">
        <f>"27282020112009320665"</f>
        <v>27282020112009320665</v>
      </c>
      <c r="C42" s="6" t="s">
        <v>7</v>
      </c>
      <c r="D42" s="6" t="str">
        <f>"钟玉亭"</f>
        <v>钟玉亭</v>
      </c>
      <c r="E42" s="6" t="str">
        <f>"1997-01-05"</f>
        <v>1997-01-05</v>
      </c>
      <c r="F42" s="6"/>
    </row>
    <row r="43" spans="1:6" ht="30" customHeight="1">
      <c r="A43" s="6">
        <v>41</v>
      </c>
      <c r="B43" s="6" t="str">
        <f>"27282020112009323566"</f>
        <v>27282020112009323566</v>
      </c>
      <c r="C43" s="6" t="s">
        <v>7</v>
      </c>
      <c r="D43" s="6" t="str">
        <f>"林冰"</f>
        <v>林冰</v>
      </c>
      <c r="E43" s="6" t="str">
        <f>"1991-04-05"</f>
        <v>1991-04-05</v>
      </c>
      <c r="F43" s="6"/>
    </row>
    <row r="44" spans="1:6" ht="30" customHeight="1">
      <c r="A44" s="6">
        <v>42</v>
      </c>
      <c r="B44" s="6" t="str">
        <f>"27282020112009335967"</f>
        <v>27282020112009335967</v>
      </c>
      <c r="C44" s="6" t="s">
        <v>7</v>
      </c>
      <c r="D44" s="6" t="str">
        <f>"黄贻璋"</f>
        <v>黄贻璋</v>
      </c>
      <c r="E44" s="6" t="str">
        <f>"1991-03-07"</f>
        <v>1991-03-07</v>
      </c>
      <c r="F44" s="6"/>
    </row>
    <row r="45" spans="1:6" ht="30" customHeight="1">
      <c r="A45" s="6">
        <v>43</v>
      </c>
      <c r="B45" s="6" t="str">
        <f>"27282020112009361069"</f>
        <v>27282020112009361069</v>
      </c>
      <c r="C45" s="6" t="s">
        <v>7</v>
      </c>
      <c r="D45" s="6" t="str">
        <f>"李冠宁"</f>
        <v>李冠宁</v>
      </c>
      <c r="E45" s="6" t="str">
        <f>"1995-12-08"</f>
        <v>1995-12-08</v>
      </c>
      <c r="F45" s="6"/>
    </row>
    <row r="46" spans="1:6" ht="30" customHeight="1">
      <c r="A46" s="6">
        <v>44</v>
      </c>
      <c r="B46" s="6" t="str">
        <f>"27282020112009365170"</f>
        <v>27282020112009365170</v>
      </c>
      <c r="C46" s="6" t="s">
        <v>7</v>
      </c>
      <c r="D46" s="6" t="str">
        <f>"陈志莉"</f>
        <v>陈志莉</v>
      </c>
      <c r="E46" s="6" t="str">
        <f>"1996-10-28"</f>
        <v>1996-10-28</v>
      </c>
      <c r="F46" s="6"/>
    </row>
    <row r="47" spans="1:6" ht="30" customHeight="1">
      <c r="A47" s="6">
        <v>45</v>
      </c>
      <c r="B47" s="6" t="str">
        <f>"27282020112009373071"</f>
        <v>27282020112009373071</v>
      </c>
      <c r="C47" s="6" t="s">
        <v>7</v>
      </c>
      <c r="D47" s="6" t="str">
        <f>"王经曼"</f>
        <v>王经曼</v>
      </c>
      <c r="E47" s="6" t="str">
        <f>"1997-03-20"</f>
        <v>1997-03-20</v>
      </c>
      <c r="F47" s="6"/>
    </row>
    <row r="48" spans="1:6" ht="30" customHeight="1">
      <c r="A48" s="6">
        <v>46</v>
      </c>
      <c r="B48" s="6" t="str">
        <f>"27282020112009390372"</f>
        <v>27282020112009390372</v>
      </c>
      <c r="C48" s="6" t="s">
        <v>7</v>
      </c>
      <c r="D48" s="6" t="str">
        <f>"黄裕厚"</f>
        <v>黄裕厚</v>
      </c>
      <c r="E48" s="6" t="str">
        <f>"1997-06-07"</f>
        <v>1997-06-07</v>
      </c>
      <c r="F48" s="6"/>
    </row>
    <row r="49" spans="1:6" ht="30" customHeight="1">
      <c r="A49" s="6">
        <v>47</v>
      </c>
      <c r="B49" s="6" t="str">
        <f>"27282020112009393673"</f>
        <v>27282020112009393673</v>
      </c>
      <c r="C49" s="6" t="s">
        <v>7</v>
      </c>
      <c r="D49" s="6" t="str">
        <f>"曾昱钰"</f>
        <v>曾昱钰</v>
      </c>
      <c r="E49" s="6" t="str">
        <f>"1994-10-15"</f>
        <v>1994-10-15</v>
      </c>
      <c r="F49" s="6"/>
    </row>
    <row r="50" spans="1:6" ht="30" customHeight="1">
      <c r="A50" s="6">
        <v>48</v>
      </c>
      <c r="B50" s="6" t="str">
        <f>"27282020112009394974"</f>
        <v>27282020112009394974</v>
      </c>
      <c r="C50" s="6" t="s">
        <v>7</v>
      </c>
      <c r="D50" s="6" t="str">
        <f>"陈小小"</f>
        <v>陈小小</v>
      </c>
      <c r="E50" s="6" t="str">
        <f>"1997-08-09"</f>
        <v>1997-08-09</v>
      </c>
      <c r="F50" s="6"/>
    </row>
    <row r="51" spans="1:6" ht="30" customHeight="1">
      <c r="A51" s="6">
        <v>49</v>
      </c>
      <c r="B51" s="6" t="str">
        <f>"27282020112009401575"</f>
        <v>27282020112009401575</v>
      </c>
      <c r="C51" s="6" t="s">
        <v>7</v>
      </c>
      <c r="D51" s="6" t="str">
        <f>"容信力"</f>
        <v>容信力</v>
      </c>
      <c r="E51" s="6" t="str">
        <f>"1996-03-28"</f>
        <v>1996-03-28</v>
      </c>
      <c r="F51" s="6"/>
    </row>
    <row r="52" spans="1:6" ht="30" customHeight="1">
      <c r="A52" s="6">
        <v>50</v>
      </c>
      <c r="B52" s="6" t="str">
        <f>"27282020112009403576"</f>
        <v>27282020112009403576</v>
      </c>
      <c r="C52" s="6" t="s">
        <v>7</v>
      </c>
      <c r="D52" s="6" t="str">
        <f>"谢代宁"</f>
        <v>谢代宁</v>
      </c>
      <c r="E52" s="6" t="str">
        <f>"1993-05-06"</f>
        <v>1993-05-06</v>
      </c>
      <c r="F52" s="6"/>
    </row>
    <row r="53" spans="1:6" ht="30" customHeight="1">
      <c r="A53" s="6">
        <v>51</v>
      </c>
      <c r="B53" s="6" t="str">
        <f>"27282020112009430878"</f>
        <v>27282020112009430878</v>
      </c>
      <c r="C53" s="6" t="s">
        <v>7</v>
      </c>
      <c r="D53" s="6" t="str">
        <f>"李玲"</f>
        <v>李玲</v>
      </c>
      <c r="E53" s="6" t="str">
        <f>"1994-08-15"</f>
        <v>1994-08-15</v>
      </c>
      <c r="F53" s="6"/>
    </row>
    <row r="54" spans="1:6" ht="30" customHeight="1">
      <c r="A54" s="6">
        <v>52</v>
      </c>
      <c r="B54" s="6" t="str">
        <f>"27282020112009435579"</f>
        <v>27282020112009435579</v>
      </c>
      <c r="C54" s="6" t="s">
        <v>7</v>
      </c>
      <c r="D54" s="6" t="str">
        <f>"曾参"</f>
        <v>曾参</v>
      </c>
      <c r="E54" s="6" t="str">
        <f>"1997-06-26"</f>
        <v>1997-06-26</v>
      </c>
      <c r="F54" s="6"/>
    </row>
    <row r="55" spans="1:6" ht="30" customHeight="1">
      <c r="A55" s="6">
        <v>53</v>
      </c>
      <c r="B55" s="6" t="str">
        <f>"27282020112009442380"</f>
        <v>27282020112009442380</v>
      </c>
      <c r="C55" s="6" t="s">
        <v>7</v>
      </c>
      <c r="D55" s="6" t="str">
        <f>"陈诗明"</f>
        <v>陈诗明</v>
      </c>
      <c r="E55" s="6" t="str">
        <f>"1987-06-30"</f>
        <v>1987-06-30</v>
      </c>
      <c r="F55" s="6"/>
    </row>
    <row r="56" spans="1:6" ht="30" customHeight="1">
      <c r="A56" s="6">
        <v>54</v>
      </c>
      <c r="B56" s="6" t="str">
        <f>"27282020112009442781"</f>
        <v>27282020112009442781</v>
      </c>
      <c r="C56" s="6" t="s">
        <v>7</v>
      </c>
      <c r="D56" s="6" t="str">
        <f>"段春芳"</f>
        <v>段春芳</v>
      </c>
      <c r="E56" s="6" t="str">
        <f>"1993-02-08"</f>
        <v>1993-02-08</v>
      </c>
      <c r="F56" s="6"/>
    </row>
    <row r="57" spans="1:6" ht="30" customHeight="1">
      <c r="A57" s="6">
        <v>55</v>
      </c>
      <c r="B57" s="6" t="str">
        <f>"27282020112009450082"</f>
        <v>27282020112009450082</v>
      </c>
      <c r="C57" s="6" t="s">
        <v>7</v>
      </c>
      <c r="D57" s="6" t="str">
        <f>"麦莹莹"</f>
        <v>麦莹莹</v>
      </c>
      <c r="E57" s="6" t="str">
        <f>"1994-06-02"</f>
        <v>1994-06-02</v>
      </c>
      <c r="F57" s="6"/>
    </row>
    <row r="58" spans="1:6" ht="30" customHeight="1">
      <c r="A58" s="6">
        <v>56</v>
      </c>
      <c r="B58" s="6" t="str">
        <f>"27282020112009451583"</f>
        <v>27282020112009451583</v>
      </c>
      <c r="C58" s="6" t="s">
        <v>7</v>
      </c>
      <c r="D58" s="6" t="str">
        <f>"黄港"</f>
        <v>黄港</v>
      </c>
      <c r="E58" s="6" t="str">
        <f>"1989-11-14"</f>
        <v>1989-11-14</v>
      </c>
      <c r="F58" s="6"/>
    </row>
    <row r="59" spans="1:6" ht="30" customHeight="1">
      <c r="A59" s="6">
        <v>57</v>
      </c>
      <c r="B59" s="6" t="str">
        <f>"27282020112009472187"</f>
        <v>27282020112009472187</v>
      </c>
      <c r="C59" s="6" t="s">
        <v>7</v>
      </c>
      <c r="D59" s="6" t="str">
        <f>"兰为婧"</f>
        <v>兰为婧</v>
      </c>
      <c r="E59" s="6" t="str">
        <f>"1998-02-23"</f>
        <v>1998-02-23</v>
      </c>
      <c r="F59" s="6"/>
    </row>
    <row r="60" spans="1:6" ht="30" customHeight="1">
      <c r="A60" s="6">
        <v>58</v>
      </c>
      <c r="B60" s="6" t="str">
        <f>"27282020112009472488"</f>
        <v>27282020112009472488</v>
      </c>
      <c r="C60" s="6" t="s">
        <v>7</v>
      </c>
      <c r="D60" s="6" t="str">
        <f>"王广怀"</f>
        <v>王广怀</v>
      </c>
      <c r="E60" s="6" t="str">
        <f>"1995-08-29"</f>
        <v>1995-08-29</v>
      </c>
      <c r="F60" s="6"/>
    </row>
    <row r="61" spans="1:6" ht="30" customHeight="1">
      <c r="A61" s="6">
        <v>59</v>
      </c>
      <c r="B61" s="6" t="str">
        <f>"27282020112009474190"</f>
        <v>27282020112009474190</v>
      </c>
      <c r="C61" s="6" t="s">
        <v>7</v>
      </c>
      <c r="D61" s="6" t="str">
        <f>"张书翠"</f>
        <v>张书翠</v>
      </c>
      <c r="E61" s="6" t="str">
        <f>"1997-09-18"</f>
        <v>1997-09-18</v>
      </c>
      <c r="F61" s="6"/>
    </row>
    <row r="62" spans="1:6" ht="30" customHeight="1">
      <c r="A62" s="6">
        <v>60</v>
      </c>
      <c r="B62" s="6" t="str">
        <f>"27282020112009474491"</f>
        <v>27282020112009474491</v>
      </c>
      <c r="C62" s="6" t="s">
        <v>7</v>
      </c>
      <c r="D62" s="6" t="str">
        <f>"林敢"</f>
        <v>林敢</v>
      </c>
      <c r="E62" s="6" t="str">
        <f>"1997-07-06"</f>
        <v>1997-07-06</v>
      </c>
      <c r="F62" s="6"/>
    </row>
    <row r="63" spans="1:6" ht="30" customHeight="1">
      <c r="A63" s="6">
        <v>61</v>
      </c>
      <c r="B63" s="6" t="str">
        <f>"27282020112009480492"</f>
        <v>27282020112009480492</v>
      </c>
      <c r="C63" s="6" t="s">
        <v>7</v>
      </c>
      <c r="D63" s="6" t="str">
        <f>"符小强"</f>
        <v>符小强</v>
      </c>
      <c r="E63" s="6" t="str">
        <f>"1997-09-12"</f>
        <v>1997-09-12</v>
      </c>
      <c r="F63" s="6"/>
    </row>
    <row r="64" spans="1:6" ht="30" customHeight="1">
      <c r="A64" s="6">
        <v>62</v>
      </c>
      <c r="B64" s="6" t="str">
        <f>"27282020112009480693"</f>
        <v>27282020112009480693</v>
      </c>
      <c r="C64" s="6" t="s">
        <v>7</v>
      </c>
      <c r="D64" s="6" t="str">
        <f>"郑健沅"</f>
        <v>郑健沅</v>
      </c>
      <c r="E64" s="6" t="str">
        <f>"1993-01-14"</f>
        <v>1993-01-14</v>
      </c>
      <c r="F64" s="6"/>
    </row>
    <row r="65" spans="1:6" ht="30" customHeight="1">
      <c r="A65" s="6">
        <v>63</v>
      </c>
      <c r="B65" s="6" t="str">
        <f>"27282020112009483194"</f>
        <v>27282020112009483194</v>
      </c>
      <c r="C65" s="6" t="s">
        <v>7</v>
      </c>
      <c r="D65" s="6" t="str">
        <f>"林祁爽"</f>
        <v>林祁爽</v>
      </c>
      <c r="E65" s="6" t="str">
        <f>"1997-01-20"</f>
        <v>1997-01-20</v>
      </c>
      <c r="F65" s="6"/>
    </row>
    <row r="66" spans="1:6" ht="30" customHeight="1">
      <c r="A66" s="6">
        <v>64</v>
      </c>
      <c r="B66" s="6" t="str">
        <f>"27282020112009494795"</f>
        <v>27282020112009494795</v>
      </c>
      <c r="C66" s="6" t="s">
        <v>7</v>
      </c>
      <c r="D66" s="6" t="str">
        <f>"容秀文"</f>
        <v>容秀文</v>
      </c>
      <c r="E66" s="6" t="str">
        <f>"1988-07-25"</f>
        <v>1988-07-25</v>
      </c>
      <c r="F66" s="6"/>
    </row>
    <row r="67" spans="1:6" ht="30" customHeight="1">
      <c r="A67" s="6">
        <v>65</v>
      </c>
      <c r="B67" s="6" t="str">
        <f>"27282020112009495896"</f>
        <v>27282020112009495896</v>
      </c>
      <c r="C67" s="6" t="s">
        <v>7</v>
      </c>
      <c r="D67" s="6" t="str">
        <f>"王太"</f>
        <v>王太</v>
      </c>
      <c r="E67" s="6" t="str">
        <f>"1987-05-29"</f>
        <v>1987-05-29</v>
      </c>
      <c r="F67" s="6"/>
    </row>
    <row r="68" spans="1:6" ht="30" customHeight="1">
      <c r="A68" s="6">
        <v>66</v>
      </c>
      <c r="B68" s="6" t="str">
        <f>"27282020112009500297"</f>
        <v>27282020112009500297</v>
      </c>
      <c r="C68" s="6" t="s">
        <v>7</v>
      </c>
      <c r="D68" s="6" t="str">
        <f>"符诚书"</f>
        <v>符诚书</v>
      </c>
      <c r="E68" s="6" t="str">
        <f>"1995-08-15"</f>
        <v>1995-08-15</v>
      </c>
      <c r="F68" s="6"/>
    </row>
    <row r="69" spans="1:6" ht="30" customHeight="1">
      <c r="A69" s="6">
        <v>67</v>
      </c>
      <c r="B69" s="6" t="str">
        <f>"27282020112009503598"</f>
        <v>27282020112009503598</v>
      </c>
      <c r="C69" s="6" t="s">
        <v>7</v>
      </c>
      <c r="D69" s="6" t="str">
        <f>"陈积珠"</f>
        <v>陈积珠</v>
      </c>
      <c r="E69" s="6" t="str">
        <f>"1996-05-16"</f>
        <v>1996-05-16</v>
      </c>
      <c r="F69" s="6"/>
    </row>
    <row r="70" spans="1:6" ht="30" customHeight="1">
      <c r="A70" s="6">
        <v>68</v>
      </c>
      <c r="B70" s="6" t="str">
        <f>"272820201120095148101"</f>
        <v>272820201120095148101</v>
      </c>
      <c r="C70" s="6" t="s">
        <v>7</v>
      </c>
      <c r="D70" s="6" t="str">
        <f>"黄元慧"</f>
        <v>黄元慧</v>
      </c>
      <c r="E70" s="6" t="str">
        <f>"1998-05-09"</f>
        <v>1998-05-09</v>
      </c>
      <c r="F70" s="6"/>
    </row>
    <row r="71" spans="1:6" ht="30" customHeight="1">
      <c r="A71" s="6">
        <v>69</v>
      </c>
      <c r="B71" s="6" t="str">
        <f>"272820201120095201102"</f>
        <v>272820201120095201102</v>
      </c>
      <c r="C71" s="6" t="s">
        <v>7</v>
      </c>
      <c r="D71" s="6" t="str">
        <f>"李丽花"</f>
        <v>李丽花</v>
      </c>
      <c r="E71" s="6" t="str">
        <f>"1995-10-10"</f>
        <v>1995-10-10</v>
      </c>
      <c r="F71" s="6"/>
    </row>
    <row r="72" spans="1:6" ht="30" customHeight="1">
      <c r="A72" s="6">
        <v>70</v>
      </c>
      <c r="B72" s="6" t="str">
        <f>"272820201120095549105"</f>
        <v>272820201120095549105</v>
      </c>
      <c r="C72" s="6" t="s">
        <v>7</v>
      </c>
      <c r="D72" s="6" t="str">
        <f>"王小姹"</f>
        <v>王小姹</v>
      </c>
      <c r="E72" s="6" t="str">
        <f>"1989-07-01"</f>
        <v>1989-07-01</v>
      </c>
      <c r="F72" s="6"/>
    </row>
    <row r="73" spans="1:6" ht="30" customHeight="1">
      <c r="A73" s="6">
        <v>71</v>
      </c>
      <c r="B73" s="6" t="str">
        <f>"272820201120095600106"</f>
        <v>272820201120095600106</v>
      </c>
      <c r="C73" s="6" t="s">
        <v>7</v>
      </c>
      <c r="D73" s="6" t="str">
        <f>"王超"</f>
        <v>王超</v>
      </c>
      <c r="E73" s="6" t="str">
        <f>"1997-02-25"</f>
        <v>1997-02-25</v>
      </c>
      <c r="F73" s="6"/>
    </row>
    <row r="74" spans="1:6" ht="30" customHeight="1">
      <c r="A74" s="6">
        <v>72</v>
      </c>
      <c r="B74" s="6" t="str">
        <f>"272820201120095650108"</f>
        <v>272820201120095650108</v>
      </c>
      <c r="C74" s="6" t="s">
        <v>7</v>
      </c>
      <c r="D74" s="6" t="str">
        <f>"刘妹"</f>
        <v>刘妹</v>
      </c>
      <c r="E74" s="6" t="str">
        <f>"1995-08-21"</f>
        <v>1995-08-21</v>
      </c>
      <c r="F74" s="6"/>
    </row>
    <row r="75" spans="1:6" ht="30" customHeight="1">
      <c r="A75" s="6">
        <v>73</v>
      </c>
      <c r="B75" s="6" t="str">
        <f>"272820201120095703109"</f>
        <v>272820201120095703109</v>
      </c>
      <c r="C75" s="6" t="s">
        <v>7</v>
      </c>
      <c r="D75" s="6" t="str">
        <f>"林炽瑾"</f>
        <v>林炽瑾</v>
      </c>
      <c r="E75" s="6" t="str">
        <f>"1998-09-16"</f>
        <v>1998-09-16</v>
      </c>
      <c r="F75" s="6"/>
    </row>
    <row r="76" spans="1:6" ht="30" customHeight="1">
      <c r="A76" s="6">
        <v>74</v>
      </c>
      <c r="B76" s="6" t="str">
        <f>"272820201120095740110"</f>
        <v>272820201120095740110</v>
      </c>
      <c r="C76" s="6" t="s">
        <v>7</v>
      </c>
      <c r="D76" s="6" t="str">
        <f>"符以全"</f>
        <v>符以全</v>
      </c>
      <c r="E76" s="6" t="str">
        <f>"1997-04-16"</f>
        <v>1997-04-16</v>
      </c>
      <c r="F76" s="6"/>
    </row>
    <row r="77" spans="1:6" ht="30" customHeight="1">
      <c r="A77" s="6">
        <v>75</v>
      </c>
      <c r="B77" s="6" t="str">
        <f>"272820201120095815111"</f>
        <v>272820201120095815111</v>
      </c>
      <c r="C77" s="6" t="s">
        <v>7</v>
      </c>
      <c r="D77" s="6" t="str">
        <f>"林文静"</f>
        <v>林文静</v>
      </c>
      <c r="E77" s="6" t="str">
        <f>"1996-01-23"</f>
        <v>1996-01-23</v>
      </c>
      <c r="F77" s="6"/>
    </row>
    <row r="78" spans="1:6" ht="30" customHeight="1">
      <c r="A78" s="6">
        <v>76</v>
      </c>
      <c r="B78" s="6" t="str">
        <f>"272820201120095846112"</f>
        <v>272820201120095846112</v>
      </c>
      <c r="C78" s="6" t="s">
        <v>7</v>
      </c>
      <c r="D78" s="6" t="str">
        <f>"谢碧庄"</f>
        <v>谢碧庄</v>
      </c>
      <c r="E78" s="6" t="str">
        <f>"1996-05-02"</f>
        <v>1996-05-02</v>
      </c>
      <c r="F78" s="6"/>
    </row>
    <row r="79" spans="1:6" ht="30" customHeight="1">
      <c r="A79" s="6">
        <v>77</v>
      </c>
      <c r="B79" s="6" t="str">
        <f>"272820201120100349117"</f>
        <v>272820201120100349117</v>
      </c>
      <c r="C79" s="6" t="s">
        <v>7</v>
      </c>
      <c r="D79" s="6" t="str">
        <f>"符梦甜"</f>
        <v>符梦甜</v>
      </c>
      <c r="E79" s="6" t="str">
        <f>"1995-02-20"</f>
        <v>1995-02-20</v>
      </c>
      <c r="F79" s="6"/>
    </row>
    <row r="80" spans="1:6" ht="30" customHeight="1">
      <c r="A80" s="6">
        <v>78</v>
      </c>
      <c r="B80" s="6" t="str">
        <f>"272820201120100559121"</f>
        <v>272820201120100559121</v>
      </c>
      <c r="C80" s="6" t="s">
        <v>7</v>
      </c>
      <c r="D80" s="6" t="str">
        <f>"王为彩"</f>
        <v>王为彩</v>
      </c>
      <c r="E80" s="6" t="str">
        <f>"1994-11-14"</f>
        <v>1994-11-14</v>
      </c>
      <c r="F80" s="6"/>
    </row>
    <row r="81" spans="1:6" ht="30" customHeight="1">
      <c r="A81" s="6">
        <v>79</v>
      </c>
      <c r="B81" s="6" t="str">
        <f>"272820201120100737122"</f>
        <v>272820201120100737122</v>
      </c>
      <c r="C81" s="6" t="s">
        <v>7</v>
      </c>
      <c r="D81" s="6" t="str">
        <f>"赖禹宏"</f>
        <v>赖禹宏</v>
      </c>
      <c r="E81" s="6" t="str">
        <f>"1992-07-17"</f>
        <v>1992-07-17</v>
      </c>
      <c r="F81" s="6"/>
    </row>
    <row r="82" spans="1:6" ht="30" customHeight="1">
      <c r="A82" s="6">
        <v>80</v>
      </c>
      <c r="B82" s="6" t="str">
        <f>"272820201120100741123"</f>
        <v>272820201120100741123</v>
      </c>
      <c r="C82" s="6" t="s">
        <v>7</v>
      </c>
      <c r="D82" s="6" t="str">
        <f>"黄贻红"</f>
        <v>黄贻红</v>
      </c>
      <c r="E82" s="6" t="str">
        <f>"1993-12-09"</f>
        <v>1993-12-09</v>
      </c>
      <c r="F82" s="6"/>
    </row>
    <row r="83" spans="1:6" ht="30" customHeight="1">
      <c r="A83" s="6">
        <v>81</v>
      </c>
      <c r="B83" s="6" t="str">
        <f>"272820201120100806124"</f>
        <v>272820201120100806124</v>
      </c>
      <c r="C83" s="6" t="s">
        <v>7</v>
      </c>
      <c r="D83" s="6" t="str">
        <f>"罗祥炯"</f>
        <v>罗祥炯</v>
      </c>
      <c r="E83" s="6" t="str">
        <f>"1992-12-28"</f>
        <v>1992-12-28</v>
      </c>
      <c r="F83" s="6"/>
    </row>
    <row r="84" spans="1:6" ht="30" customHeight="1">
      <c r="A84" s="6">
        <v>82</v>
      </c>
      <c r="B84" s="6" t="str">
        <f>"272820201120100909125"</f>
        <v>272820201120100909125</v>
      </c>
      <c r="C84" s="6" t="s">
        <v>7</v>
      </c>
      <c r="D84" s="6" t="str">
        <f>"吴梅梅"</f>
        <v>吴梅梅</v>
      </c>
      <c r="E84" s="6" t="str">
        <f>"1989-05-17"</f>
        <v>1989-05-17</v>
      </c>
      <c r="F84" s="6"/>
    </row>
    <row r="85" spans="1:6" ht="30" customHeight="1">
      <c r="A85" s="6">
        <v>83</v>
      </c>
      <c r="B85" s="6" t="str">
        <f>"272820201120100912126"</f>
        <v>272820201120100912126</v>
      </c>
      <c r="C85" s="6" t="s">
        <v>7</v>
      </c>
      <c r="D85" s="6" t="str">
        <f>"李河川"</f>
        <v>李河川</v>
      </c>
      <c r="E85" s="6" t="str">
        <f>"1987-10-26"</f>
        <v>1987-10-26</v>
      </c>
      <c r="F85" s="6"/>
    </row>
    <row r="86" spans="1:6" ht="30" customHeight="1">
      <c r="A86" s="6">
        <v>84</v>
      </c>
      <c r="B86" s="6" t="str">
        <f>"272820201120100916127"</f>
        <v>272820201120100916127</v>
      </c>
      <c r="C86" s="6" t="s">
        <v>7</v>
      </c>
      <c r="D86" s="6" t="str">
        <f>"李倩"</f>
        <v>李倩</v>
      </c>
      <c r="E86" s="6" t="str">
        <f>"1994-04-02"</f>
        <v>1994-04-02</v>
      </c>
      <c r="F86" s="6"/>
    </row>
    <row r="87" spans="1:6" ht="30" customHeight="1">
      <c r="A87" s="6">
        <v>85</v>
      </c>
      <c r="B87" s="6" t="str">
        <f>"272820201120100925128"</f>
        <v>272820201120100925128</v>
      </c>
      <c r="C87" s="6" t="s">
        <v>7</v>
      </c>
      <c r="D87" s="6" t="str">
        <f>"农惠"</f>
        <v>农惠</v>
      </c>
      <c r="E87" s="6" t="str">
        <f>"1995-08-21"</f>
        <v>1995-08-21</v>
      </c>
      <c r="F87" s="6"/>
    </row>
    <row r="88" spans="1:6" ht="30" customHeight="1">
      <c r="A88" s="6">
        <v>86</v>
      </c>
      <c r="B88" s="6" t="str">
        <f>"272820201120101140129"</f>
        <v>272820201120101140129</v>
      </c>
      <c r="C88" s="6" t="s">
        <v>7</v>
      </c>
      <c r="D88" s="6" t="str">
        <f>"李南龙"</f>
        <v>李南龙</v>
      </c>
      <c r="E88" s="6" t="str">
        <f>"1995-10-30"</f>
        <v>1995-10-30</v>
      </c>
      <c r="F88" s="6"/>
    </row>
    <row r="89" spans="1:6" ht="30" customHeight="1">
      <c r="A89" s="6">
        <v>87</v>
      </c>
      <c r="B89" s="6" t="str">
        <f>"272820201120101242130"</f>
        <v>272820201120101242130</v>
      </c>
      <c r="C89" s="6" t="s">
        <v>7</v>
      </c>
      <c r="D89" s="6" t="str">
        <f>"柯雨沁"</f>
        <v>柯雨沁</v>
      </c>
      <c r="E89" s="6" t="str">
        <f>"1995-02-04"</f>
        <v>1995-02-04</v>
      </c>
      <c r="F89" s="6"/>
    </row>
    <row r="90" spans="1:6" ht="30" customHeight="1">
      <c r="A90" s="6">
        <v>88</v>
      </c>
      <c r="B90" s="6" t="str">
        <f>"272820201120101243131"</f>
        <v>272820201120101243131</v>
      </c>
      <c r="C90" s="6" t="s">
        <v>7</v>
      </c>
      <c r="D90" s="6" t="str">
        <f>"高月娇"</f>
        <v>高月娇</v>
      </c>
      <c r="E90" s="6" t="str">
        <f>"1992-05-18"</f>
        <v>1992-05-18</v>
      </c>
      <c r="F90" s="6"/>
    </row>
    <row r="91" spans="1:6" ht="30" customHeight="1">
      <c r="A91" s="6">
        <v>89</v>
      </c>
      <c r="B91" s="6" t="str">
        <f>"272820201120101301132"</f>
        <v>272820201120101301132</v>
      </c>
      <c r="C91" s="6" t="s">
        <v>7</v>
      </c>
      <c r="D91" s="6" t="str">
        <f>"杨海芳"</f>
        <v>杨海芳</v>
      </c>
      <c r="E91" s="6" t="str">
        <f>"1996-09-09"</f>
        <v>1996-09-09</v>
      </c>
      <c r="F91" s="6"/>
    </row>
    <row r="92" spans="1:6" ht="30" customHeight="1">
      <c r="A92" s="6">
        <v>90</v>
      </c>
      <c r="B92" s="6" t="str">
        <f>"272820201120101418133"</f>
        <v>272820201120101418133</v>
      </c>
      <c r="C92" s="6" t="s">
        <v>7</v>
      </c>
      <c r="D92" s="6" t="str">
        <f>"董琴星"</f>
        <v>董琴星</v>
      </c>
      <c r="E92" s="6" t="str">
        <f>"1992-10-05"</f>
        <v>1992-10-05</v>
      </c>
      <c r="F92" s="6"/>
    </row>
    <row r="93" spans="1:6" ht="30" customHeight="1">
      <c r="A93" s="6">
        <v>91</v>
      </c>
      <c r="B93" s="6" t="str">
        <f>"272820201120101421134"</f>
        <v>272820201120101421134</v>
      </c>
      <c r="C93" s="6" t="s">
        <v>7</v>
      </c>
      <c r="D93" s="6" t="str">
        <f>"罗爱莲"</f>
        <v>罗爱莲</v>
      </c>
      <c r="E93" s="6" t="str">
        <f>"1991-05-07"</f>
        <v>1991-05-07</v>
      </c>
      <c r="F93" s="6"/>
    </row>
    <row r="94" spans="1:6" ht="30" customHeight="1">
      <c r="A94" s="6">
        <v>92</v>
      </c>
      <c r="B94" s="6" t="str">
        <f>"272820201120101432135"</f>
        <v>272820201120101432135</v>
      </c>
      <c r="C94" s="6" t="s">
        <v>7</v>
      </c>
      <c r="D94" s="6" t="str">
        <f>"崔珊珊"</f>
        <v>崔珊珊</v>
      </c>
      <c r="E94" s="6" t="str">
        <f>"1996-11-03"</f>
        <v>1996-11-03</v>
      </c>
      <c r="F94" s="6"/>
    </row>
    <row r="95" spans="1:6" ht="30" customHeight="1">
      <c r="A95" s="6">
        <v>93</v>
      </c>
      <c r="B95" s="6" t="str">
        <f>"272820201120101433136"</f>
        <v>272820201120101433136</v>
      </c>
      <c r="C95" s="6" t="s">
        <v>7</v>
      </c>
      <c r="D95" s="6" t="str">
        <f>"王育振"</f>
        <v>王育振</v>
      </c>
      <c r="E95" s="6" t="str">
        <f>"1996-03-23"</f>
        <v>1996-03-23</v>
      </c>
      <c r="F95" s="6"/>
    </row>
    <row r="96" spans="1:6" ht="30" customHeight="1">
      <c r="A96" s="6">
        <v>94</v>
      </c>
      <c r="B96" s="6" t="str">
        <f>"272820201120101518137"</f>
        <v>272820201120101518137</v>
      </c>
      <c r="C96" s="6" t="s">
        <v>7</v>
      </c>
      <c r="D96" s="6" t="str">
        <f>"孙法罡"</f>
        <v>孙法罡</v>
      </c>
      <c r="E96" s="6" t="str">
        <f>"1986-09-19"</f>
        <v>1986-09-19</v>
      </c>
      <c r="F96" s="6"/>
    </row>
    <row r="97" spans="1:6" ht="30" customHeight="1">
      <c r="A97" s="6">
        <v>95</v>
      </c>
      <c r="B97" s="6" t="str">
        <f>"272820201120101642138"</f>
        <v>272820201120101642138</v>
      </c>
      <c r="C97" s="6" t="s">
        <v>7</v>
      </c>
      <c r="D97" s="6" t="str">
        <f>"梁锦明"</f>
        <v>梁锦明</v>
      </c>
      <c r="E97" s="6" t="str">
        <f>"1987-12-16"</f>
        <v>1987-12-16</v>
      </c>
      <c r="F97" s="6"/>
    </row>
    <row r="98" spans="1:6" ht="30" customHeight="1">
      <c r="A98" s="6">
        <v>96</v>
      </c>
      <c r="B98" s="6" t="str">
        <f>"272820201120101658139"</f>
        <v>272820201120101658139</v>
      </c>
      <c r="C98" s="6" t="s">
        <v>7</v>
      </c>
      <c r="D98" s="6" t="str">
        <f>"罗亲词"</f>
        <v>罗亲词</v>
      </c>
      <c r="E98" s="6" t="str">
        <f>"1987-09-15"</f>
        <v>1987-09-15</v>
      </c>
      <c r="F98" s="6"/>
    </row>
    <row r="99" spans="1:6" ht="30" customHeight="1">
      <c r="A99" s="6">
        <v>97</v>
      </c>
      <c r="B99" s="6" t="str">
        <f>"272820201120101705140"</f>
        <v>272820201120101705140</v>
      </c>
      <c r="C99" s="6" t="s">
        <v>7</v>
      </c>
      <c r="D99" s="6" t="str">
        <f>"陈丹丹"</f>
        <v>陈丹丹</v>
      </c>
      <c r="E99" s="6" t="str">
        <f>"1995-12-03"</f>
        <v>1995-12-03</v>
      </c>
      <c r="F99" s="6"/>
    </row>
    <row r="100" spans="1:6" ht="30" customHeight="1">
      <c r="A100" s="6">
        <v>98</v>
      </c>
      <c r="B100" s="6" t="str">
        <f>"272820201120101759141"</f>
        <v>272820201120101759141</v>
      </c>
      <c r="C100" s="6" t="s">
        <v>7</v>
      </c>
      <c r="D100" s="6" t="str">
        <f>"周青云"</f>
        <v>周青云</v>
      </c>
      <c r="E100" s="6" t="str">
        <f>"1995-03-08"</f>
        <v>1995-03-08</v>
      </c>
      <c r="F100" s="6"/>
    </row>
    <row r="101" spans="1:6" ht="30" customHeight="1">
      <c r="A101" s="6">
        <v>99</v>
      </c>
      <c r="B101" s="6" t="str">
        <f>"272820201120101816142"</f>
        <v>272820201120101816142</v>
      </c>
      <c r="C101" s="6" t="s">
        <v>7</v>
      </c>
      <c r="D101" s="6" t="str">
        <f>"吴达显"</f>
        <v>吴达显</v>
      </c>
      <c r="E101" s="6" t="str">
        <f>"1996-06-14"</f>
        <v>1996-06-14</v>
      </c>
      <c r="F101" s="6"/>
    </row>
    <row r="102" spans="1:6" ht="30" customHeight="1">
      <c r="A102" s="6">
        <v>100</v>
      </c>
      <c r="B102" s="6" t="str">
        <f>"272820201120101926143"</f>
        <v>272820201120101926143</v>
      </c>
      <c r="C102" s="6" t="s">
        <v>7</v>
      </c>
      <c r="D102" s="6" t="str">
        <f>"邢楚楚"</f>
        <v>邢楚楚</v>
      </c>
      <c r="E102" s="6" t="str">
        <f>"1990-11-21"</f>
        <v>1990-11-21</v>
      </c>
      <c r="F102" s="6"/>
    </row>
    <row r="103" spans="1:6" ht="30" customHeight="1">
      <c r="A103" s="6">
        <v>101</v>
      </c>
      <c r="B103" s="6" t="str">
        <f>"272820201120101954145"</f>
        <v>272820201120101954145</v>
      </c>
      <c r="C103" s="6" t="s">
        <v>7</v>
      </c>
      <c r="D103" s="6" t="str">
        <f>"王庐进"</f>
        <v>王庐进</v>
      </c>
      <c r="E103" s="6" t="str">
        <f>"1997-09-08"</f>
        <v>1997-09-08</v>
      </c>
      <c r="F103" s="6"/>
    </row>
    <row r="104" spans="1:6" ht="30" customHeight="1">
      <c r="A104" s="6">
        <v>102</v>
      </c>
      <c r="B104" s="6" t="str">
        <f>"272820201120102048146"</f>
        <v>272820201120102048146</v>
      </c>
      <c r="C104" s="6" t="s">
        <v>7</v>
      </c>
      <c r="D104" s="6" t="str">
        <f>"林薇"</f>
        <v>林薇</v>
      </c>
      <c r="E104" s="6" t="str">
        <f>"1997-04-13"</f>
        <v>1997-04-13</v>
      </c>
      <c r="F104" s="6"/>
    </row>
    <row r="105" spans="1:6" ht="30" customHeight="1">
      <c r="A105" s="6">
        <v>103</v>
      </c>
      <c r="B105" s="6" t="str">
        <f>"272820201120102142147"</f>
        <v>272820201120102142147</v>
      </c>
      <c r="C105" s="6" t="s">
        <v>7</v>
      </c>
      <c r="D105" s="6" t="str">
        <f>"徐容"</f>
        <v>徐容</v>
      </c>
      <c r="E105" s="6" t="str">
        <f>"1997-01-29"</f>
        <v>1997-01-29</v>
      </c>
      <c r="F105" s="6"/>
    </row>
    <row r="106" spans="1:6" ht="30" customHeight="1">
      <c r="A106" s="6">
        <v>104</v>
      </c>
      <c r="B106" s="6" t="str">
        <f>"272820201120102154149"</f>
        <v>272820201120102154149</v>
      </c>
      <c r="C106" s="6" t="s">
        <v>7</v>
      </c>
      <c r="D106" s="6" t="str">
        <f>"麦妙青"</f>
        <v>麦妙青</v>
      </c>
      <c r="E106" s="6" t="str">
        <f>"1993-10-01"</f>
        <v>1993-10-01</v>
      </c>
      <c r="F106" s="6"/>
    </row>
    <row r="107" spans="1:6" ht="30" customHeight="1">
      <c r="A107" s="6">
        <v>105</v>
      </c>
      <c r="B107" s="6" t="str">
        <f>"272820201120102243150"</f>
        <v>272820201120102243150</v>
      </c>
      <c r="C107" s="6" t="s">
        <v>7</v>
      </c>
      <c r="D107" s="6" t="str">
        <f>"柳静"</f>
        <v>柳静</v>
      </c>
      <c r="E107" s="6" t="str">
        <f>"1991-07-10"</f>
        <v>1991-07-10</v>
      </c>
      <c r="F107" s="6"/>
    </row>
    <row r="108" spans="1:6" ht="30" customHeight="1">
      <c r="A108" s="6">
        <v>106</v>
      </c>
      <c r="B108" s="6" t="str">
        <f>"272820201120102314151"</f>
        <v>272820201120102314151</v>
      </c>
      <c r="C108" s="6" t="s">
        <v>7</v>
      </c>
      <c r="D108" s="6" t="str">
        <f>"王海青"</f>
        <v>王海青</v>
      </c>
      <c r="E108" s="6" t="str">
        <f>"1996-10-22"</f>
        <v>1996-10-22</v>
      </c>
      <c r="F108" s="6"/>
    </row>
    <row r="109" spans="1:6" ht="30" customHeight="1">
      <c r="A109" s="6">
        <v>107</v>
      </c>
      <c r="B109" s="6" t="str">
        <f>"272820201120102405152"</f>
        <v>272820201120102405152</v>
      </c>
      <c r="C109" s="6" t="s">
        <v>7</v>
      </c>
      <c r="D109" s="6" t="str">
        <f>"黄卓梅"</f>
        <v>黄卓梅</v>
      </c>
      <c r="E109" s="6" t="str">
        <f>"1997-01-08"</f>
        <v>1997-01-08</v>
      </c>
      <c r="F109" s="6"/>
    </row>
    <row r="110" spans="1:6" ht="30" customHeight="1">
      <c r="A110" s="6">
        <v>108</v>
      </c>
      <c r="B110" s="6" t="str">
        <f>"272820201120102419153"</f>
        <v>272820201120102419153</v>
      </c>
      <c r="C110" s="6" t="s">
        <v>7</v>
      </c>
      <c r="D110" s="6" t="str">
        <f>"韩雨颖"</f>
        <v>韩雨颖</v>
      </c>
      <c r="E110" s="6" t="str">
        <f>"1998-04-06"</f>
        <v>1998-04-06</v>
      </c>
      <c r="F110" s="6"/>
    </row>
    <row r="111" spans="1:6" ht="30" customHeight="1">
      <c r="A111" s="6">
        <v>109</v>
      </c>
      <c r="B111" s="6" t="str">
        <f>"272820201120102737156"</f>
        <v>272820201120102737156</v>
      </c>
      <c r="C111" s="6" t="s">
        <v>7</v>
      </c>
      <c r="D111" s="6" t="str">
        <f>"马止丹"</f>
        <v>马止丹</v>
      </c>
      <c r="E111" s="6" t="str">
        <f>"1994-01-10"</f>
        <v>1994-01-10</v>
      </c>
      <c r="F111" s="6"/>
    </row>
    <row r="112" spans="1:6" ht="30" customHeight="1">
      <c r="A112" s="6">
        <v>110</v>
      </c>
      <c r="B112" s="6" t="str">
        <f>"272820201120102752157"</f>
        <v>272820201120102752157</v>
      </c>
      <c r="C112" s="6" t="s">
        <v>7</v>
      </c>
      <c r="D112" s="6" t="str">
        <f>"翁丽花"</f>
        <v>翁丽花</v>
      </c>
      <c r="E112" s="6" t="str">
        <f>"1992-10-05"</f>
        <v>1992-10-05</v>
      </c>
      <c r="F112" s="6"/>
    </row>
    <row r="113" spans="1:6" ht="30" customHeight="1">
      <c r="A113" s="6">
        <v>111</v>
      </c>
      <c r="B113" s="6" t="str">
        <f>"272820201120102801158"</f>
        <v>272820201120102801158</v>
      </c>
      <c r="C113" s="6" t="s">
        <v>7</v>
      </c>
      <c r="D113" s="6" t="str">
        <f>"宁子威"</f>
        <v>宁子威</v>
      </c>
      <c r="E113" s="6" t="str">
        <f>"1989-12-29"</f>
        <v>1989-12-29</v>
      </c>
      <c r="F113" s="6"/>
    </row>
    <row r="114" spans="1:6" ht="30" customHeight="1">
      <c r="A114" s="6">
        <v>112</v>
      </c>
      <c r="B114" s="6" t="str">
        <f>"272820201120103024160"</f>
        <v>272820201120103024160</v>
      </c>
      <c r="C114" s="6" t="s">
        <v>7</v>
      </c>
      <c r="D114" s="6" t="str">
        <f>"蔡丰肖"</f>
        <v>蔡丰肖</v>
      </c>
      <c r="E114" s="6" t="str">
        <f>"1997-06-20"</f>
        <v>1997-06-20</v>
      </c>
      <c r="F114" s="6"/>
    </row>
    <row r="115" spans="1:6" ht="30" customHeight="1">
      <c r="A115" s="6">
        <v>113</v>
      </c>
      <c r="B115" s="6" t="str">
        <f>"272820201120103142161"</f>
        <v>272820201120103142161</v>
      </c>
      <c r="C115" s="6" t="s">
        <v>7</v>
      </c>
      <c r="D115" s="6" t="str">
        <f>"陈修吉"</f>
        <v>陈修吉</v>
      </c>
      <c r="E115" s="6" t="str">
        <f>"1998-11-04"</f>
        <v>1998-11-04</v>
      </c>
      <c r="F115" s="6"/>
    </row>
    <row r="116" spans="1:6" ht="30" customHeight="1">
      <c r="A116" s="6">
        <v>114</v>
      </c>
      <c r="B116" s="6" t="str">
        <f>"272820201120103245162"</f>
        <v>272820201120103245162</v>
      </c>
      <c r="C116" s="6" t="s">
        <v>7</v>
      </c>
      <c r="D116" s="6" t="str">
        <f>"黄伟国"</f>
        <v>黄伟国</v>
      </c>
      <c r="E116" s="6" t="str">
        <f>"1993-11-17"</f>
        <v>1993-11-17</v>
      </c>
      <c r="F116" s="6"/>
    </row>
    <row r="117" spans="1:6" ht="30" customHeight="1">
      <c r="A117" s="6">
        <v>115</v>
      </c>
      <c r="B117" s="6" t="str">
        <f>"272820201120103514166"</f>
        <v>272820201120103514166</v>
      </c>
      <c r="C117" s="6" t="s">
        <v>7</v>
      </c>
      <c r="D117" s="6" t="str">
        <f>"洪发"</f>
        <v>洪发</v>
      </c>
      <c r="E117" s="6" t="str">
        <f>"1996-02-07"</f>
        <v>1996-02-07</v>
      </c>
      <c r="F117" s="6"/>
    </row>
    <row r="118" spans="1:6" ht="30" customHeight="1">
      <c r="A118" s="6">
        <v>116</v>
      </c>
      <c r="B118" s="6" t="str">
        <f>"272820201120103712167"</f>
        <v>272820201120103712167</v>
      </c>
      <c r="C118" s="6" t="s">
        <v>7</v>
      </c>
      <c r="D118" s="6" t="str">
        <f>"郑芮苗"</f>
        <v>郑芮苗</v>
      </c>
      <c r="E118" s="6" t="str">
        <f>"1996-10-09"</f>
        <v>1996-10-09</v>
      </c>
      <c r="F118" s="6"/>
    </row>
    <row r="119" spans="1:6" ht="30" customHeight="1">
      <c r="A119" s="6">
        <v>117</v>
      </c>
      <c r="B119" s="6" t="str">
        <f>"272820201120103730168"</f>
        <v>272820201120103730168</v>
      </c>
      <c r="C119" s="6" t="s">
        <v>7</v>
      </c>
      <c r="D119" s="6" t="str">
        <f>"郑鼎花"</f>
        <v>郑鼎花</v>
      </c>
      <c r="E119" s="6" t="str">
        <f>"1996-06-20"</f>
        <v>1996-06-20</v>
      </c>
      <c r="F119" s="6"/>
    </row>
    <row r="120" spans="1:6" ht="30" customHeight="1">
      <c r="A120" s="6">
        <v>118</v>
      </c>
      <c r="B120" s="6" t="str">
        <f>"272820201120103833169"</f>
        <v>272820201120103833169</v>
      </c>
      <c r="C120" s="6" t="s">
        <v>7</v>
      </c>
      <c r="D120" s="6" t="str">
        <f>"郭舜杰"</f>
        <v>郭舜杰</v>
      </c>
      <c r="E120" s="6" t="str">
        <f>"1997-01-08"</f>
        <v>1997-01-08</v>
      </c>
      <c r="F120" s="6"/>
    </row>
    <row r="121" spans="1:6" ht="30" customHeight="1">
      <c r="A121" s="6">
        <v>119</v>
      </c>
      <c r="B121" s="6" t="str">
        <f>"272820201120103952170"</f>
        <v>272820201120103952170</v>
      </c>
      <c r="C121" s="6" t="s">
        <v>7</v>
      </c>
      <c r="D121" s="6" t="str">
        <f>"张儒帅"</f>
        <v>张儒帅</v>
      </c>
      <c r="E121" s="6" t="str">
        <f>"1993-04-08"</f>
        <v>1993-04-08</v>
      </c>
      <c r="F121" s="6"/>
    </row>
    <row r="122" spans="1:6" ht="30" customHeight="1">
      <c r="A122" s="6">
        <v>120</v>
      </c>
      <c r="B122" s="6" t="str">
        <f>"272820201120104119172"</f>
        <v>272820201120104119172</v>
      </c>
      <c r="C122" s="6" t="s">
        <v>7</v>
      </c>
      <c r="D122" s="6" t="str">
        <f>"陈小霞"</f>
        <v>陈小霞</v>
      </c>
      <c r="E122" s="6" t="str">
        <f>"1992-02-10"</f>
        <v>1992-02-10</v>
      </c>
      <c r="F122" s="6"/>
    </row>
    <row r="123" spans="1:6" ht="30" customHeight="1">
      <c r="A123" s="6">
        <v>121</v>
      </c>
      <c r="B123" s="6" t="str">
        <f>"272820201120104252175"</f>
        <v>272820201120104252175</v>
      </c>
      <c r="C123" s="6" t="s">
        <v>7</v>
      </c>
      <c r="D123" s="6" t="str">
        <f>"朱亚兵"</f>
        <v>朱亚兵</v>
      </c>
      <c r="E123" s="6" t="str">
        <f>"1998-03-28"</f>
        <v>1998-03-28</v>
      </c>
      <c r="F123" s="6"/>
    </row>
    <row r="124" spans="1:6" ht="30" customHeight="1">
      <c r="A124" s="6">
        <v>122</v>
      </c>
      <c r="B124" s="6" t="str">
        <f>"272820201120104713177"</f>
        <v>272820201120104713177</v>
      </c>
      <c r="C124" s="6" t="s">
        <v>7</v>
      </c>
      <c r="D124" s="6" t="str">
        <f>"常青"</f>
        <v>常青</v>
      </c>
      <c r="E124" s="6" t="str">
        <f>"1996-11-14"</f>
        <v>1996-11-14</v>
      </c>
      <c r="F124" s="6"/>
    </row>
    <row r="125" spans="1:6" ht="30" customHeight="1">
      <c r="A125" s="6">
        <v>123</v>
      </c>
      <c r="B125" s="6" t="str">
        <f>"272820201120104925180"</f>
        <v>272820201120104925180</v>
      </c>
      <c r="C125" s="6" t="s">
        <v>7</v>
      </c>
      <c r="D125" s="6" t="str">
        <f>"谢波"</f>
        <v>谢波</v>
      </c>
      <c r="E125" s="6" t="str">
        <f>"1996-07-24"</f>
        <v>1996-07-24</v>
      </c>
      <c r="F125" s="6"/>
    </row>
    <row r="126" spans="1:6" ht="30" customHeight="1">
      <c r="A126" s="6">
        <v>124</v>
      </c>
      <c r="B126" s="6" t="str">
        <f>"272820201120105024182"</f>
        <v>272820201120105024182</v>
      </c>
      <c r="C126" s="6" t="s">
        <v>7</v>
      </c>
      <c r="D126" s="6" t="str">
        <f>"周聪颖"</f>
        <v>周聪颖</v>
      </c>
      <c r="E126" s="6" t="str">
        <f>"1991-12-19"</f>
        <v>1991-12-19</v>
      </c>
      <c r="F126" s="6"/>
    </row>
    <row r="127" spans="1:6" ht="30" customHeight="1">
      <c r="A127" s="6">
        <v>125</v>
      </c>
      <c r="B127" s="6" t="str">
        <f>"272820201120105320184"</f>
        <v>272820201120105320184</v>
      </c>
      <c r="C127" s="6" t="s">
        <v>7</v>
      </c>
      <c r="D127" s="6" t="str">
        <f>"欧静漪"</f>
        <v>欧静漪</v>
      </c>
      <c r="E127" s="6" t="str">
        <f>"1998-04-22"</f>
        <v>1998-04-22</v>
      </c>
      <c r="F127" s="6"/>
    </row>
    <row r="128" spans="1:6" ht="30" customHeight="1">
      <c r="A128" s="6">
        <v>126</v>
      </c>
      <c r="B128" s="6" t="str">
        <f>"272820201120105515185"</f>
        <v>272820201120105515185</v>
      </c>
      <c r="C128" s="6" t="s">
        <v>7</v>
      </c>
      <c r="D128" s="6" t="str">
        <f>"纪明容"</f>
        <v>纪明容</v>
      </c>
      <c r="E128" s="6" t="str">
        <f>"1990-05-04"</f>
        <v>1990-05-04</v>
      </c>
      <c r="F128" s="6"/>
    </row>
    <row r="129" spans="1:6" ht="30" customHeight="1">
      <c r="A129" s="6">
        <v>127</v>
      </c>
      <c r="B129" s="6" t="str">
        <f>"272820201120105748186"</f>
        <v>272820201120105748186</v>
      </c>
      <c r="C129" s="6" t="s">
        <v>7</v>
      </c>
      <c r="D129" s="6" t="str">
        <f>"张树卫"</f>
        <v>张树卫</v>
      </c>
      <c r="E129" s="6" t="str">
        <f>"1993-12-28"</f>
        <v>1993-12-28</v>
      </c>
      <c r="F129" s="6"/>
    </row>
    <row r="130" spans="1:6" ht="30" customHeight="1">
      <c r="A130" s="6">
        <v>128</v>
      </c>
      <c r="B130" s="6" t="str">
        <f>"272820201120105809187"</f>
        <v>272820201120105809187</v>
      </c>
      <c r="C130" s="6" t="s">
        <v>7</v>
      </c>
      <c r="D130" s="6" t="str">
        <f>"冼基南"</f>
        <v>冼基南</v>
      </c>
      <c r="E130" s="6" t="str">
        <f>"1994-12-24"</f>
        <v>1994-12-24</v>
      </c>
      <c r="F130" s="6"/>
    </row>
    <row r="131" spans="1:6" ht="30" customHeight="1">
      <c r="A131" s="6">
        <v>129</v>
      </c>
      <c r="B131" s="6" t="str">
        <f>"272820201120105813188"</f>
        <v>272820201120105813188</v>
      </c>
      <c r="C131" s="6" t="s">
        <v>7</v>
      </c>
      <c r="D131" s="6" t="str">
        <f>"徐志佳"</f>
        <v>徐志佳</v>
      </c>
      <c r="E131" s="6" t="str">
        <f>"1999-04-24"</f>
        <v>1999-04-24</v>
      </c>
      <c r="F131" s="6"/>
    </row>
    <row r="132" spans="1:6" ht="30" customHeight="1">
      <c r="A132" s="6">
        <v>130</v>
      </c>
      <c r="B132" s="6" t="str">
        <f>"272820201120105857189"</f>
        <v>272820201120105857189</v>
      </c>
      <c r="C132" s="6" t="s">
        <v>7</v>
      </c>
      <c r="D132" s="6" t="str">
        <f>"祝嘉采"</f>
        <v>祝嘉采</v>
      </c>
      <c r="E132" s="6" t="str">
        <f>"1995-04-17"</f>
        <v>1995-04-17</v>
      </c>
      <c r="F132" s="6"/>
    </row>
    <row r="133" spans="1:6" ht="30" customHeight="1">
      <c r="A133" s="6">
        <v>131</v>
      </c>
      <c r="B133" s="6" t="str">
        <f>"272820201120105916190"</f>
        <v>272820201120105916190</v>
      </c>
      <c r="C133" s="6" t="s">
        <v>7</v>
      </c>
      <c r="D133" s="6" t="str">
        <f>"方雯"</f>
        <v>方雯</v>
      </c>
      <c r="E133" s="6" t="str">
        <f>"1991-03-03"</f>
        <v>1991-03-03</v>
      </c>
      <c r="F133" s="6"/>
    </row>
    <row r="134" spans="1:6" ht="30" customHeight="1">
      <c r="A134" s="6">
        <v>132</v>
      </c>
      <c r="B134" s="6" t="str">
        <f>"272820201120110034191"</f>
        <v>272820201120110034191</v>
      </c>
      <c r="C134" s="6" t="s">
        <v>7</v>
      </c>
      <c r="D134" s="6" t="str">
        <f>"李康"</f>
        <v>李康</v>
      </c>
      <c r="E134" s="6" t="str">
        <f>"1995-04-19"</f>
        <v>1995-04-19</v>
      </c>
      <c r="F134" s="6"/>
    </row>
    <row r="135" spans="1:6" ht="30" customHeight="1">
      <c r="A135" s="6">
        <v>133</v>
      </c>
      <c r="B135" s="6" t="str">
        <f>"272820201120110219196"</f>
        <v>272820201120110219196</v>
      </c>
      <c r="C135" s="6" t="s">
        <v>7</v>
      </c>
      <c r="D135" s="6" t="str">
        <f>"吉孝"</f>
        <v>吉孝</v>
      </c>
      <c r="E135" s="6" t="str">
        <f>"1998-06-12"</f>
        <v>1998-06-12</v>
      </c>
      <c r="F135" s="6"/>
    </row>
    <row r="136" spans="1:6" ht="30" customHeight="1">
      <c r="A136" s="6">
        <v>134</v>
      </c>
      <c r="B136" s="6" t="str">
        <f>"272820201120110413198"</f>
        <v>272820201120110413198</v>
      </c>
      <c r="C136" s="6" t="s">
        <v>7</v>
      </c>
      <c r="D136" s="6" t="str">
        <f>"羊桔"</f>
        <v>羊桔</v>
      </c>
      <c r="E136" s="6" t="str">
        <f>"1998-06-06"</f>
        <v>1998-06-06</v>
      </c>
      <c r="F136" s="6"/>
    </row>
    <row r="137" spans="1:6" ht="30" customHeight="1">
      <c r="A137" s="6">
        <v>135</v>
      </c>
      <c r="B137" s="6" t="str">
        <f>"272820201120110613200"</f>
        <v>272820201120110613200</v>
      </c>
      <c r="C137" s="6" t="s">
        <v>7</v>
      </c>
      <c r="D137" s="6" t="str">
        <f>"尤昱东"</f>
        <v>尤昱东</v>
      </c>
      <c r="E137" s="6" t="str">
        <f>"1996-11-03"</f>
        <v>1996-11-03</v>
      </c>
      <c r="F137" s="6"/>
    </row>
    <row r="138" spans="1:6" ht="30" customHeight="1">
      <c r="A138" s="6">
        <v>136</v>
      </c>
      <c r="B138" s="6" t="str">
        <f>"272820201120110616201"</f>
        <v>272820201120110616201</v>
      </c>
      <c r="C138" s="6" t="s">
        <v>7</v>
      </c>
      <c r="D138" s="6" t="str">
        <f>"蔡泽翔"</f>
        <v>蔡泽翔</v>
      </c>
      <c r="E138" s="6" t="str">
        <f>"1994-10-09"</f>
        <v>1994-10-09</v>
      </c>
      <c r="F138" s="6"/>
    </row>
    <row r="139" spans="1:6" ht="30" customHeight="1">
      <c r="A139" s="6">
        <v>137</v>
      </c>
      <c r="B139" s="6" t="str">
        <f>"272820201120110631202"</f>
        <v>272820201120110631202</v>
      </c>
      <c r="C139" s="6" t="s">
        <v>7</v>
      </c>
      <c r="D139" s="6" t="str">
        <f>"罗铭"</f>
        <v>罗铭</v>
      </c>
      <c r="E139" s="6" t="str">
        <f>"1998-03-28"</f>
        <v>1998-03-28</v>
      </c>
      <c r="F139" s="6"/>
    </row>
    <row r="140" spans="1:6" ht="30" customHeight="1">
      <c r="A140" s="6">
        <v>138</v>
      </c>
      <c r="B140" s="6" t="str">
        <f>"272820201120110657203"</f>
        <v>272820201120110657203</v>
      </c>
      <c r="C140" s="6" t="s">
        <v>7</v>
      </c>
      <c r="D140" s="6" t="str">
        <f>"符雪婷"</f>
        <v>符雪婷</v>
      </c>
      <c r="E140" s="6" t="str">
        <f>"1997-02-15"</f>
        <v>1997-02-15</v>
      </c>
      <c r="F140" s="6"/>
    </row>
    <row r="141" spans="1:6" ht="30" customHeight="1">
      <c r="A141" s="6">
        <v>139</v>
      </c>
      <c r="B141" s="6" t="str">
        <f>"272820201120111217208"</f>
        <v>272820201120111217208</v>
      </c>
      <c r="C141" s="6" t="s">
        <v>7</v>
      </c>
      <c r="D141" s="6" t="str">
        <f>"付盖玉"</f>
        <v>付盖玉</v>
      </c>
      <c r="E141" s="6" t="str">
        <f>"1995-03-18"</f>
        <v>1995-03-18</v>
      </c>
      <c r="F141" s="6"/>
    </row>
    <row r="142" spans="1:6" ht="30" customHeight="1">
      <c r="A142" s="6">
        <v>140</v>
      </c>
      <c r="B142" s="6" t="str">
        <f>"272820201120111406209"</f>
        <v>272820201120111406209</v>
      </c>
      <c r="C142" s="6" t="s">
        <v>7</v>
      </c>
      <c r="D142" s="6" t="str">
        <f>"林海燕"</f>
        <v>林海燕</v>
      </c>
      <c r="E142" s="6" t="str">
        <f>"1994-05-03"</f>
        <v>1994-05-03</v>
      </c>
      <c r="F142" s="6"/>
    </row>
    <row r="143" spans="1:6" ht="30" customHeight="1">
      <c r="A143" s="6">
        <v>141</v>
      </c>
      <c r="B143" s="6" t="str">
        <f>"272820201120111417210"</f>
        <v>272820201120111417210</v>
      </c>
      <c r="C143" s="6" t="s">
        <v>7</v>
      </c>
      <c r="D143" s="6" t="str">
        <f>"陈石"</f>
        <v>陈石</v>
      </c>
      <c r="E143" s="6" t="str">
        <f>"1997-11-20"</f>
        <v>1997-11-20</v>
      </c>
      <c r="F143" s="6"/>
    </row>
    <row r="144" spans="1:6" ht="30" customHeight="1">
      <c r="A144" s="6">
        <v>142</v>
      </c>
      <c r="B144" s="6" t="str">
        <f>"272820201120111703212"</f>
        <v>272820201120111703212</v>
      </c>
      <c r="C144" s="6" t="s">
        <v>7</v>
      </c>
      <c r="D144" s="6" t="str">
        <f>"林诗"</f>
        <v>林诗</v>
      </c>
      <c r="E144" s="6" t="str">
        <f>"1993-02-26"</f>
        <v>1993-02-26</v>
      </c>
      <c r="F144" s="6"/>
    </row>
    <row r="145" spans="1:6" ht="30" customHeight="1">
      <c r="A145" s="6">
        <v>143</v>
      </c>
      <c r="B145" s="6" t="str">
        <f>"272820201120111718213"</f>
        <v>272820201120111718213</v>
      </c>
      <c r="C145" s="6" t="s">
        <v>7</v>
      </c>
      <c r="D145" s="6" t="str">
        <f>"卢玉策"</f>
        <v>卢玉策</v>
      </c>
      <c r="E145" s="6" t="str">
        <f>"1994-03-20"</f>
        <v>1994-03-20</v>
      </c>
      <c r="F145" s="6"/>
    </row>
    <row r="146" spans="1:6" ht="30" customHeight="1">
      <c r="A146" s="6">
        <v>144</v>
      </c>
      <c r="B146" s="6" t="str">
        <f>"272820201120111846214"</f>
        <v>272820201120111846214</v>
      </c>
      <c r="C146" s="6" t="s">
        <v>7</v>
      </c>
      <c r="D146" s="6" t="str">
        <f>"陈佟倩"</f>
        <v>陈佟倩</v>
      </c>
      <c r="E146" s="6" t="str">
        <f>"1996-02-23"</f>
        <v>1996-02-23</v>
      </c>
      <c r="F146" s="6"/>
    </row>
    <row r="147" spans="1:6" ht="30" customHeight="1">
      <c r="A147" s="6">
        <v>145</v>
      </c>
      <c r="B147" s="6" t="str">
        <f>"272820201120111906215"</f>
        <v>272820201120111906215</v>
      </c>
      <c r="C147" s="6" t="s">
        <v>7</v>
      </c>
      <c r="D147" s="6" t="str">
        <f>"陈善文"</f>
        <v>陈善文</v>
      </c>
      <c r="E147" s="6" t="str">
        <f>"1998-08-15"</f>
        <v>1998-08-15</v>
      </c>
      <c r="F147" s="6"/>
    </row>
    <row r="148" spans="1:6" ht="30" customHeight="1">
      <c r="A148" s="6">
        <v>146</v>
      </c>
      <c r="B148" s="6" t="str">
        <f>"272820201120112129217"</f>
        <v>272820201120112129217</v>
      </c>
      <c r="C148" s="6" t="s">
        <v>7</v>
      </c>
      <c r="D148" s="6" t="str">
        <f>"孙迅"</f>
        <v>孙迅</v>
      </c>
      <c r="E148" s="6" t="str">
        <f>"1995-09-20"</f>
        <v>1995-09-20</v>
      </c>
      <c r="F148" s="6"/>
    </row>
    <row r="149" spans="1:6" ht="30" customHeight="1">
      <c r="A149" s="6">
        <v>147</v>
      </c>
      <c r="B149" s="6" t="str">
        <f>"272820201120112428219"</f>
        <v>272820201120112428219</v>
      </c>
      <c r="C149" s="6" t="s">
        <v>7</v>
      </c>
      <c r="D149" s="6" t="str">
        <f>"陈余富"</f>
        <v>陈余富</v>
      </c>
      <c r="E149" s="6" t="str">
        <f>"1993-11-27"</f>
        <v>1993-11-27</v>
      </c>
      <c r="F149" s="6"/>
    </row>
    <row r="150" spans="1:6" ht="30" customHeight="1">
      <c r="A150" s="6">
        <v>148</v>
      </c>
      <c r="B150" s="6" t="str">
        <f>"272820201120112647221"</f>
        <v>272820201120112647221</v>
      </c>
      <c r="C150" s="6" t="s">
        <v>7</v>
      </c>
      <c r="D150" s="6" t="str">
        <f>"陈昌雄"</f>
        <v>陈昌雄</v>
      </c>
      <c r="E150" s="6" t="str">
        <f>"1993-03-18"</f>
        <v>1993-03-18</v>
      </c>
      <c r="F150" s="6"/>
    </row>
    <row r="151" spans="1:6" ht="30" customHeight="1">
      <c r="A151" s="6">
        <v>149</v>
      </c>
      <c r="B151" s="6" t="str">
        <f>"272820201120112954222"</f>
        <v>272820201120112954222</v>
      </c>
      <c r="C151" s="6" t="s">
        <v>7</v>
      </c>
      <c r="D151" s="6" t="str">
        <f>"杨智杰"</f>
        <v>杨智杰</v>
      </c>
      <c r="E151" s="6" t="str">
        <f>"1998-06-26"</f>
        <v>1998-06-26</v>
      </c>
      <c r="F151" s="6"/>
    </row>
    <row r="152" spans="1:6" ht="30" customHeight="1">
      <c r="A152" s="6">
        <v>150</v>
      </c>
      <c r="B152" s="6" t="str">
        <f>"272820201120113024223"</f>
        <v>272820201120113024223</v>
      </c>
      <c r="C152" s="6" t="s">
        <v>7</v>
      </c>
      <c r="D152" s="6" t="str">
        <f>"陈燕妃"</f>
        <v>陈燕妃</v>
      </c>
      <c r="E152" s="6" t="str">
        <f>"1990-12-31"</f>
        <v>1990-12-31</v>
      </c>
      <c r="F152" s="6"/>
    </row>
    <row r="153" spans="1:6" ht="30" customHeight="1">
      <c r="A153" s="6">
        <v>151</v>
      </c>
      <c r="B153" s="6" t="str">
        <f>"272820201120113147226"</f>
        <v>272820201120113147226</v>
      </c>
      <c r="C153" s="6" t="s">
        <v>7</v>
      </c>
      <c r="D153" s="6" t="str">
        <f>"王桃蕊"</f>
        <v>王桃蕊</v>
      </c>
      <c r="E153" s="6" t="str">
        <f>"1998-03-11"</f>
        <v>1998-03-11</v>
      </c>
      <c r="F153" s="6"/>
    </row>
    <row r="154" spans="1:6" ht="30" customHeight="1">
      <c r="A154" s="6">
        <v>152</v>
      </c>
      <c r="B154" s="6" t="str">
        <f>"272820201120113232227"</f>
        <v>272820201120113232227</v>
      </c>
      <c r="C154" s="6" t="s">
        <v>7</v>
      </c>
      <c r="D154" s="6" t="str">
        <f>"高芬"</f>
        <v>高芬</v>
      </c>
      <c r="E154" s="6" t="str">
        <f>"1989-12-15"</f>
        <v>1989-12-15</v>
      </c>
      <c r="F154" s="6"/>
    </row>
    <row r="155" spans="1:6" ht="30" customHeight="1">
      <c r="A155" s="6">
        <v>153</v>
      </c>
      <c r="B155" s="6" t="str">
        <f>"272820201120113232228"</f>
        <v>272820201120113232228</v>
      </c>
      <c r="C155" s="6" t="s">
        <v>7</v>
      </c>
      <c r="D155" s="6" t="str">
        <f>"马巧丽"</f>
        <v>马巧丽</v>
      </c>
      <c r="E155" s="6" t="str">
        <f>"1997-06-08"</f>
        <v>1997-06-08</v>
      </c>
      <c r="F155" s="6"/>
    </row>
    <row r="156" spans="1:6" ht="30" customHeight="1">
      <c r="A156" s="6">
        <v>154</v>
      </c>
      <c r="B156" s="6" t="str">
        <f>"272820201120113352230"</f>
        <v>272820201120113352230</v>
      </c>
      <c r="C156" s="6" t="s">
        <v>7</v>
      </c>
      <c r="D156" s="6" t="str">
        <f>"陈禾苗"</f>
        <v>陈禾苗</v>
      </c>
      <c r="E156" s="6" t="str">
        <f>"1997-04-02"</f>
        <v>1997-04-02</v>
      </c>
      <c r="F156" s="6"/>
    </row>
    <row r="157" spans="1:6" ht="30" customHeight="1">
      <c r="A157" s="6">
        <v>155</v>
      </c>
      <c r="B157" s="6" t="str">
        <f>"272820201120113412232"</f>
        <v>272820201120113412232</v>
      </c>
      <c r="C157" s="6" t="s">
        <v>7</v>
      </c>
      <c r="D157" s="6" t="str">
        <f>"严国旺"</f>
        <v>严国旺</v>
      </c>
      <c r="E157" s="6" t="str">
        <f>"1995-06-06"</f>
        <v>1995-06-06</v>
      </c>
      <c r="F157" s="6"/>
    </row>
    <row r="158" spans="1:6" ht="30" customHeight="1">
      <c r="A158" s="6">
        <v>156</v>
      </c>
      <c r="B158" s="6" t="str">
        <f>"272820201120113426233"</f>
        <v>272820201120113426233</v>
      </c>
      <c r="C158" s="6" t="s">
        <v>7</v>
      </c>
      <c r="D158" s="6" t="str">
        <f>"麦世妮"</f>
        <v>麦世妮</v>
      </c>
      <c r="E158" s="6" t="str">
        <f>"1996-07-28"</f>
        <v>1996-07-28</v>
      </c>
      <c r="F158" s="6"/>
    </row>
    <row r="159" spans="1:6" ht="30" customHeight="1">
      <c r="A159" s="6">
        <v>157</v>
      </c>
      <c r="B159" s="6" t="str">
        <f>"272820201120113558234"</f>
        <v>272820201120113558234</v>
      </c>
      <c r="C159" s="6" t="s">
        <v>7</v>
      </c>
      <c r="D159" s="6" t="str">
        <f>"梁敏芝"</f>
        <v>梁敏芝</v>
      </c>
      <c r="E159" s="6" t="str">
        <f>"1999-07-18"</f>
        <v>1999-07-18</v>
      </c>
      <c r="F159" s="6"/>
    </row>
    <row r="160" spans="1:6" ht="30" customHeight="1">
      <c r="A160" s="6">
        <v>158</v>
      </c>
      <c r="B160" s="6" t="str">
        <f>"272820201120113633235"</f>
        <v>272820201120113633235</v>
      </c>
      <c r="C160" s="6" t="s">
        <v>7</v>
      </c>
      <c r="D160" s="6" t="str">
        <f>"丁悦花"</f>
        <v>丁悦花</v>
      </c>
      <c r="E160" s="6" t="str">
        <f>"1992-09-17"</f>
        <v>1992-09-17</v>
      </c>
      <c r="F160" s="6"/>
    </row>
    <row r="161" spans="1:6" ht="30" customHeight="1">
      <c r="A161" s="6">
        <v>159</v>
      </c>
      <c r="B161" s="6" t="str">
        <f>"272820201120113854237"</f>
        <v>272820201120113854237</v>
      </c>
      <c r="C161" s="6" t="s">
        <v>7</v>
      </c>
      <c r="D161" s="6" t="str">
        <f>"尹彤"</f>
        <v>尹彤</v>
      </c>
      <c r="E161" s="6" t="str">
        <f>"1999-01-06"</f>
        <v>1999-01-06</v>
      </c>
      <c r="F161" s="6"/>
    </row>
    <row r="162" spans="1:6" ht="30" customHeight="1">
      <c r="A162" s="6">
        <v>160</v>
      </c>
      <c r="B162" s="6" t="str">
        <f>"272820201120114419240"</f>
        <v>272820201120114419240</v>
      </c>
      <c r="C162" s="6" t="s">
        <v>7</v>
      </c>
      <c r="D162" s="6" t="str">
        <f>"吴永多"</f>
        <v>吴永多</v>
      </c>
      <c r="E162" s="6" t="str">
        <f>"1992-12-27"</f>
        <v>1992-12-27</v>
      </c>
      <c r="F162" s="6"/>
    </row>
    <row r="163" spans="1:6" ht="30" customHeight="1">
      <c r="A163" s="6">
        <v>161</v>
      </c>
      <c r="B163" s="6" t="str">
        <f>"272820201120114546241"</f>
        <v>272820201120114546241</v>
      </c>
      <c r="C163" s="6" t="s">
        <v>7</v>
      </c>
      <c r="D163" s="6" t="str">
        <f>"麦名妮"</f>
        <v>麦名妮</v>
      </c>
      <c r="E163" s="6" t="str">
        <f>"1996-08-06"</f>
        <v>1996-08-06</v>
      </c>
      <c r="F163" s="6"/>
    </row>
    <row r="164" spans="1:6" ht="30" customHeight="1">
      <c r="A164" s="6">
        <v>162</v>
      </c>
      <c r="B164" s="6" t="str">
        <f>"272820201120114547242"</f>
        <v>272820201120114547242</v>
      </c>
      <c r="C164" s="6" t="s">
        <v>7</v>
      </c>
      <c r="D164" s="6" t="str">
        <f>"尹春召"</f>
        <v>尹春召</v>
      </c>
      <c r="E164" s="6" t="str">
        <f>"1989-07-20"</f>
        <v>1989-07-20</v>
      </c>
      <c r="F164" s="6"/>
    </row>
    <row r="165" spans="1:6" ht="30" customHeight="1">
      <c r="A165" s="6">
        <v>163</v>
      </c>
      <c r="B165" s="6" t="str">
        <f>"272820201120114613244"</f>
        <v>272820201120114613244</v>
      </c>
      <c r="C165" s="6" t="s">
        <v>7</v>
      </c>
      <c r="D165" s="6" t="str">
        <f>"陈大兴"</f>
        <v>陈大兴</v>
      </c>
      <c r="E165" s="6" t="str">
        <f>"1994-09-25"</f>
        <v>1994-09-25</v>
      </c>
      <c r="F165" s="6"/>
    </row>
    <row r="166" spans="1:6" ht="30" customHeight="1">
      <c r="A166" s="6">
        <v>164</v>
      </c>
      <c r="B166" s="6" t="str">
        <f>"272820201120115013246"</f>
        <v>272820201120115013246</v>
      </c>
      <c r="C166" s="6" t="s">
        <v>7</v>
      </c>
      <c r="D166" s="6" t="str">
        <f>"潘正勤"</f>
        <v>潘正勤</v>
      </c>
      <c r="E166" s="6" t="str">
        <f>"1996-08-05"</f>
        <v>1996-08-05</v>
      </c>
      <c r="F166" s="6"/>
    </row>
    <row r="167" spans="1:6" ht="30" customHeight="1">
      <c r="A167" s="6">
        <v>165</v>
      </c>
      <c r="B167" s="6" t="str">
        <f>"272820201120115050248"</f>
        <v>272820201120115050248</v>
      </c>
      <c r="C167" s="6" t="s">
        <v>7</v>
      </c>
      <c r="D167" s="6" t="str">
        <f>"余源"</f>
        <v>余源</v>
      </c>
      <c r="E167" s="6" t="str">
        <f>"1999-06-28"</f>
        <v>1999-06-28</v>
      </c>
      <c r="F167" s="6"/>
    </row>
    <row r="168" spans="1:6" ht="30" customHeight="1">
      <c r="A168" s="6">
        <v>166</v>
      </c>
      <c r="B168" s="6" t="str">
        <f>"272820201120115308250"</f>
        <v>272820201120115308250</v>
      </c>
      <c r="C168" s="6" t="s">
        <v>7</v>
      </c>
      <c r="D168" s="6" t="str">
        <f>"文祠光"</f>
        <v>文祠光</v>
      </c>
      <c r="E168" s="6" t="str">
        <f>"1997-06-01"</f>
        <v>1997-06-01</v>
      </c>
      <c r="F168" s="6"/>
    </row>
    <row r="169" spans="1:6" ht="30" customHeight="1">
      <c r="A169" s="6">
        <v>167</v>
      </c>
      <c r="B169" s="6" t="str">
        <f>"272820201120115452251"</f>
        <v>272820201120115452251</v>
      </c>
      <c r="C169" s="6" t="s">
        <v>7</v>
      </c>
      <c r="D169" s="6" t="str">
        <f>"张小龙"</f>
        <v>张小龙</v>
      </c>
      <c r="E169" s="6" t="str">
        <f>"1997-11-03"</f>
        <v>1997-11-03</v>
      </c>
      <c r="F169" s="6"/>
    </row>
    <row r="170" spans="1:6" ht="30" customHeight="1">
      <c r="A170" s="6">
        <v>168</v>
      </c>
      <c r="B170" s="6" t="str">
        <f>"272820201120115507252"</f>
        <v>272820201120115507252</v>
      </c>
      <c r="C170" s="6" t="s">
        <v>7</v>
      </c>
      <c r="D170" s="6" t="str">
        <f>"黎燕佳"</f>
        <v>黎燕佳</v>
      </c>
      <c r="E170" s="6" t="str">
        <f>"1997-04-30"</f>
        <v>1997-04-30</v>
      </c>
      <c r="F170" s="6"/>
    </row>
    <row r="171" spans="1:6" ht="30" customHeight="1">
      <c r="A171" s="6">
        <v>169</v>
      </c>
      <c r="B171" s="6" t="str">
        <f>"272820201120115541253"</f>
        <v>272820201120115541253</v>
      </c>
      <c r="C171" s="6" t="s">
        <v>7</v>
      </c>
      <c r="D171" s="6" t="str">
        <f>"文壮娇"</f>
        <v>文壮娇</v>
      </c>
      <c r="E171" s="6" t="str">
        <f>"1992-09-07"</f>
        <v>1992-09-07</v>
      </c>
      <c r="F171" s="6"/>
    </row>
    <row r="172" spans="1:6" ht="30" customHeight="1">
      <c r="A172" s="6">
        <v>170</v>
      </c>
      <c r="B172" s="6" t="str">
        <f>"272820201120115640254"</f>
        <v>272820201120115640254</v>
      </c>
      <c r="C172" s="6" t="s">
        <v>7</v>
      </c>
      <c r="D172" s="6" t="str">
        <f>"李泽雪"</f>
        <v>李泽雪</v>
      </c>
      <c r="E172" s="6" t="str">
        <f>"1993-10-14"</f>
        <v>1993-10-14</v>
      </c>
      <c r="F172" s="6"/>
    </row>
    <row r="173" spans="1:6" ht="30" customHeight="1">
      <c r="A173" s="6">
        <v>171</v>
      </c>
      <c r="B173" s="6" t="str">
        <f>"272820201120115811255"</f>
        <v>272820201120115811255</v>
      </c>
      <c r="C173" s="6" t="s">
        <v>7</v>
      </c>
      <c r="D173" s="6" t="str">
        <f>"文万祝"</f>
        <v>文万祝</v>
      </c>
      <c r="E173" s="6" t="str">
        <f>"1998-04-28"</f>
        <v>1998-04-28</v>
      </c>
      <c r="F173" s="6"/>
    </row>
    <row r="174" spans="1:6" ht="30" customHeight="1">
      <c r="A174" s="6">
        <v>172</v>
      </c>
      <c r="B174" s="6" t="str">
        <f>"272820201120115822256"</f>
        <v>272820201120115822256</v>
      </c>
      <c r="C174" s="6" t="s">
        <v>7</v>
      </c>
      <c r="D174" s="6" t="str">
        <f>"游弘雅"</f>
        <v>游弘雅</v>
      </c>
      <c r="E174" s="6" t="str">
        <f>"1992-08-09"</f>
        <v>1992-08-09</v>
      </c>
      <c r="F174" s="6"/>
    </row>
    <row r="175" spans="1:6" ht="30" customHeight="1">
      <c r="A175" s="6">
        <v>173</v>
      </c>
      <c r="B175" s="6" t="str">
        <f>"272820201120120102257"</f>
        <v>272820201120120102257</v>
      </c>
      <c r="C175" s="6" t="s">
        <v>7</v>
      </c>
      <c r="D175" s="6" t="str">
        <f>"高少华"</f>
        <v>高少华</v>
      </c>
      <c r="E175" s="6" t="str">
        <f>"1991-05-06"</f>
        <v>1991-05-06</v>
      </c>
      <c r="F175" s="6"/>
    </row>
    <row r="176" spans="1:6" ht="30" customHeight="1">
      <c r="A176" s="6">
        <v>174</v>
      </c>
      <c r="B176" s="6" t="str">
        <f>"272820201120120128258"</f>
        <v>272820201120120128258</v>
      </c>
      <c r="C176" s="6" t="s">
        <v>7</v>
      </c>
      <c r="D176" s="6" t="str">
        <f>"王绘绘"</f>
        <v>王绘绘</v>
      </c>
      <c r="E176" s="6" t="str">
        <f>"1994-08-24"</f>
        <v>1994-08-24</v>
      </c>
      <c r="F176" s="6"/>
    </row>
    <row r="177" spans="1:6" ht="30" customHeight="1">
      <c r="A177" s="6">
        <v>175</v>
      </c>
      <c r="B177" s="6" t="str">
        <f>"272820201120120333259"</f>
        <v>272820201120120333259</v>
      </c>
      <c r="C177" s="6" t="s">
        <v>7</v>
      </c>
      <c r="D177" s="6" t="str">
        <f>"文子芳"</f>
        <v>文子芳</v>
      </c>
      <c r="E177" s="6" t="str">
        <f>"1992-07-25"</f>
        <v>1992-07-25</v>
      </c>
      <c r="F177" s="6"/>
    </row>
    <row r="178" spans="1:6" ht="30" customHeight="1">
      <c r="A178" s="6">
        <v>176</v>
      </c>
      <c r="B178" s="6" t="str">
        <f>"272820201120120601261"</f>
        <v>272820201120120601261</v>
      </c>
      <c r="C178" s="6" t="s">
        <v>7</v>
      </c>
      <c r="D178" s="6" t="str">
        <f>"欧巧"</f>
        <v>欧巧</v>
      </c>
      <c r="E178" s="6" t="str">
        <f>"1996-06-08"</f>
        <v>1996-06-08</v>
      </c>
      <c r="F178" s="6"/>
    </row>
    <row r="179" spans="1:6" ht="30" customHeight="1">
      <c r="A179" s="6">
        <v>177</v>
      </c>
      <c r="B179" s="6" t="str">
        <f>"272820201120120859264"</f>
        <v>272820201120120859264</v>
      </c>
      <c r="C179" s="6" t="s">
        <v>7</v>
      </c>
      <c r="D179" s="6" t="str">
        <f>"丰艳莹"</f>
        <v>丰艳莹</v>
      </c>
      <c r="E179" s="6" t="str">
        <f>"1998-06-19"</f>
        <v>1998-06-19</v>
      </c>
      <c r="F179" s="6"/>
    </row>
    <row r="180" spans="1:6" ht="30" customHeight="1">
      <c r="A180" s="6">
        <v>178</v>
      </c>
      <c r="B180" s="6" t="str">
        <f>"272820201120120902265"</f>
        <v>272820201120120902265</v>
      </c>
      <c r="C180" s="6" t="s">
        <v>7</v>
      </c>
      <c r="D180" s="6" t="str">
        <f>"董小浪"</f>
        <v>董小浪</v>
      </c>
      <c r="E180" s="6" t="str">
        <f>"1997-08-26"</f>
        <v>1997-08-26</v>
      </c>
      <c r="F180" s="6"/>
    </row>
    <row r="181" spans="1:6" ht="30" customHeight="1">
      <c r="A181" s="6">
        <v>179</v>
      </c>
      <c r="B181" s="6" t="str">
        <f>"272820201120120944266"</f>
        <v>272820201120120944266</v>
      </c>
      <c r="C181" s="6" t="s">
        <v>7</v>
      </c>
      <c r="D181" s="6" t="str">
        <f>"王少刚"</f>
        <v>王少刚</v>
      </c>
      <c r="E181" s="6" t="str">
        <f>"1996-08-18"</f>
        <v>1996-08-18</v>
      </c>
      <c r="F181" s="6"/>
    </row>
    <row r="182" spans="1:6" ht="30" customHeight="1">
      <c r="A182" s="6">
        <v>180</v>
      </c>
      <c r="B182" s="6" t="str">
        <f>"272820201120121003267"</f>
        <v>272820201120121003267</v>
      </c>
      <c r="C182" s="6" t="s">
        <v>7</v>
      </c>
      <c r="D182" s="6" t="str">
        <f>"谭鼎媚"</f>
        <v>谭鼎媚</v>
      </c>
      <c r="E182" s="6" t="str">
        <f>"1998-08-20"</f>
        <v>1998-08-20</v>
      </c>
      <c r="F182" s="6"/>
    </row>
    <row r="183" spans="1:6" ht="30" customHeight="1">
      <c r="A183" s="6">
        <v>181</v>
      </c>
      <c r="B183" s="6" t="str">
        <f>"272820201120121626269"</f>
        <v>272820201120121626269</v>
      </c>
      <c r="C183" s="6" t="s">
        <v>7</v>
      </c>
      <c r="D183" s="6" t="str">
        <f>"林诗舜"</f>
        <v>林诗舜</v>
      </c>
      <c r="E183" s="6" t="str">
        <f>"1993-05-20"</f>
        <v>1993-05-20</v>
      </c>
      <c r="F183" s="6"/>
    </row>
    <row r="184" spans="1:6" ht="30" customHeight="1">
      <c r="A184" s="6">
        <v>182</v>
      </c>
      <c r="B184" s="6" t="str">
        <f>"272820201120121650270"</f>
        <v>272820201120121650270</v>
      </c>
      <c r="C184" s="6" t="s">
        <v>7</v>
      </c>
      <c r="D184" s="6" t="str">
        <f>"羊思思"</f>
        <v>羊思思</v>
      </c>
      <c r="E184" s="6" t="str">
        <f>"1993-08-10"</f>
        <v>1993-08-10</v>
      </c>
      <c r="F184" s="6"/>
    </row>
    <row r="185" spans="1:6" ht="30" customHeight="1">
      <c r="A185" s="6">
        <v>183</v>
      </c>
      <c r="B185" s="6" t="str">
        <f>"272820201120121703271"</f>
        <v>272820201120121703271</v>
      </c>
      <c r="C185" s="6" t="s">
        <v>7</v>
      </c>
      <c r="D185" s="6" t="str">
        <f>"蔡妹"</f>
        <v>蔡妹</v>
      </c>
      <c r="E185" s="6" t="str">
        <f>"1992-08-16"</f>
        <v>1992-08-16</v>
      </c>
      <c r="F185" s="6"/>
    </row>
    <row r="186" spans="1:6" ht="30" customHeight="1">
      <c r="A186" s="6">
        <v>184</v>
      </c>
      <c r="B186" s="6" t="str">
        <f>"272820201120121910272"</f>
        <v>272820201120121910272</v>
      </c>
      <c r="C186" s="6" t="s">
        <v>7</v>
      </c>
      <c r="D186" s="6" t="str">
        <f>"吴贞艳"</f>
        <v>吴贞艳</v>
      </c>
      <c r="E186" s="6" t="str">
        <f>"1997-05-23"</f>
        <v>1997-05-23</v>
      </c>
      <c r="F186" s="6"/>
    </row>
    <row r="187" spans="1:6" ht="30" customHeight="1">
      <c r="A187" s="6">
        <v>185</v>
      </c>
      <c r="B187" s="6" t="str">
        <f>"272820201120121950273"</f>
        <v>272820201120121950273</v>
      </c>
      <c r="C187" s="6" t="s">
        <v>7</v>
      </c>
      <c r="D187" s="6" t="str">
        <f>"符明慧"</f>
        <v>符明慧</v>
      </c>
      <c r="E187" s="6" t="str">
        <f>"1992-12-20"</f>
        <v>1992-12-20</v>
      </c>
      <c r="F187" s="6"/>
    </row>
    <row r="188" spans="1:6" ht="30" customHeight="1">
      <c r="A188" s="6">
        <v>186</v>
      </c>
      <c r="B188" s="6" t="str">
        <f>"272820201120122056274"</f>
        <v>272820201120122056274</v>
      </c>
      <c r="C188" s="6" t="s">
        <v>7</v>
      </c>
      <c r="D188" s="6" t="str">
        <f>"王茹卉"</f>
        <v>王茹卉</v>
      </c>
      <c r="E188" s="6" t="str">
        <f>"1995-02-03"</f>
        <v>1995-02-03</v>
      </c>
      <c r="F188" s="6"/>
    </row>
    <row r="189" spans="1:6" ht="30" customHeight="1">
      <c r="A189" s="6">
        <v>187</v>
      </c>
      <c r="B189" s="6" t="str">
        <f>"272820201120122527276"</f>
        <v>272820201120122527276</v>
      </c>
      <c r="C189" s="6" t="s">
        <v>7</v>
      </c>
      <c r="D189" s="6" t="str">
        <f>"高丽霞"</f>
        <v>高丽霞</v>
      </c>
      <c r="E189" s="6" t="str">
        <f>"1988-05-16"</f>
        <v>1988-05-16</v>
      </c>
      <c r="F189" s="6"/>
    </row>
    <row r="190" spans="1:6" ht="30" customHeight="1">
      <c r="A190" s="6">
        <v>188</v>
      </c>
      <c r="B190" s="6" t="str">
        <f>"272820201120122533277"</f>
        <v>272820201120122533277</v>
      </c>
      <c r="C190" s="6" t="s">
        <v>7</v>
      </c>
      <c r="D190" s="6" t="str">
        <f>"林保炯"</f>
        <v>林保炯</v>
      </c>
      <c r="E190" s="6" t="str">
        <f>"1996-12-06"</f>
        <v>1996-12-06</v>
      </c>
      <c r="F190" s="6"/>
    </row>
    <row r="191" spans="1:6" ht="30" customHeight="1">
      <c r="A191" s="6">
        <v>189</v>
      </c>
      <c r="B191" s="6" t="str">
        <f>"272820201120122605279"</f>
        <v>272820201120122605279</v>
      </c>
      <c r="C191" s="6" t="s">
        <v>7</v>
      </c>
      <c r="D191" s="6" t="str">
        <f>"邢智忠"</f>
        <v>邢智忠</v>
      </c>
      <c r="E191" s="6" t="str">
        <f>"1992-06-07"</f>
        <v>1992-06-07</v>
      </c>
      <c r="F191" s="6"/>
    </row>
    <row r="192" spans="1:6" ht="30" customHeight="1">
      <c r="A192" s="6">
        <v>190</v>
      </c>
      <c r="B192" s="6" t="str">
        <f>"272820201120122703280"</f>
        <v>272820201120122703280</v>
      </c>
      <c r="C192" s="6" t="s">
        <v>7</v>
      </c>
      <c r="D192" s="6" t="str">
        <f>"颜振汝"</f>
        <v>颜振汝</v>
      </c>
      <c r="E192" s="6" t="str">
        <f>"1989-06-28"</f>
        <v>1989-06-28</v>
      </c>
      <c r="F192" s="6"/>
    </row>
    <row r="193" spans="1:6" ht="30" customHeight="1">
      <c r="A193" s="6">
        <v>191</v>
      </c>
      <c r="B193" s="6" t="str">
        <f>"272820201120122800281"</f>
        <v>272820201120122800281</v>
      </c>
      <c r="C193" s="6" t="s">
        <v>7</v>
      </c>
      <c r="D193" s="6" t="str">
        <f>"吴敏"</f>
        <v>吴敏</v>
      </c>
      <c r="E193" s="6" t="str">
        <f>"1995-03-16"</f>
        <v>1995-03-16</v>
      </c>
      <c r="F193" s="6"/>
    </row>
    <row r="194" spans="1:6" ht="30" customHeight="1">
      <c r="A194" s="6">
        <v>192</v>
      </c>
      <c r="B194" s="6" t="str">
        <f>"272820201120122822282"</f>
        <v>272820201120122822282</v>
      </c>
      <c r="C194" s="6" t="s">
        <v>7</v>
      </c>
      <c r="D194" s="6" t="str">
        <f>"董莹"</f>
        <v>董莹</v>
      </c>
      <c r="E194" s="6" t="str">
        <f>"1993-07-05"</f>
        <v>1993-07-05</v>
      </c>
      <c r="F194" s="6"/>
    </row>
    <row r="195" spans="1:6" ht="30" customHeight="1">
      <c r="A195" s="6">
        <v>193</v>
      </c>
      <c r="B195" s="6" t="str">
        <f>"272820201120122910283"</f>
        <v>272820201120122910283</v>
      </c>
      <c r="C195" s="6" t="s">
        <v>7</v>
      </c>
      <c r="D195" s="6" t="str">
        <f>"邱建明"</f>
        <v>邱建明</v>
      </c>
      <c r="E195" s="6" t="str">
        <f>"1993-09-19"</f>
        <v>1993-09-19</v>
      </c>
      <c r="F195" s="6"/>
    </row>
    <row r="196" spans="1:6" ht="30" customHeight="1">
      <c r="A196" s="6">
        <v>194</v>
      </c>
      <c r="B196" s="6" t="str">
        <f>"272820201120123124285"</f>
        <v>272820201120123124285</v>
      </c>
      <c r="C196" s="6" t="s">
        <v>7</v>
      </c>
      <c r="D196" s="6" t="str">
        <f>"陈莉莉"</f>
        <v>陈莉莉</v>
      </c>
      <c r="E196" s="6" t="str">
        <f>"1997-09-17"</f>
        <v>1997-09-17</v>
      </c>
      <c r="F196" s="6"/>
    </row>
    <row r="197" spans="1:6" ht="30" customHeight="1">
      <c r="A197" s="6">
        <v>195</v>
      </c>
      <c r="B197" s="6" t="str">
        <f>"272820201120123134286"</f>
        <v>272820201120123134286</v>
      </c>
      <c r="C197" s="6" t="s">
        <v>7</v>
      </c>
      <c r="D197" s="6" t="str">
        <f>"陈家文"</f>
        <v>陈家文</v>
      </c>
      <c r="E197" s="6" t="str">
        <f>"1993-09-08"</f>
        <v>1993-09-08</v>
      </c>
      <c r="F197" s="6"/>
    </row>
    <row r="198" spans="1:6" ht="30" customHeight="1">
      <c r="A198" s="6">
        <v>196</v>
      </c>
      <c r="B198" s="6" t="str">
        <f>"272820201120123821287"</f>
        <v>272820201120123821287</v>
      </c>
      <c r="C198" s="6" t="s">
        <v>7</v>
      </c>
      <c r="D198" s="6" t="str">
        <f>"吴德胜"</f>
        <v>吴德胜</v>
      </c>
      <c r="E198" s="6" t="str">
        <f>"1986-09-20"</f>
        <v>1986-09-20</v>
      </c>
      <c r="F198" s="6"/>
    </row>
    <row r="199" spans="1:6" ht="30" customHeight="1">
      <c r="A199" s="6">
        <v>197</v>
      </c>
      <c r="B199" s="6" t="str">
        <f>"272820201120123955288"</f>
        <v>272820201120123955288</v>
      </c>
      <c r="C199" s="6" t="s">
        <v>7</v>
      </c>
      <c r="D199" s="6" t="str">
        <f>"陈述威"</f>
        <v>陈述威</v>
      </c>
      <c r="E199" s="6" t="str">
        <f>"1992-11-01"</f>
        <v>1992-11-01</v>
      </c>
      <c r="F199" s="6"/>
    </row>
    <row r="200" spans="1:6" ht="30" customHeight="1">
      <c r="A200" s="6">
        <v>198</v>
      </c>
      <c r="B200" s="6" t="str">
        <f>"272820201120124317291"</f>
        <v>272820201120124317291</v>
      </c>
      <c r="C200" s="6" t="s">
        <v>7</v>
      </c>
      <c r="D200" s="6" t="str">
        <f>"冯小敏"</f>
        <v>冯小敏</v>
      </c>
      <c r="E200" s="6" t="str">
        <f>"1996-11-29"</f>
        <v>1996-11-29</v>
      </c>
      <c r="F200" s="6"/>
    </row>
    <row r="201" spans="1:6" ht="30" customHeight="1">
      <c r="A201" s="6">
        <v>199</v>
      </c>
      <c r="B201" s="6" t="str">
        <f>"272820201120124434292"</f>
        <v>272820201120124434292</v>
      </c>
      <c r="C201" s="6" t="s">
        <v>7</v>
      </c>
      <c r="D201" s="6" t="str">
        <f>"王奇"</f>
        <v>王奇</v>
      </c>
      <c r="E201" s="6" t="str">
        <f>"1997-12-24"</f>
        <v>1997-12-24</v>
      </c>
      <c r="F201" s="6"/>
    </row>
    <row r="202" spans="1:6" ht="30" customHeight="1">
      <c r="A202" s="6">
        <v>200</v>
      </c>
      <c r="B202" s="6" t="str">
        <f>"272820201120124448293"</f>
        <v>272820201120124448293</v>
      </c>
      <c r="C202" s="6" t="s">
        <v>7</v>
      </c>
      <c r="D202" s="6" t="str">
        <f>"林仕斌"</f>
        <v>林仕斌</v>
      </c>
      <c r="E202" s="6" t="str">
        <f>"1992-10-20"</f>
        <v>1992-10-20</v>
      </c>
      <c r="F202" s="6"/>
    </row>
    <row r="203" spans="1:6" ht="30" customHeight="1">
      <c r="A203" s="6">
        <v>201</v>
      </c>
      <c r="B203" s="6" t="str">
        <f>"272820201120124745294"</f>
        <v>272820201120124745294</v>
      </c>
      <c r="C203" s="6" t="s">
        <v>7</v>
      </c>
      <c r="D203" s="6" t="str">
        <f>"吴毓焕"</f>
        <v>吴毓焕</v>
      </c>
      <c r="E203" s="6" t="str">
        <f>"1995-09-29"</f>
        <v>1995-09-29</v>
      </c>
      <c r="F203" s="6"/>
    </row>
    <row r="204" spans="1:6" ht="30" customHeight="1">
      <c r="A204" s="6">
        <v>202</v>
      </c>
      <c r="B204" s="6" t="str">
        <f>"272820201120124819295"</f>
        <v>272820201120124819295</v>
      </c>
      <c r="C204" s="6" t="s">
        <v>7</v>
      </c>
      <c r="D204" s="6" t="str">
        <f>"黎瑞超"</f>
        <v>黎瑞超</v>
      </c>
      <c r="E204" s="6" t="str">
        <f>"1993-02-13"</f>
        <v>1993-02-13</v>
      </c>
      <c r="F204" s="6"/>
    </row>
    <row r="205" spans="1:6" ht="30" customHeight="1">
      <c r="A205" s="6">
        <v>203</v>
      </c>
      <c r="B205" s="6" t="str">
        <f>"272820201120124839296"</f>
        <v>272820201120124839296</v>
      </c>
      <c r="C205" s="6" t="s">
        <v>7</v>
      </c>
      <c r="D205" s="6" t="str">
        <f>"梁菲"</f>
        <v>梁菲</v>
      </c>
      <c r="E205" s="6" t="str">
        <f>"1997-01-23"</f>
        <v>1997-01-23</v>
      </c>
      <c r="F205" s="6"/>
    </row>
    <row r="206" spans="1:6" ht="30" customHeight="1">
      <c r="A206" s="6">
        <v>204</v>
      </c>
      <c r="B206" s="6" t="str">
        <f>"272820201120124847297"</f>
        <v>272820201120124847297</v>
      </c>
      <c r="C206" s="6" t="s">
        <v>7</v>
      </c>
      <c r="D206" s="6" t="str">
        <f>"黄淑钰"</f>
        <v>黄淑钰</v>
      </c>
      <c r="E206" s="6" t="str">
        <f>"1997-08-26"</f>
        <v>1997-08-26</v>
      </c>
      <c r="F206" s="6"/>
    </row>
    <row r="207" spans="1:6" ht="30" customHeight="1">
      <c r="A207" s="6">
        <v>205</v>
      </c>
      <c r="B207" s="6" t="str">
        <f>"272820201120125013298"</f>
        <v>272820201120125013298</v>
      </c>
      <c r="C207" s="6" t="s">
        <v>7</v>
      </c>
      <c r="D207" s="6" t="str">
        <f>" 林祖"</f>
        <v> 林祖</v>
      </c>
      <c r="E207" s="6" t="str">
        <f>"1995-12-20"</f>
        <v>1995-12-20</v>
      </c>
      <c r="F207" s="6"/>
    </row>
    <row r="208" spans="1:6" ht="30" customHeight="1">
      <c r="A208" s="6">
        <v>206</v>
      </c>
      <c r="B208" s="6" t="str">
        <f>"272820201120125038299"</f>
        <v>272820201120125038299</v>
      </c>
      <c r="C208" s="6" t="s">
        <v>7</v>
      </c>
      <c r="D208" s="6" t="str">
        <f>"陈王妃"</f>
        <v>陈王妃</v>
      </c>
      <c r="E208" s="6" t="str">
        <f>"1991-08-04"</f>
        <v>1991-08-04</v>
      </c>
      <c r="F208" s="6"/>
    </row>
    <row r="209" spans="1:6" ht="30" customHeight="1">
      <c r="A209" s="6">
        <v>207</v>
      </c>
      <c r="B209" s="6" t="str">
        <f>"272820201120125149300"</f>
        <v>272820201120125149300</v>
      </c>
      <c r="C209" s="6" t="s">
        <v>7</v>
      </c>
      <c r="D209" s="6" t="str">
        <f>"李佳恒"</f>
        <v>李佳恒</v>
      </c>
      <c r="E209" s="6" t="str">
        <f>"1997-12-19"</f>
        <v>1997-12-19</v>
      </c>
      <c r="F209" s="6"/>
    </row>
    <row r="210" spans="1:6" ht="30" customHeight="1">
      <c r="A210" s="6">
        <v>208</v>
      </c>
      <c r="B210" s="6" t="str">
        <f>"272820201120125505301"</f>
        <v>272820201120125505301</v>
      </c>
      <c r="C210" s="6" t="s">
        <v>7</v>
      </c>
      <c r="D210" s="6" t="str">
        <f>"董仕妹"</f>
        <v>董仕妹</v>
      </c>
      <c r="E210" s="6" t="str">
        <f>"1991-12-21"</f>
        <v>1991-12-21</v>
      </c>
      <c r="F210" s="6"/>
    </row>
    <row r="211" spans="1:6" ht="30" customHeight="1">
      <c r="A211" s="6">
        <v>209</v>
      </c>
      <c r="B211" s="6" t="str">
        <f>"272820201120125801302"</f>
        <v>272820201120125801302</v>
      </c>
      <c r="C211" s="6" t="s">
        <v>7</v>
      </c>
      <c r="D211" s="6" t="str">
        <f>"胡亚好"</f>
        <v>胡亚好</v>
      </c>
      <c r="E211" s="6" t="str">
        <f>"1994-01-02"</f>
        <v>1994-01-02</v>
      </c>
      <c r="F211" s="6"/>
    </row>
    <row r="212" spans="1:6" ht="30" customHeight="1">
      <c r="A212" s="6">
        <v>210</v>
      </c>
      <c r="B212" s="6" t="str">
        <f>"272820201120130133303"</f>
        <v>272820201120130133303</v>
      </c>
      <c r="C212" s="6" t="s">
        <v>7</v>
      </c>
      <c r="D212" s="6" t="str">
        <f>"韦永振"</f>
        <v>韦永振</v>
      </c>
      <c r="E212" s="6" t="str">
        <f>"1985-07-02"</f>
        <v>1985-07-02</v>
      </c>
      <c r="F212" s="6"/>
    </row>
    <row r="213" spans="1:6" ht="30" customHeight="1">
      <c r="A213" s="6">
        <v>211</v>
      </c>
      <c r="B213" s="6" t="str">
        <f>"272820201120130208304"</f>
        <v>272820201120130208304</v>
      </c>
      <c r="C213" s="6" t="s">
        <v>7</v>
      </c>
      <c r="D213" s="6" t="str">
        <f>"陈诚"</f>
        <v>陈诚</v>
      </c>
      <c r="E213" s="6" t="str">
        <f>"1998-02-02"</f>
        <v>1998-02-02</v>
      </c>
      <c r="F213" s="6"/>
    </row>
    <row r="214" spans="1:6" ht="30" customHeight="1">
      <c r="A214" s="6">
        <v>212</v>
      </c>
      <c r="B214" s="6" t="str">
        <f>"272820201120130301305"</f>
        <v>272820201120130301305</v>
      </c>
      <c r="C214" s="6" t="s">
        <v>7</v>
      </c>
      <c r="D214" s="6" t="str">
        <f>"赵宝珏"</f>
        <v>赵宝珏</v>
      </c>
      <c r="E214" s="6" t="str">
        <f>"1990-12-23"</f>
        <v>1990-12-23</v>
      </c>
      <c r="F214" s="6"/>
    </row>
    <row r="215" spans="1:6" ht="30" customHeight="1">
      <c r="A215" s="6">
        <v>213</v>
      </c>
      <c r="B215" s="6" t="str">
        <f>"272820201120130735306"</f>
        <v>272820201120130735306</v>
      </c>
      <c r="C215" s="6" t="s">
        <v>7</v>
      </c>
      <c r="D215" s="6" t="str">
        <f>"王人浩"</f>
        <v>王人浩</v>
      </c>
      <c r="E215" s="6" t="str">
        <f>"1996-06-02"</f>
        <v>1996-06-02</v>
      </c>
      <c r="F215" s="6"/>
    </row>
    <row r="216" spans="1:6" ht="30" customHeight="1">
      <c r="A216" s="6">
        <v>214</v>
      </c>
      <c r="B216" s="6" t="str">
        <f>"272820201120130735307"</f>
        <v>272820201120130735307</v>
      </c>
      <c r="C216" s="6" t="s">
        <v>7</v>
      </c>
      <c r="D216" s="6" t="str">
        <f>"王婷"</f>
        <v>王婷</v>
      </c>
      <c r="E216" s="6" t="str">
        <f>"1998-03-17"</f>
        <v>1998-03-17</v>
      </c>
      <c r="F216" s="6"/>
    </row>
    <row r="217" spans="1:6" ht="30" customHeight="1">
      <c r="A217" s="6">
        <v>215</v>
      </c>
      <c r="B217" s="6" t="str">
        <f>"272820201120130811308"</f>
        <v>272820201120130811308</v>
      </c>
      <c r="C217" s="6" t="s">
        <v>7</v>
      </c>
      <c r="D217" s="6" t="str">
        <f>"黎明青"</f>
        <v>黎明青</v>
      </c>
      <c r="E217" s="6" t="str">
        <f>"1998-06-16"</f>
        <v>1998-06-16</v>
      </c>
      <c r="F217" s="6"/>
    </row>
    <row r="218" spans="1:6" ht="30" customHeight="1">
      <c r="A218" s="6">
        <v>216</v>
      </c>
      <c r="B218" s="6" t="str">
        <f>"272820201120131140310"</f>
        <v>272820201120131140310</v>
      </c>
      <c r="C218" s="6" t="s">
        <v>7</v>
      </c>
      <c r="D218" s="6" t="str">
        <f>"蔡志强"</f>
        <v>蔡志强</v>
      </c>
      <c r="E218" s="6" t="str">
        <f>"1992-12-01"</f>
        <v>1992-12-01</v>
      </c>
      <c r="F218" s="6"/>
    </row>
    <row r="219" spans="1:6" ht="30" customHeight="1">
      <c r="A219" s="6">
        <v>217</v>
      </c>
      <c r="B219" s="6" t="str">
        <f>"272820201120131149311"</f>
        <v>272820201120131149311</v>
      </c>
      <c r="C219" s="6" t="s">
        <v>7</v>
      </c>
      <c r="D219" s="6" t="str">
        <f>"舒逢盛"</f>
        <v>舒逢盛</v>
      </c>
      <c r="E219" s="6" t="str">
        <f>"1997-09-02"</f>
        <v>1997-09-02</v>
      </c>
      <c r="F219" s="6"/>
    </row>
    <row r="220" spans="1:6" ht="30" customHeight="1">
      <c r="A220" s="6">
        <v>218</v>
      </c>
      <c r="B220" s="6" t="str">
        <f>"272820201120131449312"</f>
        <v>272820201120131449312</v>
      </c>
      <c r="C220" s="6" t="s">
        <v>7</v>
      </c>
      <c r="D220" s="6" t="str">
        <f>"唐纯英"</f>
        <v>唐纯英</v>
      </c>
      <c r="E220" s="6" t="str">
        <f>"1997-04-29"</f>
        <v>1997-04-29</v>
      </c>
      <c r="F220" s="6"/>
    </row>
    <row r="221" spans="1:6" ht="30" customHeight="1">
      <c r="A221" s="6">
        <v>219</v>
      </c>
      <c r="B221" s="6" t="str">
        <f>"272820201120131707313"</f>
        <v>272820201120131707313</v>
      </c>
      <c r="C221" s="6" t="s">
        <v>7</v>
      </c>
      <c r="D221" s="6" t="str">
        <f>"吴秋花"</f>
        <v>吴秋花</v>
      </c>
      <c r="E221" s="6" t="str">
        <f>"1995-12-21"</f>
        <v>1995-12-21</v>
      </c>
      <c r="F221" s="6"/>
    </row>
    <row r="222" spans="1:6" ht="30" customHeight="1">
      <c r="A222" s="6">
        <v>220</v>
      </c>
      <c r="B222" s="6" t="str">
        <f>"272820201120131802314"</f>
        <v>272820201120131802314</v>
      </c>
      <c r="C222" s="6" t="s">
        <v>7</v>
      </c>
      <c r="D222" s="6" t="str">
        <f>"符国丽"</f>
        <v>符国丽</v>
      </c>
      <c r="E222" s="6" t="str">
        <f>"1996-12-08"</f>
        <v>1996-12-08</v>
      </c>
      <c r="F222" s="6"/>
    </row>
    <row r="223" spans="1:6" ht="30" customHeight="1">
      <c r="A223" s="6">
        <v>221</v>
      </c>
      <c r="B223" s="6" t="str">
        <f>"272820201120131926315"</f>
        <v>272820201120131926315</v>
      </c>
      <c r="C223" s="6" t="s">
        <v>7</v>
      </c>
      <c r="D223" s="6" t="str">
        <f>"黎肇英"</f>
        <v>黎肇英</v>
      </c>
      <c r="E223" s="6" t="str">
        <f>"1995-08-23"</f>
        <v>1995-08-23</v>
      </c>
      <c r="F223" s="6"/>
    </row>
    <row r="224" spans="1:6" ht="30" customHeight="1">
      <c r="A224" s="6">
        <v>222</v>
      </c>
      <c r="B224" s="6" t="str">
        <f>"272820201120132012316"</f>
        <v>272820201120132012316</v>
      </c>
      <c r="C224" s="6" t="s">
        <v>7</v>
      </c>
      <c r="D224" s="6" t="str">
        <f>"朱春风"</f>
        <v>朱春风</v>
      </c>
      <c r="E224" s="6" t="str">
        <f>"1998-07-19"</f>
        <v>1998-07-19</v>
      </c>
      <c r="F224" s="6"/>
    </row>
    <row r="225" spans="1:6" ht="30" customHeight="1">
      <c r="A225" s="6">
        <v>223</v>
      </c>
      <c r="B225" s="6" t="str">
        <f>"272820201120132027317"</f>
        <v>272820201120132027317</v>
      </c>
      <c r="C225" s="6" t="s">
        <v>7</v>
      </c>
      <c r="D225" s="6" t="str">
        <f>"王宏妍"</f>
        <v>王宏妍</v>
      </c>
      <c r="E225" s="6" t="str">
        <f>"1996-02-15"</f>
        <v>1996-02-15</v>
      </c>
      <c r="F225" s="6"/>
    </row>
    <row r="226" spans="1:6" ht="30" customHeight="1">
      <c r="A226" s="6">
        <v>224</v>
      </c>
      <c r="B226" s="6" t="str">
        <f>"272820201120132037318"</f>
        <v>272820201120132037318</v>
      </c>
      <c r="C226" s="6" t="s">
        <v>7</v>
      </c>
      <c r="D226" s="6" t="str">
        <f>"刘俣同"</f>
        <v>刘俣同</v>
      </c>
      <c r="E226" s="6" t="str">
        <f>"1998-08-28"</f>
        <v>1998-08-28</v>
      </c>
      <c r="F226" s="6"/>
    </row>
    <row r="227" spans="1:6" ht="30" customHeight="1">
      <c r="A227" s="6">
        <v>225</v>
      </c>
      <c r="B227" s="6" t="str">
        <f>"272820201120132432319"</f>
        <v>272820201120132432319</v>
      </c>
      <c r="C227" s="6" t="s">
        <v>7</v>
      </c>
      <c r="D227" s="6" t="str">
        <f>"唐能锐"</f>
        <v>唐能锐</v>
      </c>
      <c r="E227" s="6" t="str">
        <f>"1993-04-15"</f>
        <v>1993-04-15</v>
      </c>
      <c r="F227" s="6"/>
    </row>
    <row r="228" spans="1:6" ht="30" customHeight="1">
      <c r="A228" s="6">
        <v>226</v>
      </c>
      <c r="B228" s="6" t="str">
        <f>"272820201120132858320"</f>
        <v>272820201120132858320</v>
      </c>
      <c r="C228" s="6" t="s">
        <v>7</v>
      </c>
      <c r="D228" s="6" t="str">
        <f>"韦丽敏"</f>
        <v>韦丽敏</v>
      </c>
      <c r="E228" s="6" t="str">
        <f>"1993-10-08"</f>
        <v>1993-10-08</v>
      </c>
      <c r="F228" s="6"/>
    </row>
    <row r="229" spans="1:6" ht="30" customHeight="1">
      <c r="A229" s="6">
        <v>227</v>
      </c>
      <c r="B229" s="6" t="str">
        <f>"272820201120133335321"</f>
        <v>272820201120133335321</v>
      </c>
      <c r="C229" s="6" t="s">
        <v>7</v>
      </c>
      <c r="D229" s="6" t="str">
        <f>"申忠民"</f>
        <v>申忠民</v>
      </c>
      <c r="E229" s="6" t="str">
        <f>"1990-09-25"</f>
        <v>1990-09-25</v>
      </c>
      <c r="F229" s="6"/>
    </row>
    <row r="230" spans="1:6" ht="30" customHeight="1">
      <c r="A230" s="6">
        <v>228</v>
      </c>
      <c r="B230" s="6" t="str">
        <f>"272820201120133634322"</f>
        <v>272820201120133634322</v>
      </c>
      <c r="C230" s="6" t="s">
        <v>7</v>
      </c>
      <c r="D230" s="6" t="str">
        <f>"陈国斌"</f>
        <v>陈国斌</v>
      </c>
      <c r="E230" s="6" t="str">
        <f>"1997-03-05"</f>
        <v>1997-03-05</v>
      </c>
      <c r="F230" s="6"/>
    </row>
    <row r="231" spans="1:6" ht="30" customHeight="1">
      <c r="A231" s="6">
        <v>229</v>
      </c>
      <c r="B231" s="6" t="str">
        <f>"272820201120133917324"</f>
        <v>272820201120133917324</v>
      </c>
      <c r="C231" s="6" t="s">
        <v>7</v>
      </c>
      <c r="D231" s="6" t="str">
        <f>"罗威"</f>
        <v>罗威</v>
      </c>
      <c r="E231" s="6" t="str">
        <f>"1995-04-25"</f>
        <v>1995-04-25</v>
      </c>
      <c r="F231" s="6"/>
    </row>
    <row r="232" spans="1:6" ht="30" customHeight="1">
      <c r="A232" s="6">
        <v>230</v>
      </c>
      <c r="B232" s="6" t="str">
        <f>"272820201120134129325"</f>
        <v>272820201120134129325</v>
      </c>
      <c r="C232" s="6" t="s">
        <v>7</v>
      </c>
      <c r="D232" s="6" t="str">
        <f>"曹珊丽"</f>
        <v>曹珊丽</v>
      </c>
      <c r="E232" s="6" t="str">
        <f>"1990-06-11"</f>
        <v>1990-06-11</v>
      </c>
      <c r="F232" s="6"/>
    </row>
    <row r="233" spans="1:6" ht="30" customHeight="1">
      <c r="A233" s="6">
        <v>231</v>
      </c>
      <c r="B233" s="6" t="str">
        <f>"272820201120134524326"</f>
        <v>272820201120134524326</v>
      </c>
      <c r="C233" s="6" t="s">
        <v>7</v>
      </c>
      <c r="D233" s="6" t="str">
        <f>"刘香月"</f>
        <v>刘香月</v>
      </c>
      <c r="E233" s="6" t="str">
        <f>"1991-06-24"</f>
        <v>1991-06-24</v>
      </c>
      <c r="F233" s="6"/>
    </row>
    <row r="234" spans="1:6" ht="30" customHeight="1">
      <c r="A234" s="6">
        <v>232</v>
      </c>
      <c r="B234" s="6" t="str">
        <f>"272820201120134615327"</f>
        <v>272820201120134615327</v>
      </c>
      <c r="C234" s="6" t="s">
        <v>7</v>
      </c>
      <c r="D234" s="6" t="str">
        <f>"罗春鸟"</f>
        <v>罗春鸟</v>
      </c>
      <c r="E234" s="6" t="str">
        <f>"1996-12-07"</f>
        <v>1996-12-07</v>
      </c>
      <c r="F234" s="6"/>
    </row>
    <row r="235" spans="1:6" ht="30" customHeight="1">
      <c r="A235" s="6">
        <v>233</v>
      </c>
      <c r="B235" s="6" t="str">
        <f>"272820201120134748328"</f>
        <v>272820201120134748328</v>
      </c>
      <c r="C235" s="6" t="s">
        <v>7</v>
      </c>
      <c r="D235" s="6" t="str">
        <f>"董月子"</f>
        <v>董月子</v>
      </c>
      <c r="E235" s="6" t="str">
        <f>"1996-09-27"</f>
        <v>1996-09-27</v>
      </c>
      <c r="F235" s="6"/>
    </row>
    <row r="236" spans="1:6" ht="30" customHeight="1">
      <c r="A236" s="6">
        <v>234</v>
      </c>
      <c r="B236" s="6" t="str">
        <f>"272820201120134850329"</f>
        <v>272820201120134850329</v>
      </c>
      <c r="C236" s="6" t="s">
        <v>7</v>
      </c>
      <c r="D236" s="6" t="str">
        <f>"许永晶"</f>
        <v>许永晶</v>
      </c>
      <c r="E236" s="6" t="str">
        <f>"1998-09-16"</f>
        <v>1998-09-16</v>
      </c>
      <c r="F236" s="6"/>
    </row>
    <row r="237" spans="1:6" ht="30" customHeight="1">
      <c r="A237" s="6">
        <v>235</v>
      </c>
      <c r="B237" s="6" t="str">
        <f>"272820201120134906330"</f>
        <v>272820201120134906330</v>
      </c>
      <c r="C237" s="6" t="s">
        <v>7</v>
      </c>
      <c r="D237" s="6" t="str">
        <f>"车显明"</f>
        <v>车显明</v>
      </c>
      <c r="E237" s="6" t="str">
        <f>"1987-06-14"</f>
        <v>1987-06-14</v>
      </c>
      <c r="F237" s="6"/>
    </row>
    <row r="238" spans="1:6" ht="30" customHeight="1">
      <c r="A238" s="6">
        <v>236</v>
      </c>
      <c r="B238" s="6" t="str">
        <f>"272820201120135134331"</f>
        <v>272820201120135134331</v>
      </c>
      <c r="C238" s="6" t="s">
        <v>7</v>
      </c>
      <c r="D238" s="6" t="str">
        <f>"周琳琳"</f>
        <v>周琳琳</v>
      </c>
      <c r="E238" s="6" t="str">
        <f>"1997-07-06"</f>
        <v>1997-07-06</v>
      </c>
      <c r="F238" s="6"/>
    </row>
    <row r="239" spans="1:6" ht="30" customHeight="1">
      <c r="A239" s="6">
        <v>237</v>
      </c>
      <c r="B239" s="6" t="str">
        <f>"272820201120135313332"</f>
        <v>272820201120135313332</v>
      </c>
      <c r="C239" s="6" t="s">
        <v>7</v>
      </c>
      <c r="D239" s="6" t="str">
        <f>"李慧霖"</f>
        <v>李慧霖</v>
      </c>
      <c r="E239" s="6" t="str">
        <f>"1997-10-20"</f>
        <v>1997-10-20</v>
      </c>
      <c r="F239" s="6"/>
    </row>
    <row r="240" spans="1:6" ht="30" customHeight="1">
      <c r="A240" s="6">
        <v>238</v>
      </c>
      <c r="B240" s="6" t="str">
        <f>"272820201120135444333"</f>
        <v>272820201120135444333</v>
      </c>
      <c r="C240" s="6" t="s">
        <v>7</v>
      </c>
      <c r="D240" s="6" t="str">
        <f>"吉高创"</f>
        <v>吉高创</v>
      </c>
      <c r="E240" s="6" t="str">
        <f>"1996-09-09"</f>
        <v>1996-09-09</v>
      </c>
      <c r="F240" s="6"/>
    </row>
    <row r="241" spans="1:6" ht="30" customHeight="1">
      <c r="A241" s="6">
        <v>239</v>
      </c>
      <c r="B241" s="6" t="str">
        <f>"272820201120135500334"</f>
        <v>272820201120135500334</v>
      </c>
      <c r="C241" s="6" t="s">
        <v>7</v>
      </c>
      <c r="D241" s="6" t="str">
        <f>"符尚晨"</f>
        <v>符尚晨</v>
      </c>
      <c r="E241" s="6" t="str">
        <f>"1992-10-26"</f>
        <v>1992-10-26</v>
      </c>
      <c r="F241" s="6"/>
    </row>
    <row r="242" spans="1:6" ht="30" customHeight="1">
      <c r="A242" s="6">
        <v>240</v>
      </c>
      <c r="B242" s="6" t="str">
        <f>"272820201120135830335"</f>
        <v>272820201120135830335</v>
      </c>
      <c r="C242" s="6" t="s">
        <v>7</v>
      </c>
      <c r="D242" s="6" t="str">
        <f>"陈慧婷"</f>
        <v>陈慧婷</v>
      </c>
      <c r="E242" s="6" t="str">
        <f>"1994-08-12"</f>
        <v>1994-08-12</v>
      </c>
      <c r="F242" s="6"/>
    </row>
    <row r="243" spans="1:6" ht="30" customHeight="1">
      <c r="A243" s="6">
        <v>241</v>
      </c>
      <c r="B243" s="6" t="str">
        <f>"272820201120140409336"</f>
        <v>272820201120140409336</v>
      </c>
      <c r="C243" s="6" t="s">
        <v>7</v>
      </c>
      <c r="D243" s="6" t="str">
        <f>"薛井德"</f>
        <v>薛井德</v>
      </c>
      <c r="E243" s="6" t="str">
        <f>"1996-05-23"</f>
        <v>1996-05-23</v>
      </c>
      <c r="F243" s="6"/>
    </row>
    <row r="244" spans="1:6" ht="30" customHeight="1">
      <c r="A244" s="6">
        <v>242</v>
      </c>
      <c r="B244" s="6" t="str">
        <f>"272820201120140611337"</f>
        <v>272820201120140611337</v>
      </c>
      <c r="C244" s="6" t="s">
        <v>7</v>
      </c>
      <c r="D244" s="6" t="str">
        <f>"陈朝艳"</f>
        <v>陈朝艳</v>
      </c>
      <c r="E244" s="6" t="str">
        <f>"1997-04-06"</f>
        <v>1997-04-06</v>
      </c>
      <c r="F244" s="6"/>
    </row>
    <row r="245" spans="1:6" ht="30" customHeight="1">
      <c r="A245" s="6">
        <v>243</v>
      </c>
      <c r="B245" s="6" t="str">
        <f>"272820201120140620338"</f>
        <v>272820201120140620338</v>
      </c>
      <c r="C245" s="6" t="s">
        <v>7</v>
      </c>
      <c r="D245" s="6" t="str">
        <f>"文振造"</f>
        <v>文振造</v>
      </c>
      <c r="E245" s="6" t="str">
        <f>"1991-05-01"</f>
        <v>1991-05-01</v>
      </c>
      <c r="F245" s="6"/>
    </row>
    <row r="246" spans="1:6" ht="30" customHeight="1">
      <c r="A246" s="6">
        <v>244</v>
      </c>
      <c r="B246" s="6" t="str">
        <f>"272820201120141122342"</f>
        <v>272820201120141122342</v>
      </c>
      <c r="C246" s="6" t="s">
        <v>7</v>
      </c>
      <c r="D246" s="6" t="str">
        <f>"吴挺玉"</f>
        <v>吴挺玉</v>
      </c>
      <c r="E246" s="6" t="str">
        <f>"1995-08-04"</f>
        <v>1995-08-04</v>
      </c>
      <c r="F246" s="6"/>
    </row>
    <row r="247" spans="1:6" ht="30" customHeight="1">
      <c r="A247" s="6">
        <v>245</v>
      </c>
      <c r="B247" s="6" t="str">
        <f>"272820201120141340343"</f>
        <v>272820201120141340343</v>
      </c>
      <c r="C247" s="6" t="s">
        <v>7</v>
      </c>
      <c r="D247" s="6" t="str">
        <f>"曾经纬"</f>
        <v>曾经纬</v>
      </c>
      <c r="E247" s="6" t="str">
        <f>"1995-09-14"</f>
        <v>1995-09-14</v>
      </c>
      <c r="F247" s="6"/>
    </row>
    <row r="248" spans="1:6" ht="30" customHeight="1">
      <c r="A248" s="6">
        <v>246</v>
      </c>
      <c r="B248" s="6" t="str">
        <f>"272820201120141619344"</f>
        <v>272820201120141619344</v>
      </c>
      <c r="C248" s="6" t="s">
        <v>7</v>
      </c>
      <c r="D248" s="6" t="str">
        <f>"陈炫晓"</f>
        <v>陈炫晓</v>
      </c>
      <c r="E248" s="6" t="str">
        <f>"1996-10-02"</f>
        <v>1996-10-02</v>
      </c>
      <c r="F248" s="6"/>
    </row>
    <row r="249" spans="1:6" ht="30" customHeight="1">
      <c r="A249" s="6">
        <v>247</v>
      </c>
      <c r="B249" s="6" t="str">
        <f>"272820201120141728346"</f>
        <v>272820201120141728346</v>
      </c>
      <c r="C249" s="6" t="s">
        <v>7</v>
      </c>
      <c r="D249" s="6" t="str">
        <f>"黄慧情"</f>
        <v>黄慧情</v>
      </c>
      <c r="E249" s="6" t="str">
        <f>"1997-01-08"</f>
        <v>1997-01-08</v>
      </c>
      <c r="F249" s="6"/>
    </row>
    <row r="250" spans="1:6" ht="30" customHeight="1">
      <c r="A250" s="6">
        <v>248</v>
      </c>
      <c r="B250" s="6" t="str">
        <f>"272820201120141755347"</f>
        <v>272820201120141755347</v>
      </c>
      <c r="C250" s="6" t="s">
        <v>7</v>
      </c>
      <c r="D250" s="6" t="str">
        <f>"庄雪芬"</f>
        <v>庄雪芬</v>
      </c>
      <c r="E250" s="6" t="str">
        <f>"1996-06-17"</f>
        <v>1996-06-17</v>
      </c>
      <c r="F250" s="6"/>
    </row>
    <row r="251" spans="1:6" ht="30" customHeight="1">
      <c r="A251" s="6">
        <v>249</v>
      </c>
      <c r="B251" s="6" t="str">
        <f>"272820201120141925348"</f>
        <v>272820201120141925348</v>
      </c>
      <c r="C251" s="6" t="s">
        <v>7</v>
      </c>
      <c r="D251" s="6" t="str">
        <f>"单思维"</f>
        <v>单思维</v>
      </c>
      <c r="E251" s="6" t="str">
        <f>"1994-11-09"</f>
        <v>1994-11-09</v>
      </c>
      <c r="F251" s="6"/>
    </row>
    <row r="252" spans="1:6" ht="30" customHeight="1">
      <c r="A252" s="6">
        <v>250</v>
      </c>
      <c r="B252" s="6" t="str">
        <f>"272820201120142026349"</f>
        <v>272820201120142026349</v>
      </c>
      <c r="C252" s="6" t="s">
        <v>7</v>
      </c>
      <c r="D252" s="6" t="str">
        <f>"董适文"</f>
        <v>董适文</v>
      </c>
      <c r="E252" s="6" t="str">
        <f>"1997-01-17"</f>
        <v>1997-01-17</v>
      </c>
      <c r="F252" s="6"/>
    </row>
    <row r="253" spans="1:6" ht="30" customHeight="1">
      <c r="A253" s="6">
        <v>251</v>
      </c>
      <c r="B253" s="6" t="str">
        <f>"272820201120142029350"</f>
        <v>272820201120142029350</v>
      </c>
      <c r="C253" s="6" t="s">
        <v>7</v>
      </c>
      <c r="D253" s="6" t="str">
        <f>"兰少蕊"</f>
        <v>兰少蕊</v>
      </c>
      <c r="E253" s="6" t="str">
        <f>"1990-01-05"</f>
        <v>1990-01-05</v>
      </c>
      <c r="F253" s="6"/>
    </row>
    <row r="254" spans="1:6" ht="30" customHeight="1">
      <c r="A254" s="6">
        <v>252</v>
      </c>
      <c r="B254" s="6" t="str">
        <f>"272820201120142135351"</f>
        <v>272820201120142135351</v>
      </c>
      <c r="C254" s="6" t="s">
        <v>7</v>
      </c>
      <c r="D254" s="6" t="str">
        <f>"陈恵丹"</f>
        <v>陈恵丹</v>
      </c>
      <c r="E254" s="6" t="str">
        <f>"1995-03-28"</f>
        <v>1995-03-28</v>
      </c>
      <c r="F254" s="6"/>
    </row>
    <row r="255" spans="1:6" ht="30" customHeight="1">
      <c r="A255" s="6">
        <v>253</v>
      </c>
      <c r="B255" s="6" t="str">
        <f>"272820201120142222352"</f>
        <v>272820201120142222352</v>
      </c>
      <c r="C255" s="6" t="s">
        <v>7</v>
      </c>
      <c r="D255" s="6" t="str">
        <f>"符玫"</f>
        <v>符玫</v>
      </c>
      <c r="E255" s="6" t="str">
        <f>"1994-12-12"</f>
        <v>1994-12-12</v>
      </c>
      <c r="F255" s="6"/>
    </row>
    <row r="256" spans="1:6" ht="30" customHeight="1">
      <c r="A256" s="6">
        <v>254</v>
      </c>
      <c r="B256" s="6" t="str">
        <f>"272820201120142414353"</f>
        <v>272820201120142414353</v>
      </c>
      <c r="C256" s="6" t="s">
        <v>7</v>
      </c>
      <c r="D256" s="6" t="str">
        <f>"周玉霞"</f>
        <v>周玉霞</v>
      </c>
      <c r="E256" s="6" t="str">
        <f>"1998-04-02"</f>
        <v>1998-04-02</v>
      </c>
      <c r="F256" s="6"/>
    </row>
    <row r="257" spans="1:6" ht="30" customHeight="1">
      <c r="A257" s="6">
        <v>255</v>
      </c>
      <c r="B257" s="6" t="str">
        <f>"272820201120142505354"</f>
        <v>272820201120142505354</v>
      </c>
      <c r="C257" s="6" t="s">
        <v>7</v>
      </c>
      <c r="D257" s="6" t="str">
        <f>"汪春纹"</f>
        <v>汪春纹</v>
      </c>
      <c r="E257" s="6" t="str">
        <f>"1994-06-24"</f>
        <v>1994-06-24</v>
      </c>
      <c r="F257" s="6"/>
    </row>
    <row r="258" spans="1:6" ht="30" customHeight="1">
      <c r="A258" s="6">
        <v>256</v>
      </c>
      <c r="B258" s="6" t="str">
        <f>"272820201120142535355"</f>
        <v>272820201120142535355</v>
      </c>
      <c r="C258" s="6" t="s">
        <v>7</v>
      </c>
      <c r="D258" s="6" t="str">
        <f>"周丽媛"</f>
        <v>周丽媛</v>
      </c>
      <c r="E258" s="6" t="str">
        <f>"1996-08-25"</f>
        <v>1996-08-25</v>
      </c>
      <c r="F258" s="6"/>
    </row>
    <row r="259" spans="1:6" ht="30" customHeight="1">
      <c r="A259" s="6">
        <v>257</v>
      </c>
      <c r="B259" s="6" t="str">
        <f>"272820201120142837357"</f>
        <v>272820201120142837357</v>
      </c>
      <c r="C259" s="6" t="s">
        <v>7</v>
      </c>
      <c r="D259" s="6" t="str">
        <f>"王家花"</f>
        <v>王家花</v>
      </c>
      <c r="E259" s="6" t="str">
        <f>"1995-08-28"</f>
        <v>1995-08-28</v>
      </c>
      <c r="F259" s="6"/>
    </row>
    <row r="260" spans="1:6" ht="30" customHeight="1">
      <c r="A260" s="6">
        <v>258</v>
      </c>
      <c r="B260" s="6" t="str">
        <f>"272820201120143345359"</f>
        <v>272820201120143345359</v>
      </c>
      <c r="C260" s="6" t="s">
        <v>7</v>
      </c>
      <c r="D260" s="6" t="str">
        <f>"符尖"</f>
        <v>符尖</v>
      </c>
      <c r="E260" s="6" t="str">
        <f>"1995-10-26"</f>
        <v>1995-10-26</v>
      </c>
      <c r="F260" s="6"/>
    </row>
    <row r="261" spans="1:6" ht="30" customHeight="1">
      <c r="A261" s="6">
        <v>259</v>
      </c>
      <c r="B261" s="6" t="str">
        <f>"272820201120143645361"</f>
        <v>272820201120143645361</v>
      </c>
      <c r="C261" s="6" t="s">
        <v>7</v>
      </c>
      <c r="D261" s="6" t="str">
        <f>"钱光耀"</f>
        <v>钱光耀</v>
      </c>
      <c r="E261" s="6" t="str">
        <f>"1988-04-04"</f>
        <v>1988-04-04</v>
      </c>
      <c r="F261" s="6"/>
    </row>
    <row r="262" spans="1:6" ht="30" customHeight="1">
      <c r="A262" s="6">
        <v>260</v>
      </c>
      <c r="B262" s="6" t="str">
        <f>"272820201120143817362"</f>
        <v>272820201120143817362</v>
      </c>
      <c r="C262" s="6" t="s">
        <v>7</v>
      </c>
      <c r="D262" s="6" t="str">
        <f>"罗名宣"</f>
        <v>罗名宣</v>
      </c>
      <c r="E262" s="6" t="str">
        <f>"1997-09-29"</f>
        <v>1997-09-29</v>
      </c>
      <c r="F262" s="6"/>
    </row>
    <row r="263" spans="1:6" ht="30" customHeight="1">
      <c r="A263" s="6">
        <v>261</v>
      </c>
      <c r="B263" s="6" t="str">
        <f>"272820201120144028364"</f>
        <v>272820201120144028364</v>
      </c>
      <c r="C263" s="6" t="s">
        <v>7</v>
      </c>
      <c r="D263" s="6" t="str">
        <f>"骆完女"</f>
        <v>骆完女</v>
      </c>
      <c r="E263" s="6" t="str">
        <f>"1994-01-07"</f>
        <v>1994-01-07</v>
      </c>
      <c r="F263" s="6"/>
    </row>
    <row r="264" spans="1:6" ht="30" customHeight="1">
      <c r="A264" s="6">
        <v>262</v>
      </c>
      <c r="B264" s="6" t="str">
        <f>"272820201120144055366"</f>
        <v>272820201120144055366</v>
      </c>
      <c r="C264" s="6" t="s">
        <v>7</v>
      </c>
      <c r="D264" s="6" t="str">
        <f>"郑琳琳"</f>
        <v>郑琳琳</v>
      </c>
      <c r="E264" s="6" t="str">
        <f>"1996-09-01"</f>
        <v>1996-09-01</v>
      </c>
      <c r="F264" s="6"/>
    </row>
    <row r="265" spans="1:6" ht="30" customHeight="1">
      <c r="A265" s="6">
        <v>263</v>
      </c>
      <c r="B265" s="6" t="str">
        <f>"272820201120144117367"</f>
        <v>272820201120144117367</v>
      </c>
      <c r="C265" s="6" t="s">
        <v>7</v>
      </c>
      <c r="D265" s="6" t="str">
        <f>"刘青青"</f>
        <v>刘青青</v>
      </c>
      <c r="E265" s="6" t="str">
        <f>"1994-07-25"</f>
        <v>1994-07-25</v>
      </c>
      <c r="F265" s="6"/>
    </row>
    <row r="266" spans="1:6" ht="30" customHeight="1">
      <c r="A266" s="6">
        <v>264</v>
      </c>
      <c r="B266" s="6" t="str">
        <f>"272820201120144540369"</f>
        <v>272820201120144540369</v>
      </c>
      <c r="C266" s="6" t="s">
        <v>7</v>
      </c>
      <c r="D266" s="6" t="str">
        <f>"董桂演"</f>
        <v>董桂演</v>
      </c>
      <c r="E266" s="6" t="str">
        <f>"1997-10-08"</f>
        <v>1997-10-08</v>
      </c>
      <c r="F266" s="6"/>
    </row>
    <row r="267" spans="1:6" ht="30" customHeight="1">
      <c r="A267" s="6">
        <v>265</v>
      </c>
      <c r="B267" s="6" t="str">
        <f>"272820201120144630371"</f>
        <v>272820201120144630371</v>
      </c>
      <c r="C267" s="6" t="s">
        <v>7</v>
      </c>
      <c r="D267" s="6" t="str">
        <f>"温丽虹"</f>
        <v>温丽虹</v>
      </c>
      <c r="E267" s="6" t="str">
        <f>"1997-12-11"</f>
        <v>1997-12-11</v>
      </c>
      <c r="F267" s="6"/>
    </row>
    <row r="268" spans="1:6" ht="30" customHeight="1">
      <c r="A268" s="6">
        <v>266</v>
      </c>
      <c r="B268" s="6" t="str">
        <f>"272820201120144726373"</f>
        <v>272820201120144726373</v>
      </c>
      <c r="C268" s="6" t="s">
        <v>7</v>
      </c>
      <c r="D268" s="6" t="str">
        <f>"张彩姨"</f>
        <v>张彩姨</v>
      </c>
      <c r="E268" s="6" t="str">
        <f>"1997-09-25"</f>
        <v>1997-09-25</v>
      </c>
      <c r="F268" s="6"/>
    </row>
    <row r="269" spans="1:6" ht="30" customHeight="1">
      <c r="A269" s="6">
        <v>267</v>
      </c>
      <c r="B269" s="6" t="str">
        <f>"272820201120144741374"</f>
        <v>272820201120144741374</v>
      </c>
      <c r="C269" s="6" t="s">
        <v>7</v>
      </c>
      <c r="D269" s="6" t="str">
        <f>"陈玉竹"</f>
        <v>陈玉竹</v>
      </c>
      <c r="E269" s="6" t="str">
        <f>"1995-08-18"</f>
        <v>1995-08-18</v>
      </c>
      <c r="F269" s="6"/>
    </row>
    <row r="270" spans="1:6" ht="30" customHeight="1">
      <c r="A270" s="6">
        <v>268</v>
      </c>
      <c r="B270" s="6" t="str">
        <f>"272820201120145125376"</f>
        <v>272820201120145125376</v>
      </c>
      <c r="C270" s="6" t="s">
        <v>7</v>
      </c>
      <c r="D270" s="6" t="str">
        <f>"王瑞珍"</f>
        <v>王瑞珍</v>
      </c>
      <c r="E270" s="6" t="str">
        <f>"1998-08-14"</f>
        <v>1998-08-14</v>
      </c>
      <c r="F270" s="6"/>
    </row>
    <row r="271" spans="1:6" ht="30" customHeight="1">
      <c r="A271" s="6">
        <v>269</v>
      </c>
      <c r="B271" s="6" t="str">
        <f>"272820201120145207377"</f>
        <v>272820201120145207377</v>
      </c>
      <c r="C271" s="6" t="s">
        <v>7</v>
      </c>
      <c r="D271" s="6" t="str">
        <f>"陈蕾"</f>
        <v>陈蕾</v>
      </c>
      <c r="E271" s="6" t="str">
        <f>"1996-09-03"</f>
        <v>1996-09-03</v>
      </c>
      <c r="F271" s="6"/>
    </row>
    <row r="272" spans="1:6" ht="30" customHeight="1">
      <c r="A272" s="6">
        <v>270</v>
      </c>
      <c r="B272" s="6" t="str">
        <f>"272820201120145340378"</f>
        <v>272820201120145340378</v>
      </c>
      <c r="C272" s="6" t="s">
        <v>7</v>
      </c>
      <c r="D272" s="6" t="str">
        <f>"饶旭"</f>
        <v>饶旭</v>
      </c>
      <c r="E272" s="6" t="str">
        <f>"1989-08-21"</f>
        <v>1989-08-21</v>
      </c>
      <c r="F272" s="6"/>
    </row>
    <row r="273" spans="1:6" ht="30" customHeight="1">
      <c r="A273" s="6">
        <v>271</v>
      </c>
      <c r="B273" s="6" t="str">
        <f>"272820201120145400379"</f>
        <v>272820201120145400379</v>
      </c>
      <c r="C273" s="6" t="s">
        <v>7</v>
      </c>
      <c r="D273" s="6" t="str">
        <f>"陈太宙"</f>
        <v>陈太宙</v>
      </c>
      <c r="E273" s="6" t="str">
        <f>"1997-02-09"</f>
        <v>1997-02-09</v>
      </c>
      <c r="F273" s="6"/>
    </row>
    <row r="274" spans="1:6" ht="30" customHeight="1">
      <c r="A274" s="6">
        <v>272</v>
      </c>
      <c r="B274" s="6" t="str">
        <f>"272820201120145628380"</f>
        <v>272820201120145628380</v>
      </c>
      <c r="C274" s="6" t="s">
        <v>7</v>
      </c>
      <c r="D274" s="6" t="str">
        <f>"李乐智"</f>
        <v>李乐智</v>
      </c>
      <c r="E274" s="6" t="str">
        <f>"1994-10-03"</f>
        <v>1994-10-03</v>
      </c>
      <c r="F274" s="6"/>
    </row>
    <row r="275" spans="1:6" ht="30" customHeight="1">
      <c r="A275" s="6">
        <v>273</v>
      </c>
      <c r="B275" s="6" t="str">
        <f>"272820201120145732381"</f>
        <v>272820201120145732381</v>
      </c>
      <c r="C275" s="6" t="s">
        <v>7</v>
      </c>
      <c r="D275" s="6" t="str">
        <f>"王霜"</f>
        <v>王霜</v>
      </c>
      <c r="E275" s="6" t="str">
        <f>"1991-07-10"</f>
        <v>1991-07-10</v>
      </c>
      <c r="F275" s="6"/>
    </row>
    <row r="276" spans="1:6" ht="30" customHeight="1">
      <c r="A276" s="6">
        <v>274</v>
      </c>
      <c r="B276" s="6" t="str">
        <f>"272820201120150034383"</f>
        <v>272820201120150034383</v>
      </c>
      <c r="C276" s="6" t="s">
        <v>7</v>
      </c>
      <c r="D276" s="6" t="str">
        <f>"庞小棠"</f>
        <v>庞小棠</v>
      </c>
      <c r="E276" s="6" t="str">
        <f>"1997-06-01"</f>
        <v>1997-06-01</v>
      </c>
      <c r="F276" s="6"/>
    </row>
    <row r="277" spans="1:6" ht="30" customHeight="1">
      <c r="A277" s="6">
        <v>275</v>
      </c>
      <c r="B277" s="6" t="str">
        <f>"272820201120150138384"</f>
        <v>272820201120150138384</v>
      </c>
      <c r="C277" s="6" t="s">
        <v>7</v>
      </c>
      <c r="D277" s="6" t="str">
        <f>"谭小霞"</f>
        <v>谭小霞</v>
      </c>
      <c r="E277" s="6" t="str">
        <f>"1995-08-21"</f>
        <v>1995-08-21</v>
      </c>
      <c r="F277" s="6"/>
    </row>
    <row r="278" spans="1:6" ht="30" customHeight="1">
      <c r="A278" s="6">
        <v>276</v>
      </c>
      <c r="B278" s="6" t="str">
        <f>"272820201120150144385"</f>
        <v>272820201120150144385</v>
      </c>
      <c r="C278" s="6" t="s">
        <v>7</v>
      </c>
      <c r="D278" s="6" t="str">
        <f>"黄垂婷"</f>
        <v>黄垂婷</v>
      </c>
      <c r="E278" s="6" t="str">
        <f>"1995-07-12"</f>
        <v>1995-07-12</v>
      </c>
      <c r="F278" s="6"/>
    </row>
    <row r="279" spans="1:6" ht="30" customHeight="1">
      <c r="A279" s="6">
        <v>277</v>
      </c>
      <c r="B279" s="6" t="str">
        <f>"272820201120150201386"</f>
        <v>272820201120150201386</v>
      </c>
      <c r="C279" s="6" t="s">
        <v>7</v>
      </c>
      <c r="D279" s="6" t="str">
        <f>"符欣雨"</f>
        <v>符欣雨</v>
      </c>
      <c r="E279" s="6" t="str">
        <f>"1996-11-02"</f>
        <v>1996-11-02</v>
      </c>
      <c r="F279" s="6"/>
    </row>
    <row r="280" spans="1:6" ht="30" customHeight="1">
      <c r="A280" s="6">
        <v>278</v>
      </c>
      <c r="B280" s="6" t="str">
        <f>"272820201120150348387"</f>
        <v>272820201120150348387</v>
      </c>
      <c r="C280" s="6" t="s">
        <v>7</v>
      </c>
      <c r="D280" s="6" t="str">
        <f>"李永谢"</f>
        <v>李永谢</v>
      </c>
      <c r="E280" s="6" t="str">
        <f>"1994-10-15"</f>
        <v>1994-10-15</v>
      </c>
      <c r="F280" s="6"/>
    </row>
    <row r="281" spans="1:6" ht="30" customHeight="1">
      <c r="A281" s="6">
        <v>279</v>
      </c>
      <c r="B281" s="6" t="str">
        <f>"272820201120150546388"</f>
        <v>272820201120150546388</v>
      </c>
      <c r="C281" s="6" t="s">
        <v>7</v>
      </c>
      <c r="D281" s="6" t="str">
        <f>"罗琛琛"</f>
        <v>罗琛琛</v>
      </c>
      <c r="E281" s="6" t="str">
        <f>"1993-03-23"</f>
        <v>1993-03-23</v>
      </c>
      <c r="F281" s="6"/>
    </row>
    <row r="282" spans="1:6" ht="30" customHeight="1">
      <c r="A282" s="6">
        <v>280</v>
      </c>
      <c r="B282" s="6" t="str">
        <f>"272820201120150744389"</f>
        <v>272820201120150744389</v>
      </c>
      <c r="C282" s="6" t="s">
        <v>7</v>
      </c>
      <c r="D282" s="6" t="str">
        <f>"徐光尧"</f>
        <v>徐光尧</v>
      </c>
      <c r="E282" s="6" t="str">
        <f>"1994-11-13"</f>
        <v>1994-11-13</v>
      </c>
      <c r="F282" s="6"/>
    </row>
    <row r="283" spans="1:6" ht="30" customHeight="1">
      <c r="A283" s="6">
        <v>281</v>
      </c>
      <c r="B283" s="6" t="str">
        <f>"272820201120150857390"</f>
        <v>272820201120150857390</v>
      </c>
      <c r="C283" s="6" t="s">
        <v>7</v>
      </c>
      <c r="D283" s="6" t="str">
        <f>"王科"</f>
        <v>王科</v>
      </c>
      <c r="E283" s="6" t="str">
        <f>"1997-12-06"</f>
        <v>1997-12-06</v>
      </c>
      <c r="F283" s="6"/>
    </row>
    <row r="284" spans="1:6" ht="30" customHeight="1">
      <c r="A284" s="6">
        <v>282</v>
      </c>
      <c r="B284" s="6" t="str">
        <f>"272820201120150955391"</f>
        <v>272820201120150955391</v>
      </c>
      <c r="C284" s="6" t="s">
        <v>7</v>
      </c>
      <c r="D284" s="6" t="str">
        <f>"林嘉欣"</f>
        <v>林嘉欣</v>
      </c>
      <c r="E284" s="6" t="str">
        <f>"1992-06-14"</f>
        <v>1992-06-14</v>
      </c>
      <c r="F284" s="6"/>
    </row>
    <row r="285" spans="1:6" ht="30" customHeight="1">
      <c r="A285" s="6">
        <v>283</v>
      </c>
      <c r="B285" s="6" t="str">
        <f>"272820201120151826394"</f>
        <v>272820201120151826394</v>
      </c>
      <c r="C285" s="6" t="s">
        <v>7</v>
      </c>
      <c r="D285" s="6" t="str">
        <f>"尹春祥"</f>
        <v>尹春祥</v>
      </c>
      <c r="E285" s="6" t="str">
        <f>"1995-03-23"</f>
        <v>1995-03-23</v>
      </c>
      <c r="F285" s="6"/>
    </row>
    <row r="286" spans="1:6" ht="30" customHeight="1">
      <c r="A286" s="6">
        <v>284</v>
      </c>
      <c r="B286" s="6" t="str">
        <f>"272820201120151921395"</f>
        <v>272820201120151921395</v>
      </c>
      <c r="C286" s="6" t="s">
        <v>7</v>
      </c>
      <c r="D286" s="6" t="str">
        <f>"陈忠贵"</f>
        <v>陈忠贵</v>
      </c>
      <c r="E286" s="6" t="str">
        <f>"1995-01-20"</f>
        <v>1995-01-20</v>
      </c>
      <c r="F286" s="6"/>
    </row>
    <row r="287" spans="1:6" ht="30" customHeight="1">
      <c r="A287" s="6">
        <v>285</v>
      </c>
      <c r="B287" s="6" t="str">
        <f>"272820201120152015396"</f>
        <v>272820201120152015396</v>
      </c>
      <c r="C287" s="6" t="s">
        <v>7</v>
      </c>
      <c r="D287" s="6" t="str">
        <f>"黎玲"</f>
        <v>黎玲</v>
      </c>
      <c r="E287" s="6" t="str">
        <f>"1989-10-02"</f>
        <v>1989-10-02</v>
      </c>
      <c r="F287" s="6"/>
    </row>
    <row r="288" spans="1:6" ht="30" customHeight="1">
      <c r="A288" s="6">
        <v>286</v>
      </c>
      <c r="B288" s="6" t="str">
        <f>"272820201120152414398"</f>
        <v>272820201120152414398</v>
      </c>
      <c r="C288" s="6" t="s">
        <v>7</v>
      </c>
      <c r="D288" s="6" t="str">
        <f>"陈芳玲"</f>
        <v>陈芳玲</v>
      </c>
      <c r="E288" s="6" t="str">
        <f>"1997-07-22"</f>
        <v>1997-07-22</v>
      </c>
      <c r="F288" s="6"/>
    </row>
    <row r="289" spans="1:6" ht="30" customHeight="1">
      <c r="A289" s="6">
        <v>287</v>
      </c>
      <c r="B289" s="6" t="str">
        <f>"272820201120152634399"</f>
        <v>272820201120152634399</v>
      </c>
      <c r="C289" s="6" t="s">
        <v>7</v>
      </c>
      <c r="D289" s="6" t="str">
        <f>"于天策"</f>
        <v>于天策</v>
      </c>
      <c r="E289" s="6" t="str">
        <f>"1991-02-02"</f>
        <v>1991-02-02</v>
      </c>
      <c r="F289" s="6"/>
    </row>
    <row r="290" spans="1:6" ht="30" customHeight="1">
      <c r="A290" s="6">
        <v>288</v>
      </c>
      <c r="B290" s="6" t="str">
        <f>"272820201120152857401"</f>
        <v>272820201120152857401</v>
      </c>
      <c r="C290" s="6" t="s">
        <v>7</v>
      </c>
      <c r="D290" s="6" t="str">
        <f>"陈道龙"</f>
        <v>陈道龙</v>
      </c>
      <c r="E290" s="6" t="str">
        <f>"1990-03-27"</f>
        <v>1990-03-27</v>
      </c>
      <c r="F290" s="6"/>
    </row>
    <row r="291" spans="1:6" ht="30" customHeight="1">
      <c r="A291" s="6">
        <v>289</v>
      </c>
      <c r="B291" s="6" t="str">
        <f>"272820201120153243402"</f>
        <v>272820201120153243402</v>
      </c>
      <c r="C291" s="6" t="s">
        <v>7</v>
      </c>
      <c r="D291" s="6" t="str">
        <f>"倪旺"</f>
        <v>倪旺</v>
      </c>
      <c r="E291" s="6" t="str">
        <f>"1998-03-13"</f>
        <v>1998-03-13</v>
      </c>
      <c r="F291" s="6"/>
    </row>
    <row r="292" spans="1:6" ht="30" customHeight="1">
      <c r="A292" s="6">
        <v>290</v>
      </c>
      <c r="B292" s="6" t="str">
        <f>"272820201120153327403"</f>
        <v>272820201120153327403</v>
      </c>
      <c r="C292" s="6" t="s">
        <v>7</v>
      </c>
      <c r="D292" s="6" t="str">
        <f>"田果"</f>
        <v>田果</v>
      </c>
      <c r="E292" s="6" t="str">
        <f>"1995-08-28"</f>
        <v>1995-08-28</v>
      </c>
      <c r="F292" s="6"/>
    </row>
    <row r="293" spans="1:6" ht="30" customHeight="1">
      <c r="A293" s="6">
        <v>291</v>
      </c>
      <c r="B293" s="6" t="str">
        <f>"272820201120153429405"</f>
        <v>272820201120153429405</v>
      </c>
      <c r="C293" s="6" t="s">
        <v>7</v>
      </c>
      <c r="D293" s="6" t="str">
        <f>"符甜"</f>
        <v>符甜</v>
      </c>
      <c r="E293" s="6" t="str">
        <f>"1995-08-16"</f>
        <v>1995-08-16</v>
      </c>
      <c r="F293" s="6"/>
    </row>
    <row r="294" spans="1:6" ht="30" customHeight="1">
      <c r="A294" s="6">
        <v>292</v>
      </c>
      <c r="B294" s="6" t="str">
        <f>"272820201120153803407"</f>
        <v>272820201120153803407</v>
      </c>
      <c r="C294" s="6" t="s">
        <v>7</v>
      </c>
      <c r="D294" s="6" t="str">
        <f>"黄金燕"</f>
        <v>黄金燕</v>
      </c>
      <c r="E294" s="6" t="str">
        <f>"1997-11-23"</f>
        <v>1997-11-23</v>
      </c>
      <c r="F294" s="6"/>
    </row>
    <row r="295" spans="1:6" ht="30" customHeight="1">
      <c r="A295" s="6">
        <v>293</v>
      </c>
      <c r="B295" s="6" t="str">
        <f>"272820201120154216408"</f>
        <v>272820201120154216408</v>
      </c>
      <c r="C295" s="6" t="s">
        <v>7</v>
      </c>
      <c r="D295" s="6" t="str">
        <f>"董莹莹"</f>
        <v>董莹莹</v>
      </c>
      <c r="E295" s="6" t="str">
        <f>"1994-02-18"</f>
        <v>1994-02-18</v>
      </c>
      <c r="F295" s="6"/>
    </row>
    <row r="296" spans="1:6" ht="30" customHeight="1">
      <c r="A296" s="6">
        <v>294</v>
      </c>
      <c r="B296" s="6" t="str">
        <f>"272820201120154359410"</f>
        <v>272820201120154359410</v>
      </c>
      <c r="C296" s="6" t="s">
        <v>7</v>
      </c>
      <c r="D296" s="6" t="str">
        <f>"陈图赞"</f>
        <v>陈图赞</v>
      </c>
      <c r="E296" s="6" t="str">
        <f>"1997-12-18"</f>
        <v>1997-12-18</v>
      </c>
      <c r="F296" s="6"/>
    </row>
    <row r="297" spans="1:6" ht="30" customHeight="1">
      <c r="A297" s="6">
        <v>295</v>
      </c>
      <c r="B297" s="6" t="str">
        <f>"272820201120154533412"</f>
        <v>272820201120154533412</v>
      </c>
      <c r="C297" s="6" t="s">
        <v>7</v>
      </c>
      <c r="D297" s="6" t="str">
        <f>"周建其"</f>
        <v>周建其</v>
      </c>
      <c r="E297" s="6" t="str">
        <f>"1994-01-04"</f>
        <v>1994-01-04</v>
      </c>
      <c r="F297" s="6"/>
    </row>
    <row r="298" spans="1:6" ht="30" customHeight="1">
      <c r="A298" s="6">
        <v>296</v>
      </c>
      <c r="B298" s="6" t="str">
        <f>"272820201120154544413"</f>
        <v>272820201120154544413</v>
      </c>
      <c r="C298" s="6" t="s">
        <v>7</v>
      </c>
      <c r="D298" s="6" t="str">
        <f>"麦四农"</f>
        <v>麦四农</v>
      </c>
      <c r="E298" s="6" t="str">
        <f>"1994-06-24"</f>
        <v>1994-06-24</v>
      </c>
      <c r="F298" s="6"/>
    </row>
    <row r="299" spans="1:6" ht="30" customHeight="1">
      <c r="A299" s="6">
        <v>297</v>
      </c>
      <c r="B299" s="6" t="str">
        <f>"272820201120154557414"</f>
        <v>272820201120154557414</v>
      </c>
      <c r="C299" s="6" t="s">
        <v>7</v>
      </c>
      <c r="D299" s="6" t="str">
        <f>"洪小月"</f>
        <v>洪小月</v>
      </c>
      <c r="E299" s="6" t="str">
        <f>"1991-12-15"</f>
        <v>1991-12-15</v>
      </c>
      <c r="F299" s="6"/>
    </row>
    <row r="300" spans="1:6" ht="30" customHeight="1">
      <c r="A300" s="6">
        <v>298</v>
      </c>
      <c r="B300" s="6" t="str">
        <f>"272820201120154955415"</f>
        <v>272820201120154955415</v>
      </c>
      <c r="C300" s="6" t="s">
        <v>7</v>
      </c>
      <c r="D300" s="6" t="str">
        <f>"何雅婷"</f>
        <v>何雅婷</v>
      </c>
      <c r="E300" s="6" t="str">
        <f>"1998-07-01"</f>
        <v>1998-07-01</v>
      </c>
      <c r="F300" s="6"/>
    </row>
    <row r="301" spans="1:6" ht="30" customHeight="1">
      <c r="A301" s="6">
        <v>299</v>
      </c>
      <c r="B301" s="6" t="str">
        <f>"272820201120154959416"</f>
        <v>272820201120154959416</v>
      </c>
      <c r="C301" s="6" t="s">
        <v>7</v>
      </c>
      <c r="D301" s="6" t="str">
        <f>"曾玉亭"</f>
        <v>曾玉亭</v>
      </c>
      <c r="E301" s="6" t="str">
        <f>"1993-06-13"</f>
        <v>1993-06-13</v>
      </c>
      <c r="F301" s="6"/>
    </row>
    <row r="302" spans="1:6" ht="30" customHeight="1">
      <c r="A302" s="6">
        <v>300</v>
      </c>
      <c r="B302" s="6" t="str">
        <f>"272820201120155308420"</f>
        <v>272820201120155308420</v>
      </c>
      <c r="C302" s="6" t="s">
        <v>7</v>
      </c>
      <c r="D302" s="6" t="str">
        <f>"熊洪"</f>
        <v>熊洪</v>
      </c>
      <c r="E302" s="6" t="str">
        <f>"1991-04-05"</f>
        <v>1991-04-05</v>
      </c>
      <c r="F302" s="6"/>
    </row>
    <row r="303" spans="1:6" ht="30" customHeight="1">
      <c r="A303" s="6">
        <v>301</v>
      </c>
      <c r="B303" s="6" t="str">
        <f>"272820201120155316421"</f>
        <v>272820201120155316421</v>
      </c>
      <c r="C303" s="6" t="s">
        <v>7</v>
      </c>
      <c r="D303" s="6" t="str">
        <f>"符金枝"</f>
        <v>符金枝</v>
      </c>
      <c r="E303" s="6" t="str">
        <f>"1995-08-10"</f>
        <v>1995-08-10</v>
      </c>
      <c r="F303" s="6"/>
    </row>
    <row r="304" spans="1:6" ht="30" customHeight="1">
      <c r="A304" s="6">
        <v>302</v>
      </c>
      <c r="B304" s="6" t="str">
        <f>"272820201120155526423"</f>
        <v>272820201120155526423</v>
      </c>
      <c r="C304" s="6" t="s">
        <v>7</v>
      </c>
      <c r="D304" s="6" t="str">
        <f>"林金环"</f>
        <v>林金环</v>
      </c>
      <c r="E304" s="6" t="str">
        <f>"1999-12-18"</f>
        <v>1999-12-18</v>
      </c>
      <c r="F304" s="6"/>
    </row>
    <row r="305" spans="1:6" ht="30" customHeight="1">
      <c r="A305" s="6">
        <v>303</v>
      </c>
      <c r="B305" s="6" t="str">
        <f>"272820201120155539424"</f>
        <v>272820201120155539424</v>
      </c>
      <c r="C305" s="6" t="s">
        <v>7</v>
      </c>
      <c r="D305" s="6" t="str">
        <f>"张叶倍"</f>
        <v>张叶倍</v>
      </c>
      <c r="E305" s="6" t="str">
        <f>"1996-05-19"</f>
        <v>1996-05-19</v>
      </c>
      <c r="F305" s="6"/>
    </row>
    <row r="306" spans="1:6" ht="30" customHeight="1">
      <c r="A306" s="6">
        <v>304</v>
      </c>
      <c r="B306" s="6" t="str">
        <f>"272820201120155834428"</f>
        <v>272820201120155834428</v>
      </c>
      <c r="C306" s="6" t="s">
        <v>7</v>
      </c>
      <c r="D306" s="6" t="str">
        <f>"吴瑶"</f>
        <v>吴瑶</v>
      </c>
      <c r="E306" s="6" t="str">
        <f>"1997-07-14"</f>
        <v>1997-07-14</v>
      </c>
      <c r="F306" s="6"/>
    </row>
    <row r="307" spans="1:6" ht="30" customHeight="1">
      <c r="A307" s="6">
        <v>305</v>
      </c>
      <c r="B307" s="6" t="str">
        <f>"272820201120160125429"</f>
        <v>272820201120160125429</v>
      </c>
      <c r="C307" s="6" t="s">
        <v>7</v>
      </c>
      <c r="D307" s="6" t="str">
        <f>"廖月容"</f>
        <v>廖月容</v>
      </c>
      <c r="E307" s="6" t="str">
        <f>"1995-06-25"</f>
        <v>1995-06-25</v>
      </c>
      <c r="F307" s="6"/>
    </row>
    <row r="308" spans="1:6" ht="30" customHeight="1">
      <c r="A308" s="6">
        <v>306</v>
      </c>
      <c r="B308" s="6" t="str">
        <f>"272820201120160222430"</f>
        <v>272820201120160222430</v>
      </c>
      <c r="C308" s="6" t="s">
        <v>7</v>
      </c>
      <c r="D308" s="6" t="str">
        <f>"黎珊"</f>
        <v>黎珊</v>
      </c>
      <c r="E308" s="6" t="str">
        <f>"1988-08-13"</f>
        <v>1988-08-13</v>
      </c>
      <c r="F308" s="6"/>
    </row>
    <row r="309" spans="1:6" ht="30" customHeight="1">
      <c r="A309" s="6">
        <v>307</v>
      </c>
      <c r="B309" s="6" t="str">
        <f>"272820201120160333431"</f>
        <v>272820201120160333431</v>
      </c>
      <c r="C309" s="6" t="s">
        <v>7</v>
      </c>
      <c r="D309" s="6" t="str">
        <f>"林志和"</f>
        <v>林志和</v>
      </c>
      <c r="E309" s="6" t="str">
        <f>"1996-12-31"</f>
        <v>1996-12-31</v>
      </c>
      <c r="F309" s="6"/>
    </row>
    <row r="310" spans="1:6" ht="30" customHeight="1">
      <c r="A310" s="6">
        <v>308</v>
      </c>
      <c r="B310" s="6" t="str">
        <f>"272820201120160712432"</f>
        <v>272820201120160712432</v>
      </c>
      <c r="C310" s="6" t="s">
        <v>7</v>
      </c>
      <c r="D310" s="6" t="str">
        <f>"符月秀"</f>
        <v>符月秀</v>
      </c>
      <c r="E310" s="6" t="str">
        <f>"1997-09-10"</f>
        <v>1997-09-10</v>
      </c>
      <c r="F310" s="6"/>
    </row>
    <row r="311" spans="1:6" ht="30" customHeight="1">
      <c r="A311" s="6">
        <v>309</v>
      </c>
      <c r="B311" s="6" t="str">
        <f>"272820201120161106434"</f>
        <v>272820201120161106434</v>
      </c>
      <c r="C311" s="6" t="s">
        <v>7</v>
      </c>
      <c r="D311" s="6" t="str">
        <f>"陈海琴"</f>
        <v>陈海琴</v>
      </c>
      <c r="E311" s="6" t="str">
        <f>"1997-05-30"</f>
        <v>1997-05-30</v>
      </c>
      <c r="F311" s="6"/>
    </row>
    <row r="312" spans="1:6" ht="30" customHeight="1">
      <c r="A312" s="6">
        <v>310</v>
      </c>
      <c r="B312" s="6" t="str">
        <f>"272820201120161118435"</f>
        <v>272820201120161118435</v>
      </c>
      <c r="C312" s="6" t="s">
        <v>7</v>
      </c>
      <c r="D312" s="6" t="str">
        <f>"潘国伟"</f>
        <v>潘国伟</v>
      </c>
      <c r="E312" s="6" t="str">
        <f>"1991-03-10"</f>
        <v>1991-03-10</v>
      </c>
      <c r="F312" s="6"/>
    </row>
    <row r="313" spans="1:6" ht="30" customHeight="1">
      <c r="A313" s="6">
        <v>311</v>
      </c>
      <c r="B313" s="6" t="str">
        <f>"272820201120161143436"</f>
        <v>272820201120161143436</v>
      </c>
      <c r="C313" s="6" t="s">
        <v>7</v>
      </c>
      <c r="D313" s="6" t="str">
        <f>"何露妹"</f>
        <v>何露妹</v>
      </c>
      <c r="E313" s="6" t="str">
        <f>"1994-03-08"</f>
        <v>1994-03-08</v>
      </c>
      <c r="F313" s="6"/>
    </row>
    <row r="314" spans="1:6" ht="30" customHeight="1">
      <c r="A314" s="6">
        <v>312</v>
      </c>
      <c r="B314" s="6" t="str">
        <f>"272820201120161428438"</f>
        <v>272820201120161428438</v>
      </c>
      <c r="C314" s="6" t="s">
        <v>7</v>
      </c>
      <c r="D314" s="6" t="str">
        <f>"陈承琳"</f>
        <v>陈承琳</v>
      </c>
      <c r="E314" s="6" t="str">
        <f>"1995-03-08"</f>
        <v>1995-03-08</v>
      </c>
      <c r="F314" s="6"/>
    </row>
    <row r="315" spans="1:6" ht="30" customHeight="1">
      <c r="A315" s="6">
        <v>313</v>
      </c>
      <c r="B315" s="6" t="str">
        <f>"272820201120161536439"</f>
        <v>272820201120161536439</v>
      </c>
      <c r="C315" s="6" t="s">
        <v>7</v>
      </c>
      <c r="D315" s="6" t="str">
        <f>"吴丽"</f>
        <v>吴丽</v>
      </c>
      <c r="E315" s="6" t="str">
        <f>"1991-01-05"</f>
        <v>1991-01-05</v>
      </c>
      <c r="F315" s="6"/>
    </row>
    <row r="316" spans="1:6" ht="30" customHeight="1">
      <c r="A316" s="6">
        <v>314</v>
      </c>
      <c r="B316" s="6" t="str">
        <f>"272820201120161722440"</f>
        <v>272820201120161722440</v>
      </c>
      <c r="C316" s="6" t="s">
        <v>7</v>
      </c>
      <c r="D316" s="6" t="str">
        <f>"王春玉"</f>
        <v>王春玉</v>
      </c>
      <c r="E316" s="6" t="str">
        <f>"1993-01-05"</f>
        <v>1993-01-05</v>
      </c>
      <c r="F316" s="6"/>
    </row>
    <row r="317" spans="1:6" ht="30" customHeight="1">
      <c r="A317" s="6">
        <v>315</v>
      </c>
      <c r="B317" s="6" t="str">
        <f>"272820201120161932442"</f>
        <v>272820201120161932442</v>
      </c>
      <c r="C317" s="6" t="s">
        <v>7</v>
      </c>
      <c r="D317" s="6" t="str">
        <f>"丁晓雪"</f>
        <v>丁晓雪</v>
      </c>
      <c r="E317" s="6" t="str">
        <f>"1991-01-24"</f>
        <v>1991-01-24</v>
      </c>
      <c r="F317" s="6"/>
    </row>
    <row r="318" spans="1:6" ht="30" customHeight="1">
      <c r="A318" s="6">
        <v>316</v>
      </c>
      <c r="B318" s="6" t="str">
        <f>"272820201120162027443"</f>
        <v>272820201120162027443</v>
      </c>
      <c r="C318" s="6" t="s">
        <v>7</v>
      </c>
      <c r="D318" s="6" t="str">
        <f>"黎倩"</f>
        <v>黎倩</v>
      </c>
      <c r="E318" s="6" t="str">
        <f>"1996-03-13"</f>
        <v>1996-03-13</v>
      </c>
      <c r="F318" s="6"/>
    </row>
    <row r="319" spans="1:6" ht="30" customHeight="1">
      <c r="A319" s="6">
        <v>317</v>
      </c>
      <c r="B319" s="6" t="str">
        <f>"272820201120162121445"</f>
        <v>272820201120162121445</v>
      </c>
      <c r="C319" s="6" t="s">
        <v>7</v>
      </c>
      <c r="D319" s="6" t="str">
        <f>"谢春苗"</f>
        <v>谢春苗</v>
      </c>
      <c r="E319" s="6" t="str">
        <f>"1993-05-28"</f>
        <v>1993-05-28</v>
      </c>
      <c r="F319" s="6"/>
    </row>
    <row r="320" spans="1:6" ht="30" customHeight="1">
      <c r="A320" s="6">
        <v>318</v>
      </c>
      <c r="B320" s="6" t="str">
        <f>"272820201120162211447"</f>
        <v>272820201120162211447</v>
      </c>
      <c r="C320" s="6" t="s">
        <v>7</v>
      </c>
      <c r="D320" s="6" t="str">
        <f>"曾雪花"</f>
        <v>曾雪花</v>
      </c>
      <c r="E320" s="6" t="str">
        <f>"1998-03-10"</f>
        <v>1998-03-10</v>
      </c>
      <c r="F320" s="6"/>
    </row>
    <row r="321" spans="1:6" ht="30" customHeight="1">
      <c r="A321" s="6">
        <v>319</v>
      </c>
      <c r="B321" s="6" t="str">
        <f>"272820201120162504450"</f>
        <v>272820201120162504450</v>
      </c>
      <c r="C321" s="6" t="s">
        <v>7</v>
      </c>
      <c r="D321" s="6" t="str">
        <f>"符学敏"</f>
        <v>符学敏</v>
      </c>
      <c r="E321" s="6" t="str">
        <f>"1991-04-14"</f>
        <v>1991-04-14</v>
      </c>
      <c r="F321" s="6"/>
    </row>
    <row r="322" spans="1:6" ht="30" customHeight="1">
      <c r="A322" s="6">
        <v>320</v>
      </c>
      <c r="B322" s="6" t="str">
        <f>"272820201120162646451"</f>
        <v>272820201120162646451</v>
      </c>
      <c r="C322" s="6" t="s">
        <v>7</v>
      </c>
      <c r="D322" s="6" t="str">
        <f>"麦玉春"</f>
        <v>麦玉春</v>
      </c>
      <c r="E322" s="6" t="str">
        <f>"1998-04-20"</f>
        <v>1998-04-20</v>
      </c>
      <c r="F322" s="6"/>
    </row>
    <row r="323" spans="1:6" ht="30" customHeight="1">
      <c r="A323" s="6">
        <v>321</v>
      </c>
      <c r="B323" s="6" t="str">
        <f>"272820201120162710452"</f>
        <v>272820201120162710452</v>
      </c>
      <c r="C323" s="6" t="s">
        <v>7</v>
      </c>
      <c r="D323" s="6" t="str">
        <f>"陈辉亮"</f>
        <v>陈辉亮</v>
      </c>
      <c r="E323" s="6" t="str">
        <f>"1997-08-25"</f>
        <v>1997-08-25</v>
      </c>
      <c r="F323" s="6"/>
    </row>
    <row r="324" spans="1:6" ht="30" customHeight="1">
      <c r="A324" s="6">
        <v>322</v>
      </c>
      <c r="B324" s="6" t="str">
        <f>"272820201120163406457"</f>
        <v>272820201120163406457</v>
      </c>
      <c r="C324" s="6" t="s">
        <v>7</v>
      </c>
      <c r="D324" s="6" t="str">
        <f>"吴云"</f>
        <v>吴云</v>
      </c>
      <c r="E324" s="6" t="str">
        <f>"1997-07-07"</f>
        <v>1997-07-07</v>
      </c>
      <c r="F324" s="6"/>
    </row>
    <row r="325" spans="1:6" ht="30" customHeight="1">
      <c r="A325" s="6">
        <v>323</v>
      </c>
      <c r="B325" s="6" t="str">
        <f>"272820201120163623458"</f>
        <v>272820201120163623458</v>
      </c>
      <c r="C325" s="6" t="s">
        <v>7</v>
      </c>
      <c r="D325" s="6" t="str">
        <f>"黎俊艺"</f>
        <v>黎俊艺</v>
      </c>
      <c r="E325" s="6" t="str">
        <f>"1995-06-18"</f>
        <v>1995-06-18</v>
      </c>
      <c r="F325" s="6"/>
    </row>
    <row r="326" spans="1:6" ht="30" customHeight="1">
      <c r="A326" s="6">
        <v>324</v>
      </c>
      <c r="B326" s="6" t="str">
        <f>"272820201120163942459"</f>
        <v>272820201120163942459</v>
      </c>
      <c r="C326" s="6" t="s">
        <v>7</v>
      </c>
      <c r="D326" s="6" t="str">
        <f>"唐玉香"</f>
        <v>唐玉香</v>
      </c>
      <c r="E326" s="6" t="str">
        <f>"1993-10-08"</f>
        <v>1993-10-08</v>
      </c>
      <c r="F326" s="6"/>
    </row>
    <row r="327" spans="1:6" ht="30" customHeight="1">
      <c r="A327" s="6">
        <v>325</v>
      </c>
      <c r="B327" s="6" t="str">
        <f>"272820201120164226460"</f>
        <v>272820201120164226460</v>
      </c>
      <c r="C327" s="6" t="s">
        <v>7</v>
      </c>
      <c r="D327" s="6" t="str">
        <f>"符竣"</f>
        <v>符竣</v>
      </c>
      <c r="E327" s="6" t="str">
        <f>"1997-10-22"</f>
        <v>1997-10-22</v>
      </c>
      <c r="F327" s="6"/>
    </row>
    <row r="328" spans="1:6" ht="30" customHeight="1">
      <c r="A328" s="6">
        <v>326</v>
      </c>
      <c r="B328" s="6" t="str">
        <f>"272820201120164250461"</f>
        <v>272820201120164250461</v>
      </c>
      <c r="C328" s="6" t="s">
        <v>7</v>
      </c>
      <c r="D328" s="6" t="str">
        <f>"王丽娟"</f>
        <v>王丽娟</v>
      </c>
      <c r="E328" s="6" t="str">
        <f>"1990-01-26"</f>
        <v>1990-01-26</v>
      </c>
      <c r="F328" s="6"/>
    </row>
    <row r="329" spans="1:6" ht="30" customHeight="1">
      <c r="A329" s="6">
        <v>327</v>
      </c>
      <c r="B329" s="6" t="str">
        <f>"272820201120164346462"</f>
        <v>272820201120164346462</v>
      </c>
      <c r="C329" s="6" t="s">
        <v>7</v>
      </c>
      <c r="D329" s="6" t="str">
        <f>"陈政桦"</f>
        <v>陈政桦</v>
      </c>
      <c r="E329" s="6" t="str">
        <f>"1999-08-29"</f>
        <v>1999-08-29</v>
      </c>
      <c r="F329" s="6"/>
    </row>
    <row r="330" spans="1:6" ht="30" customHeight="1">
      <c r="A330" s="6">
        <v>328</v>
      </c>
      <c r="B330" s="6" t="str">
        <f>"272820201120164625463"</f>
        <v>272820201120164625463</v>
      </c>
      <c r="C330" s="6" t="s">
        <v>7</v>
      </c>
      <c r="D330" s="6" t="str">
        <f>"刘扬"</f>
        <v>刘扬</v>
      </c>
      <c r="E330" s="6" t="str">
        <f>"1996-07-12"</f>
        <v>1996-07-12</v>
      </c>
      <c r="F330" s="6"/>
    </row>
    <row r="331" spans="1:6" ht="30" customHeight="1">
      <c r="A331" s="6">
        <v>329</v>
      </c>
      <c r="B331" s="6" t="str">
        <f>"272820201120164802465"</f>
        <v>272820201120164802465</v>
      </c>
      <c r="C331" s="6" t="s">
        <v>7</v>
      </c>
      <c r="D331" s="6" t="str">
        <f>"黄浩"</f>
        <v>黄浩</v>
      </c>
      <c r="E331" s="6" t="str">
        <f>"1995-06-27"</f>
        <v>1995-06-27</v>
      </c>
      <c r="F331" s="6"/>
    </row>
    <row r="332" spans="1:6" ht="30" customHeight="1">
      <c r="A332" s="6">
        <v>330</v>
      </c>
      <c r="B332" s="6" t="str">
        <f>"272820201120165016467"</f>
        <v>272820201120165016467</v>
      </c>
      <c r="C332" s="6" t="s">
        <v>7</v>
      </c>
      <c r="D332" s="6" t="str">
        <f>"刘婷"</f>
        <v>刘婷</v>
      </c>
      <c r="E332" s="6" t="str">
        <f>"1998-02-25"</f>
        <v>1998-02-25</v>
      </c>
      <c r="F332" s="6"/>
    </row>
    <row r="333" spans="1:6" ht="30" customHeight="1">
      <c r="A333" s="6">
        <v>331</v>
      </c>
      <c r="B333" s="6" t="str">
        <f>"272820201120165103468"</f>
        <v>272820201120165103468</v>
      </c>
      <c r="C333" s="6" t="s">
        <v>7</v>
      </c>
      <c r="D333" s="6" t="str">
        <f>"周嘉琪"</f>
        <v>周嘉琪</v>
      </c>
      <c r="E333" s="6" t="str">
        <f>"1995-09-15"</f>
        <v>1995-09-15</v>
      </c>
      <c r="F333" s="6"/>
    </row>
    <row r="334" spans="1:6" ht="30" customHeight="1">
      <c r="A334" s="6">
        <v>332</v>
      </c>
      <c r="B334" s="6" t="str">
        <f>"272820201120165816470"</f>
        <v>272820201120165816470</v>
      </c>
      <c r="C334" s="6" t="s">
        <v>7</v>
      </c>
      <c r="D334" s="6" t="str">
        <f>"董丽克"</f>
        <v>董丽克</v>
      </c>
      <c r="E334" s="6" t="str">
        <f>"1998-08-17"</f>
        <v>1998-08-17</v>
      </c>
      <c r="F334" s="6"/>
    </row>
    <row r="335" spans="1:6" ht="30" customHeight="1">
      <c r="A335" s="6">
        <v>333</v>
      </c>
      <c r="B335" s="6" t="str">
        <f>"272820201120165942471"</f>
        <v>272820201120165942471</v>
      </c>
      <c r="C335" s="6" t="s">
        <v>7</v>
      </c>
      <c r="D335" s="6" t="str">
        <f>"何佳叙"</f>
        <v>何佳叙</v>
      </c>
      <c r="E335" s="6" t="str">
        <f>"1990-12-13"</f>
        <v>1990-12-13</v>
      </c>
      <c r="F335" s="6"/>
    </row>
    <row r="336" spans="1:6" ht="30" customHeight="1">
      <c r="A336" s="6">
        <v>334</v>
      </c>
      <c r="B336" s="6" t="str">
        <f>"272820201120170619472"</f>
        <v>272820201120170619472</v>
      </c>
      <c r="C336" s="6" t="s">
        <v>7</v>
      </c>
      <c r="D336" s="6" t="str">
        <f>"刘运斌"</f>
        <v>刘运斌</v>
      </c>
      <c r="E336" s="6" t="str">
        <f>"1991-01-04"</f>
        <v>1991-01-04</v>
      </c>
      <c r="F336" s="6"/>
    </row>
    <row r="337" spans="1:6" ht="30" customHeight="1">
      <c r="A337" s="6">
        <v>335</v>
      </c>
      <c r="B337" s="6" t="str">
        <f>"272820201120170645473"</f>
        <v>272820201120170645473</v>
      </c>
      <c r="C337" s="6" t="s">
        <v>7</v>
      </c>
      <c r="D337" s="6" t="str">
        <f>"符俊铭"</f>
        <v>符俊铭</v>
      </c>
      <c r="E337" s="6" t="str">
        <f>"1996-08-01"</f>
        <v>1996-08-01</v>
      </c>
      <c r="F337" s="6"/>
    </row>
    <row r="338" spans="1:6" ht="30" customHeight="1">
      <c r="A338" s="6">
        <v>336</v>
      </c>
      <c r="B338" s="6" t="str">
        <f>"272820201120170815474"</f>
        <v>272820201120170815474</v>
      </c>
      <c r="C338" s="6" t="s">
        <v>7</v>
      </c>
      <c r="D338" s="6" t="str">
        <f>"吴玉姑"</f>
        <v>吴玉姑</v>
      </c>
      <c r="E338" s="6" t="str">
        <f>"1995-07-23"</f>
        <v>1995-07-23</v>
      </c>
      <c r="F338" s="6"/>
    </row>
    <row r="339" spans="1:6" ht="30" customHeight="1">
      <c r="A339" s="6">
        <v>337</v>
      </c>
      <c r="B339" s="6" t="str">
        <f>"272820201120170818475"</f>
        <v>272820201120170818475</v>
      </c>
      <c r="C339" s="6" t="s">
        <v>7</v>
      </c>
      <c r="D339" s="6" t="str">
        <f>"万姗姗"</f>
        <v>万姗姗</v>
      </c>
      <c r="E339" s="6" t="str">
        <f>"1991-08-28"</f>
        <v>1991-08-28</v>
      </c>
      <c r="F339" s="6"/>
    </row>
    <row r="340" spans="1:6" ht="30" customHeight="1">
      <c r="A340" s="6">
        <v>338</v>
      </c>
      <c r="B340" s="6" t="str">
        <f>"272820201120170902476"</f>
        <v>272820201120170902476</v>
      </c>
      <c r="C340" s="6" t="s">
        <v>7</v>
      </c>
      <c r="D340" s="6" t="str">
        <f>"符理顺"</f>
        <v>符理顺</v>
      </c>
      <c r="E340" s="6" t="str">
        <f>"1996-06-15"</f>
        <v>1996-06-15</v>
      </c>
      <c r="F340" s="6"/>
    </row>
    <row r="341" spans="1:6" ht="30" customHeight="1">
      <c r="A341" s="6">
        <v>339</v>
      </c>
      <c r="B341" s="6" t="str">
        <f>"272820201120170927477"</f>
        <v>272820201120170927477</v>
      </c>
      <c r="C341" s="6" t="s">
        <v>7</v>
      </c>
      <c r="D341" s="6" t="str">
        <f>"符月贞"</f>
        <v>符月贞</v>
      </c>
      <c r="E341" s="6" t="str">
        <f>"1996-10-16"</f>
        <v>1996-10-16</v>
      </c>
      <c r="F341" s="6"/>
    </row>
    <row r="342" spans="1:6" ht="30" customHeight="1">
      <c r="A342" s="6">
        <v>340</v>
      </c>
      <c r="B342" s="6" t="str">
        <f>"272820201120171139481"</f>
        <v>272820201120171139481</v>
      </c>
      <c r="C342" s="6" t="s">
        <v>7</v>
      </c>
      <c r="D342" s="6" t="str">
        <f>"黄月婷"</f>
        <v>黄月婷</v>
      </c>
      <c r="E342" s="6" t="str">
        <f>"1996-10-14"</f>
        <v>1996-10-14</v>
      </c>
      <c r="F342" s="6"/>
    </row>
    <row r="343" spans="1:6" ht="30" customHeight="1">
      <c r="A343" s="6">
        <v>341</v>
      </c>
      <c r="B343" s="6" t="str">
        <f>"272820201120171623483"</f>
        <v>272820201120171623483</v>
      </c>
      <c r="C343" s="6" t="s">
        <v>7</v>
      </c>
      <c r="D343" s="6" t="str">
        <f>"文承昭"</f>
        <v>文承昭</v>
      </c>
      <c r="E343" s="6" t="str">
        <f>"1991-09-20"</f>
        <v>1991-09-20</v>
      </c>
      <c r="F343" s="6"/>
    </row>
    <row r="344" spans="1:6" ht="30" customHeight="1">
      <c r="A344" s="6">
        <v>342</v>
      </c>
      <c r="B344" s="6" t="str">
        <f>"272820201120172108484"</f>
        <v>272820201120172108484</v>
      </c>
      <c r="C344" s="6" t="s">
        <v>7</v>
      </c>
      <c r="D344" s="6" t="str">
        <f>"夏璠"</f>
        <v>夏璠</v>
      </c>
      <c r="E344" s="6" t="str">
        <f>"1994-01-24"</f>
        <v>1994-01-24</v>
      </c>
      <c r="F344" s="6"/>
    </row>
    <row r="345" spans="1:6" ht="30" customHeight="1">
      <c r="A345" s="6">
        <v>343</v>
      </c>
      <c r="B345" s="6" t="str">
        <f>"272820201120172325485"</f>
        <v>272820201120172325485</v>
      </c>
      <c r="C345" s="6" t="s">
        <v>7</v>
      </c>
      <c r="D345" s="6" t="str">
        <f>"邢增笔"</f>
        <v>邢增笔</v>
      </c>
      <c r="E345" s="6" t="str">
        <f>"1995-04-25"</f>
        <v>1995-04-25</v>
      </c>
      <c r="F345" s="6"/>
    </row>
    <row r="346" spans="1:6" ht="30" customHeight="1">
      <c r="A346" s="6">
        <v>344</v>
      </c>
      <c r="B346" s="6" t="str">
        <f>"272820201120172537486"</f>
        <v>272820201120172537486</v>
      </c>
      <c r="C346" s="6" t="s">
        <v>7</v>
      </c>
      <c r="D346" s="6" t="str">
        <f>"王振穗"</f>
        <v>王振穗</v>
      </c>
      <c r="E346" s="6" t="str">
        <f>"1992-12-10"</f>
        <v>1992-12-10</v>
      </c>
      <c r="F346" s="6"/>
    </row>
    <row r="347" spans="1:6" ht="30" customHeight="1">
      <c r="A347" s="6">
        <v>345</v>
      </c>
      <c r="B347" s="6" t="str">
        <f>"272820201120172637487"</f>
        <v>272820201120172637487</v>
      </c>
      <c r="C347" s="6" t="s">
        <v>7</v>
      </c>
      <c r="D347" s="6" t="str">
        <f>"卢丽娇"</f>
        <v>卢丽娇</v>
      </c>
      <c r="E347" s="6" t="str">
        <f>"1991-03-01"</f>
        <v>1991-03-01</v>
      </c>
      <c r="F347" s="6"/>
    </row>
    <row r="348" spans="1:6" ht="30" customHeight="1">
      <c r="A348" s="6">
        <v>346</v>
      </c>
      <c r="B348" s="6" t="str">
        <f>"272820201120172709489"</f>
        <v>272820201120172709489</v>
      </c>
      <c r="C348" s="6" t="s">
        <v>7</v>
      </c>
      <c r="D348" s="6" t="str">
        <f>"晏飞翔"</f>
        <v>晏飞翔</v>
      </c>
      <c r="E348" s="6" t="str">
        <f>"1997-07-30"</f>
        <v>1997-07-30</v>
      </c>
      <c r="F348" s="6"/>
    </row>
    <row r="349" spans="1:6" ht="30" customHeight="1">
      <c r="A349" s="6">
        <v>347</v>
      </c>
      <c r="B349" s="6" t="str">
        <f>"272820201120173130492"</f>
        <v>272820201120173130492</v>
      </c>
      <c r="C349" s="6" t="s">
        <v>7</v>
      </c>
      <c r="D349" s="6" t="str">
        <f>"李开平"</f>
        <v>李开平</v>
      </c>
      <c r="E349" s="6" t="str">
        <f>"1995-06-20"</f>
        <v>1995-06-20</v>
      </c>
      <c r="F349" s="6"/>
    </row>
    <row r="350" spans="1:6" ht="30" customHeight="1">
      <c r="A350" s="6">
        <v>348</v>
      </c>
      <c r="B350" s="6" t="str">
        <f>"272820201120173345495"</f>
        <v>272820201120173345495</v>
      </c>
      <c r="C350" s="6" t="s">
        <v>7</v>
      </c>
      <c r="D350" s="6" t="str">
        <f>"刘秋丽"</f>
        <v>刘秋丽</v>
      </c>
      <c r="E350" s="6" t="str">
        <f>"1997-10-11"</f>
        <v>1997-10-11</v>
      </c>
      <c r="F350" s="6"/>
    </row>
    <row r="351" spans="1:6" ht="30" customHeight="1">
      <c r="A351" s="6">
        <v>349</v>
      </c>
      <c r="B351" s="6" t="str">
        <f>"272820201120173418497"</f>
        <v>272820201120173418497</v>
      </c>
      <c r="C351" s="6" t="s">
        <v>7</v>
      </c>
      <c r="D351" s="6" t="str">
        <f>"林斌"</f>
        <v>林斌</v>
      </c>
      <c r="E351" s="6" t="str">
        <f>"1989-12-28"</f>
        <v>1989-12-28</v>
      </c>
      <c r="F351" s="6"/>
    </row>
    <row r="352" spans="1:6" ht="30" customHeight="1">
      <c r="A352" s="6">
        <v>350</v>
      </c>
      <c r="B352" s="6" t="str">
        <f>"272820201120173518498"</f>
        <v>272820201120173518498</v>
      </c>
      <c r="C352" s="6" t="s">
        <v>7</v>
      </c>
      <c r="D352" s="6" t="str">
        <f>"陈其猛"</f>
        <v>陈其猛</v>
      </c>
      <c r="E352" s="6" t="str">
        <f>"1996-09-09"</f>
        <v>1996-09-09</v>
      </c>
      <c r="F352" s="6"/>
    </row>
    <row r="353" spans="1:6" ht="30" customHeight="1">
      <c r="A353" s="6">
        <v>351</v>
      </c>
      <c r="B353" s="6" t="str">
        <f>"272820201120173731499"</f>
        <v>272820201120173731499</v>
      </c>
      <c r="C353" s="6" t="s">
        <v>7</v>
      </c>
      <c r="D353" s="6" t="str">
        <f>"陈珍兆"</f>
        <v>陈珍兆</v>
      </c>
      <c r="E353" s="6" t="str">
        <f>"1997-05-31"</f>
        <v>1997-05-31</v>
      </c>
      <c r="F353" s="6"/>
    </row>
    <row r="354" spans="1:6" ht="30" customHeight="1">
      <c r="A354" s="6">
        <v>352</v>
      </c>
      <c r="B354" s="6" t="str">
        <f>"272820201120173827500"</f>
        <v>272820201120173827500</v>
      </c>
      <c r="C354" s="6" t="s">
        <v>7</v>
      </c>
      <c r="D354" s="6" t="str">
        <f>"黄泽岛"</f>
        <v>黄泽岛</v>
      </c>
      <c r="E354" s="6" t="str">
        <f>"1994-06-30"</f>
        <v>1994-06-30</v>
      </c>
      <c r="F354" s="6"/>
    </row>
    <row r="355" spans="1:6" ht="30" customHeight="1">
      <c r="A355" s="6">
        <v>353</v>
      </c>
      <c r="B355" s="6" t="str">
        <f>"272820201120174225501"</f>
        <v>272820201120174225501</v>
      </c>
      <c r="C355" s="6" t="s">
        <v>7</v>
      </c>
      <c r="D355" s="6" t="str">
        <f>"吉才蜜"</f>
        <v>吉才蜜</v>
      </c>
      <c r="E355" s="6" t="str">
        <f>"1993-07-14"</f>
        <v>1993-07-14</v>
      </c>
      <c r="F355" s="6"/>
    </row>
    <row r="356" spans="1:6" ht="30" customHeight="1">
      <c r="A356" s="6">
        <v>354</v>
      </c>
      <c r="B356" s="6" t="str">
        <f>"272820201120174347502"</f>
        <v>272820201120174347502</v>
      </c>
      <c r="C356" s="6" t="s">
        <v>7</v>
      </c>
      <c r="D356" s="6" t="str">
        <f>"符梦雯"</f>
        <v>符梦雯</v>
      </c>
      <c r="E356" s="6" t="str">
        <f>"1997-11-10"</f>
        <v>1997-11-10</v>
      </c>
      <c r="F356" s="6"/>
    </row>
    <row r="357" spans="1:6" ht="30" customHeight="1">
      <c r="A357" s="6">
        <v>355</v>
      </c>
      <c r="B357" s="6" t="str">
        <f>"272820201120174937504"</f>
        <v>272820201120174937504</v>
      </c>
      <c r="C357" s="6" t="s">
        <v>7</v>
      </c>
      <c r="D357" s="6" t="str">
        <f>"陈理优"</f>
        <v>陈理优</v>
      </c>
      <c r="E357" s="6" t="str">
        <f>"1994-12-11"</f>
        <v>1994-12-11</v>
      </c>
      <c r="F357" s="6"/>
    </row>
    <row r="358" spans="1:6" ht="30" customHeight="1">
      <c r="A358" s="6">
        <v>356</v>
      </c>
      <c r="B358" s="6" t="str">
        <f>"272820201120175104505"</f>
        <v>272820201120175104505</v>
      </c>
      <c r="C358" s="6" t="s">
        <v>7</v>
      </c>
      <c r="D358" s="6" t="str">
        <f>"符亚凤"</f>
        <v>符亚凤</v>
      </c>
      <c r="E358" s="6" t="str">
        <f>"1996-06-16"</f>
        <v>1996-06-16</v>
      </c>
      <c r="F358" s="6"/>
    </row>
    <row r="359" spans="1:6" ht="30" customHeight="1">
      <c r="A359" s="6">
        <v>357</v>
      </c>
      <c r="B359" s="6" t="str">
        <f>"272820201120175130506"</f>
        <v>272820201120175130506</v>
      </c>
      <c r="C359" s="6" t="s">
        <v>7</v>
      </c>
      <c r="D359" s="6" t="str">
        <f>"吴玉兴"</f>
        <v>吴玉兴</v>
      </c>
      <c r="E359" s="6" t="str">
        <f>"1993-03-18"</f>
        <v>1993-03-18</v>
      </c>
      <c r="F359" s="6"/>
    </row>
    <row r="360" spans="1:6" ht="30" customHeight="1">
      <c r="A360" s="6">
        <v>358</v>
      </c>
      <c r="B360" s="6" t="str">
        <f>"272820201120175145509"</f>
        <v>272820201120175145509</v>
      </c>
      <c r="C360" s="6" t="s">
        <v>7</v>
      </c>
      <c r="D360" s="6" t="str">
        <f>"谢康完"</f>
        <v>谢康完</v>
      </c>
      <c r="E360" s="6" t="str">
        <f>"1995-05-15"</f>
        <v>1995-05-15</v>
      </c>
      <c r="F360" s="6"/>
    </row>
    <row r="361" spans="1:6" ht="30" customHeight="1">
      <c r="A361" s="6">
        <v>359</v>
      </c>
      <c r="B361" s="6" t="str">
        <f>"272820201120175300510"</f>
        <v>272820201120175300510</v>
      </c>
      <c r="C361" s="6" t="s">
        <v>7</v>
      </c>
      <c r="D361" s="6" t="str">
        <f>"周洁"</f>
        <v>周洁</v>
      </c>
      <c r="E361" s="6" t="str">
        <f>"1995-03-04"</f>
        <v>1995-03-04</v>
      </c>
      <c r="F361" s="6"/>
    </row>
    <row r="362" spans="1:6" ht="30" customHeight="1">
      <c r="A362" s="6">
        <v>360</v>
      </c>
      <c r="B362" s="6" t="str">
        <f>"272820201120175306511"</f>
        <v>272820201120175306511</v>
      </c>
      <c r="C362" s="6" t="s">
        <v>7</v>
      </c>
      <c r="D362" s="6" t="str">
        <f>"吴碧香"</f>
        <v>吴碧香</v>
      </c>
      <c r="E362" s="6" t="str">
        <f>"1995-09-11"</f>
        <v>1995-09-11</v>
      </c>
      <c r="F362" s="6"/>
    </row>
    <row r="363" spans="1:6" ht="30" customHeight="1">
      <c r="A363" s="6">
        <v>361</v>
      </c>
      <c r="B363" s="6" t="str">
        <f>"272820201120175619512"</f>
        <v>272820201120175619512</v>
      </c>
      <c r="C363" s="6" t="s">
        <v>7</v>
      </c>
      <c r="D363" s="6" t="str">
        <f>"郑童少"</f>
        <v>郑童少</v>
      </c>
      <c r="E363" s="6" t="str">
        <f>"1996-03-18"</f>
        <v>1996-03-18</v>
      </c>
      <c r="F363" s="6"/>
    </row>
    <row r="364" spans="1:6" ht="30" customHeight="1">
      <c r="A364" s="6">
        <v>362</v>
      </c>
      <c r="B364" s="6" t="str">
        <f>"272820201120175738513"</f>
        <v>272820201120175738513</v>
      </c>
      <c r="C364" s="6" t="s">
        <v>7</v>
      </c>
      <c r="D364" s="6" t="str">
        <f>"史宏喜"</f>
        <v>史宏喜</v>
      </c>
      <c r="E364" s="6" t="str">
        <f>"1997-07-12"</f>
        <v>1997-07-12</v>
      </c>
      <c r="F364" s="6"/>
    </row>
    <row r="365" spans="1:6" ht="30" customHeight="1">
      <c r="A365" s="6">
        <v>363</v>
      </c>
      <c r="B365" s="6" t="str">
        <f>"272820201120175825514"</f>
        <v>272820201120175825514</v>
      </c>
      <c r="C365" s="6" t="s">
        <v>7</v>
      </c>
      <c r="D365" s="6" t="str">
        <f>"黄向微"</f>
        <v>黄向微</v>
      </c>
      <c r="E365" s="6" t="str">
        <f>"1989-08-01"</f>
        <v>1989-08-01</v>
      </c>
      <c r="F365" s="6"/>
    </row>
    <row r="366" spans="1:6" ht="30" customHeight="1">
      <c r="A366" s="6">
        <v>364</v>
      </c>
      <c r="B366" s="6" t="str">
        <f>"272820201120180734516"</f>
        <v>272820201120180734516</v>
      </c>
      <c r="C366" s="6" t="s">
        <v>7</v>
      </c>
      <c r="D366" s="6" t="str">
        <f>"吴艳"</f>
        <v>吴艳</v>
      </c>
      <c r="E366" s="6" t="str">
        <f>"1997-09-21"</f>
        <v>1997-09-21</v>
      </c>
      <c r="F366" s="6"/>
    </row>
    <row r="367" spans="1:6" ht="30" customHeight="1">
      <c r="A367" s="6">
        <v>365</v>
      </c>
      <c r="B367" s="6" t="str">
        <f>"272820201120180916517"</f>
        <v>272820201120180916517</v>
      </c>
      <c r="C367" s="6" t="s">
        <v>7</v>
      </c>
      <c r="D367" s="6" t="str">
        <f>"曹文聪"</f>
        <v>曹文聪</v>
      </c>
      <c r="E367" s="6" t="str">
        <f>"1994-05-30"</f>
        <v>1994-05-30</v>
      </c>
      <c r="F367" s="6"/>
    </row>
    <row r="368" spans="1:6" ht="30" customHeight="1">
      <c r="A368" s="6">
        <v>366</v>
      </c>
      <c r="B368" s="6" t="str">
        <f>"272820201120181128519"</f>
        <v>272820201120181128519</v>
      </c>
      <c r="C368" s="6" t="s">
        <v>7</v>
      </c>
      <c r="D368" s="6" t="str">
        <f>"温思怡"</f>
        <v>温思怡</v>
      </c>
      <c r="E368" s="6" t="str">
        <f>"1993-04-10"</f>
        <v>1993-04-10</v>
      </c>
      <c r="F368" s="6"/>
    </row>
    <row r="369" spans="1:6" ht="30" customHeight="1">
      <c r="A369" s="6">
        <v>367</v>
      </c>
      <c r="B369" s="6" t="str">
        <f>"272820201120181552520"</f>
        <v>272820201120181552520</v>
      </c>
      <c r="C369" s="6" t="s">
        <v>7</v>
      </c>
      <c r="D369" s="6" t="str">
        <f>"李进鑫"</f>
        <v>李进鑫</v>
      </c>
      <c r="E369" s="6" t="str">
        <f>"1997-12-25"</f>
        <v>1997-12-25</v>
      </c>
      <c r="F369" s="6"/>
    </row>
    <row r="370" spans="1:6" ht="30" customHeight="1">
      <c r="A370" s="6">
        <v>368</v>
      </c>
      <c r="B370" s="6" t="str">
        <f>"272820201120181612521"</f>
        <v>272820201120181612521</v>
      </c>
      <c r="C370" s="6" t="s">
        <v>7</v>
      </c>
      <c r="D370" s="6" t="str">
        <f>"苏丽"</f>
        <v>苏丽</v>
      </c>
      <c r="E370" s="6" t="str">
        <f>"1997-09-16"</f>
        <v>1997-09-16</v>
      </c>
      <c r="F370" s="6"/>
    </row>
    <row r="371" spans="1:6" ht="30" customHeight="1">
      <c r="A371" s="6">
        <v>369</v>
      </c>
      <c r="B371" s="6" t="str">
        <f>"272820201120182017522"</f>
        <v>272820201120182017522</v>
      </c>
      <c r="C371" s="6" t="s">
        <v>7</v>
      </c>
      <c r="D371" s="6" t="str">
        <f>"王诗琪"</f>
        <v>王诗琪</v>
      </c>
      <c r="E371" s="6" t="str">
        <f>"1996-01-25"</f>
        <v>1996-01-25</v>
      </c>
      <c r="F371" s="6"/>
    </row>
    <row r="372" spans="1:6" ht="30" customHeight="1">
      <c r="A372" s="6">
        <v>370</v>
      </c>
      <c r="B372" s="6" t="str">
        <f>"272820201120182603524"</f>
        <v>272820201120182603524</v>
      </c>
      <c r="C372" s="6" t="s">
        <v>7</v>
      </c>
      <c r="D372" s="6" t="str">
        <f>"韦俊甲"</f>
        <v>韦俊甲</v>
      </c>
      <c r="E372" s="6" t="str">
        <f>"1996-08-29"</f>
        <v>1996-08-29</v>
      </c>
      <c r="F372" s="6"/>
    </row>
    <row r="373" spans="1:6" ht="30" customHeight="1">
      <c r="A373" s="6">
        <v>371</v>
      </c>
      <c r="B373" s="6" t="str">
        <f>"272820201120182646525"</f>
        <v>272820201120182646525</v>
      </c>
      <c r="C373" s="6" t="s">
        <v>7</v>
      </c>
      <c r="D373" s="6" t="str">
        <f>"张恒嘉"</f>
        <v>张恒嘉</v>
      </c>
      <c r="E373" s="6" t="str">
        <f>"1998-12-01"</f>
        <v>1998-12-01</v>
      </c>
      <c r="F373" s="6"/>
    </row>
    <row r="374" spans="1:6" ht="30" customHeight="1">
      <c r="A374" s="6">
        <v>372</v>
      </c>
      <c r="B374" s="6" t="str">
        <f>"272820201120182830526"</f>
        <v>272820201120182830526</v>
      </c>
      <c r="C374" s="6" t="s">
        <v>7</v>
      </c>
      <c r="D374" s="6" t="str">
        <f>"张少妹"</f>
        <v>张少妹</v>
      </c>
      <c r="E374" s="6" t="str">
        <f>"1990-07-06"</f>
        <v>1990-07-06</v>
      </c>
      <c r="F374" s="6"/>
    </row>
    <row r="375" spans="1:6" ht="30" customHeight="1">
      <c r="A375" s="6">
        <v>373</v>
      </c>
      <c r="B375" s="6" t="str">
        <f>"272820201120183029527"</f>
        <v>272820201120183029527</v>
      </c>
      <c r="C375" s="6" t="s">
        <v>7</v>
      </c>
      <c r="D375" s="6" t="str">
        <f>"林建钱"</f>
        <v>林建钱</v>
      </c>
      <c r="E375" s="6" t="str">
        <f>"1996-05-08"</f>
        <v>1996-05-08</v>
      </c>
      <c r="F375" s="6"/>
    </row>
    <row r="376" spans="1:6" ht="30" customHeight="1">
      <c r="A376" s="6">
        <v>374</v>
      </c>
      <c r="B376" s="6" t="str">
        <f>"272820201120183935530"</f>
        <v>272820201120183935530</v>
      </c>
      <c r="C376" s="6" t="s">
        <v>7</v>
      </c>
      <c r="D376" s="6" t="str">
        <f>"王芳"</f>
        <v>王芳</v>
      </c>
      <c r="E376" s="6" t="str">
        <f>"1997-09-18"</f>
        <v>1997-09-18</v>
      </c>
      <c r="F376" s="6"/>
    </row>
    <row r="377" spans="1:6" ht="30" customHeight="1">
      <c r="A377" s="6">
        <v>375</v>
      </c>
      <c r="B377" s="6" t="str">
        <f>"272820201120184107531"</f>
        <v>272820201120184107531</v>
      </c>
      <c r="C377" s="6" t="s">
        <v>7</v>
      </c>
      <c r="D377" s="6" t="str">
        <f>"符少瑶"</f>
        <v>符少瑶</v>
      </c>
      <c r="E377" s="6" t="str">
        <f>"1996-02-01"</f>
        <v>1996-02-01</v>
      </c>
      <c r="F377" s="6"/>
    </row>
    <row r="378" spans="1:6" ht="30" customHeight="1">
      <c r="A378" s="6">
        <v>376</v>
      </c>
      <c r="B378" s="6" t="str">
        <f>"272820201120184454532"</f>
        <v>272820201120184454532</v>
      </c>
      <c r="C378" s="6" t="s">
        <v>7</v>
      </c>
      <c r="D378" s="6" t="str">
        <f>"黄智"</f>
        <v>黄智</v>
      </c>
      <c r="E378" s="6" t="str">
        <f>"1992-03-04"</f>
        <v>1992-03-04</v>
      </c>
      <c r="F378" s="6"/>
    </row>
    <row r="379" spans="1:6" ht="30" customHeight="1">
      <c r="A379" s="6">
        <v>377</v>
      </c>
      <c r="B379" s="6" t="str">
        <f>"272820201120184610533"</f>
        <v>272820201120184610533</v>
      </c>
      <c r="C379" s="6" t="s">
        <v>7</v>
      </c>
      <c r="D379" s="6" t="str">
        <f>"黄相广"</f>
        <v>黄相广</v>
      </c>
      <c r="E379" s="6" t="str">
        <f>"1993-06-19"</f>
        <v>1993-06-19</v>
      </c>
      <c r="F379" s="6"/>
    </row>
    <row r="380" spans="1:6" ht="30" customHeight="1">
      <c r="A380" s="6">
        <v>378</v>
      </c>
      <c r="B380" s="6" t="str">
        <f>"272820201120185606536"</f>
        <v>272820201120185606536</v>
      </c>
      <c r="C380" s="6" t="s">
        <v>7</v>
      </c>
      <c r="D380" s="6" t="str">
        <f>"王德琦"</f>
        <v>王德琦</v>
      </c>
      <c r="E380" s="6" t="str">
        <f>"1990-03-03"</f>
        <v>1990-03-03</v>
      </c>
      <c r="F380" s="6"/>
    </row>
    <row r="381" spans="1:6" ht="30" customHeight="1">
      <c r="A381" s="6">
        <v>379</v>
      </c>
      <c r="B381" s="6" t="str">
        <f>"272820201120190145538"</f>
        <v>272820201120190145538</v>
      </c>
      <c r="C381" s="6" t="s">
        <v>7</v>
      </c>
      <c r="D381" s="6" t="str">
        <f>"陈怡雄"</f>
        <v>陈怡雄</v>
      </c>
      <c r="E381" s="6" t="str">
        <f>"1996-04-15"</f>
        <v>1996-04-15</v>
      </c>
      <c r="F381" s="6"/>
    </row>
    <row r="382" spans="1:6" ht="30" customHeight="1">
      <c r="A382" s="6">
        <v>380</v>
      </c>
      <c r="B382" s="6" t="str">
        <f>"272820201120190213539"</f>
        <v>272820201120190213539</v>
      </c>
      <c r="C382" s="6" t="s">
        <v>7</v>
      </c>
      <c r="D382" s="6" t="str">
        <f>"周妹娟"</f>
        <v>周妹娟</v>
      </c>
      <c r="E382" s="6" t="str">
        <f>"1988-10-27"</f>
        <v>1988-10-27</v>
      </c>
      <c r="F382" s="6"/>
    </row>
    <row r="383" spans="1:6" ht="30" customHeight="1">
      <c r="A383" s="6">
        <v>381</v>
      </c>
      <c r="B383" s="6" t="str">
        <f>"272820201120190506540"</f>
        <v>272820201120190506540</v>
      </c>
      <c r="C383" s="6" t="s">
        <v>7</v>
      </c>
      <c r="D383" s="6" t="str">
        <f>"陈时应"</f>
        <v>陈时应</v>
      </c>
      <c r="E383" s="6" t="str">
        <f>"1996-12-05"</f>
        <v>1996-12-05</v>
      </c>
      <c r="F383" s="6"/>
    </row>
    <row r="384" spans="1:6" ht="30" customHeight="1">
      <c r="A384" s="6">
        <v>382</v>
      </c>
      <c r="B384" s="6" t="str">
        <f>"272820201120191129541"</f>
        <v>272820201120191129541</v>
      </c>
      <c r="C384" s="6" t="s">
        <v>7</v>
      </c>
      <c r="D384" s="6" t="str">
        <f>"王旻"</f>
        <v>王旻</v>
      </c>
      <c r="E384" s="6" t="str">
        <f>"1987-09-30"</f>
        <v>1987-09-30</v>
      </c>
      <c r="F384" s="6"/>
    </row>
    <row r="385" spans="1:6" ht="30" customHeight="1">
      <c r="A385" s="6">
        <v>383</v>
      </c>
      <c r="B385" s="6" t="str">
        <f>"272820201120191539543"</f>
        <v>272820201120191539543</v>
      </c>
      <c r="C385" s="6" t="s">
        <v>7</v>
      </c>
      <c r="D385" s="6" t="str">
        <f>"黄景峰"</f>
        <v>黄景峰</v>
      </c>
      <c r="E385" s="6" t="str">
        <f>"1997-03-06"</f>
        <v>1997-03-06</v>
      </c>
      <c r="F385" s="6"/>
    </row>
    <row r="386" spans="1:6" ht="30" customHeight="1">
      <c r="A386" s="6">
        <v>384</v>
      </c>
      <c r="B386" s="6" t="str">
        <f>"272820201120191553544"</f>
        <v>272820201120191553544</v>
      </c>
      <c r="C386" s="6" t="s">
        <v>7</v>
      </c>
      <c r="D386" s="6" t="str">
        <f>"郑庆程"</f>
        <v>郑庆程</v>
      </c>
      <c r="E386" s="6" t="str">
        <f>"1993-05-03"</f>
        <v>1993-05-03</v>
      </c>
      <c r="F386" s="6"/>
    </row>
    <row r="387" spans="1:6" ht="30" customHeight="1">
      <c r="A387" s="6">
        <v>385</v>
      </c>
      <c r="B387" s="6" t="str">
        <f>"272820201120192310545"</f>
        <v>272820201120192310545</v>
      </c>
      <c r="C387" s="6" t="s">
        <v>7</v>
      </c>
      <c r="D387" s="6" t="str">
        <f>"王振东"</f>
        <v>王振东</v>
      </c>
      <c r="E387" s="6" t="str">
        <f>"1995-03-19"</f>
        <v>1995-03-19</v>
      </c>
      <c r="F387" s="6"/>
    </row>
    <row r="388" spans="1:6" ht="30" customHeight="1">
      <c r="A388" s="6">
        <v>386</v>
      </c>
      <c r="B388" s="6" t="str">
        <f>"272820201120192453546"</f>
        <v>272820201120192453546</v>
      </c>
      <c r="C388" s="6" t="s">
        <v>7</v>
      </c>
      <c r="D388" s="6" t="str">
        <f>"唐伟峻"</f>
        <v>唐伟峻</v>
      </c>
      <c r="E388" s="6" t="str">
        <f>"1995-10-05"</f>
        <v>1995-10-05</v>
      </c>
      <c r="F388" s="6"/>
    </row>
    <row r="389" spans="1:6" ht="30" customHeight="1">
      <c r="A389" s="6">
        <v>387</v>
      </c>
      <c r="B389" s="6" t="str">
        <f>"272820201120192458547"</f>
        <v>272820201120192458547</v>
      </c>
      <c r="C389" s="6" t="s">
        <v>7</v>
      </c>
      <c r="D389" s="6" t="str">
        <f>"潘孝皇"</f>
        <v>潘孝皇</v>
      </c>
      <c r="E389" s="6" t="str">
        <f>"1998-04-04"</f>
        <v>1998-04-04</v>
      </c>
      <c r="F389" s="6"/>
    </row>
    <row r="390" spans="1:6" ht="30" customHeight="1">
      <c r="A390" s="6">
        <v>388</v>
      </c>
      <c r="B390" s="6" t="str">
        <f>"272820201120192644548"</f>
        <v>272820201120192644548</v>
      </c>
      <c r="C390" s="6" t="s">
        <v>7</v>
      </c>
      <c r="D390" s="6" t="str">
        <f>"黎苏丹"</f>
        <v>黎苏丹</v>
      </c>
      <c r="E390" s="6" t="str">
        <f>"1991-06-19"</f>
        <v>1991-06-19</v>
      </c>
      <c r="F390" s="6"/>
    </row>
    <row r="391" spans="1:6" ht="30" customHeight="1">
      <c r="A391" s="6">
        <v>389</v>
      </c>
      <c r="B391" s="6" t="str">
        <f>"272820201120192651549"</f>
        <v>272820201120192651549</v>
      </c>
      <c r="C391" s="6" t="s">
        <v>7</v>
      </c>
      <c r="D391" s="6" t="str">
        <f>"陈甜甜"</f>
        <v>陈甜甜</v>
      </c>
      <c r="E391" s="6" t="str">
        <f>"1998-10-31"</f>
        <v>1998-10-31</v>
      </c>
      <c r="F391" s="6"/>
    </row>
    <row r="392" spans="1:6" ht="30" customHeight="1">
      <c r="A392" s="6">
        <v>390</v>
      </c>
      <c r="B392" s="6" t="str">
        <f>"272820201120192841550"</f>
        <v>272820201120192841550</v>
      </c>
      <c r="C392" s="6" t="s">
        <v>7</v>
      </c>
      <c r="D392" s="6" t="str">
        <f>"晋晓峰"</f>
        <v>晋晓峰</v>
      </c>
      <c r="E392" s="6" t="str">
        <f>"1996-06-04"</f>
        <v>1996-06-04</v>
      </c>
      <c r="F392" s="6"/>
    </row>
    <row r="393" spans="1:6" ht="30" customHeight="1">
      <c r="A393" s="6">
        <v>391</v>
      </c>
      <c r="B393" s="6" t="str">
        <f>"272820201120193026552"</f>
        <v>272820201120193026552</v>
      </c>
      <c r="C393" s="6" t="s">
        <v>7</v>
      </c>
      <c r="D393" s="6" t="str">
        <f>"麦丹慧"</f>
        <v>麦丹慧</v>
      </c>
      <c r="E393" s="6" t="str">
        <f>"1997-04-05"</f>
        <v>1997-04-05</v>
      </c>
      <c r="F393" s="6"/>
    </row>
    <row r="394" spans="1:6" ht="30" customHeight="1">
      <c r="A394" s="6">
        <v>392</v>
      </c>
      <c r="B394" s="6" t="str">
        <f>"272820201120193200553"</f>
        <v>272820201120193200553</v>
      </c>
      <c r="C394" s="6" t="s">
        <v>7</v>
      </c>
      <c r="D394" s="6" t="str">
        <f>"王珍妹"</f>
        <v>王珍妹</v>
      </c>
      <c r="E394" s="6" t="str">
        <f>"1992-11-14"</f>
        <v>1992-11-14</v>
      </c>
      <c r="F394" s="6"/>
    </row>
    <row r="395" spans="1:6" ht="30" customHeight="1">
      <c r="A395" s="6">
        <v>393</v>
      </c>
      <c r="B395" s="6" t="str">
        <f>"272820201120193523554"</f>
        <v>272820201120193523554</v>
      </c>
      <c r="C395" s="6" t="s">
        <v>7</v>
      </c>
      <c r="D395" s="6" t="str">
        <f>"苏莹"</f>
        <v>苏莹</v>
      </c>
      <c r="E395" s="6" t="str">
        <f>"1997-08-01"</f>
        <v>1997-08-01</v>
      </c>
      <c r="F395" s="6"/>
    </row>
    <row r="396" spans="1:6" ht="30" customHeight="1">
      <c r="A396" s="6">
        <v>394</v>
      </c>
      <c r="B396" s="6" t="str">
        <f>"272820201120193742555"</f>
        <v>272820201120193742555</v>
      </c>
      <c r="C396" s="6" t="s">
        <v>7</v>
      </c>
      <c r="D396" s="6" t="str">
        <f>"张人元"</f>
        <v>张人元</v>
      </c>
      <c r="E396" s="6" t="str">
        <f>"1996-05-09"</f>
        <v>1996-05-09</v>
      </c>
      <c r="F396" s="6"/>
    </row>
    <row r="397" spans="1:6" ht="30" customHeight="1">
      <c r="A397" s="6">
        <v>395</v>
      </c>
      <c r="B397" s="6" t="str">
        <f>"272820201120193821556"</f>
        <v>272820201120193821556</v>
      </c>
      <c r="C397" s="6" t="s">
        <v>7</v>
      </c>
      <c r="D397" s="6" t="str">
        <f>"高莹"</f>
        <v>高莹</v>
      </c>
      <c r="E397" s="6" t="str">
        <f>"1999-03-15"</f>
        <v>1999-03-15</v>
      </c>
      <c r="F397" s="6"/>
    </row>
    <row r="398" spans="1:6" ht="30" customHeight="1">
      <c r="A398" s="6">
        <v>396</v>
      </c>
      <c r="B398" s="6" t="str">
        <f>"272820201120194234559"</f>
        <v>272820201120194234559</v>
      </c>
      <c r="C398" s="6" t="s">
        <v>7</v>
      </c>
      <c r="D398" s="6" t="str">
        <f>"范秀婵"</f>
        <v>范秀婵</v>
      </c>
      <c r="E398" s="6" t="str">
        <f>"1993-03-02"</f>
        <v>1993-03-02</v>
      </c>
      <c r="F398" s="6"/>
    </row>
    <row r="399" spans="1:6" ht="30" customHeight="1">
      <c r="A399" s="6">
        <v>397</v>
      </c>
      <c r="B399" s="6" t="str">
        <f>"272820201120194443561"</f>
        <v>272820201120194443561</v>
      </c>
      <c r="C399" s="6" t="s">
        <v>7</v>
      </c>
      <c r="D399" s="6" t="str">
        <f>"宋文文"</f>
        <v>宋文文</v>
      </c>
      <c r="E399" s="6" t="str">
        <f>"1994-04-03"</f>
        <v>1994-04-03</v>
      </c>
      <c r="F399" s="6"/>
    </row>
    <row r="400" spans="1:6" ht="30" customHeight="1">
      <c r="A400" s="6">
        <v>398</v>
      </c>
      <c r="B400" s="6" t="str">
        <f>"272820201120194817562"</f>
        <v>272820201120194817562</v>
      </c>
      <c r="C400" s="6" t="s">
        <v>7</v>
      </c>
      <c r="D400" s="6" t="str">
        <f>"林晓鹏"</f>
        <v>林晓鹏</v>
      </c>
      <c r="E400" s="6" t="str">
        <f>"1995-11-18"</f>
        <v>1995-11-18</v>
      </c>
      <c r="F400" s="6"/>
    </row>
    <row r="401" spans="1:6" ht="30" customHeight="1">
      <c r="A401" s="6">
        <v>399</v>
      </c>
      <c r="B401" s="6" t="str">
        <f>"272820201120194944564"</f>
        <v>272820201120194944564</v>
      </c>
      <c r="C401" s="6" t="s">
        <v>7</v>
      </c>
      <c r="D401" s="6" t="str">
        <f>"胡茂惠得"</f>
        <v>胡茂惠得</v>
      </c>
      <c r="E401" s="6" t="str">
        <f>"1999-09-12"</f>
        <v>1999-09-12</v>
      </c>
      <c r="F401" s="6"/>
    </row>
    <row r="402" spans="1:6" ht="30" customHeight="1">
      <c r="A402" s="6">
        <v>400</v>
      </c>
      <c r="B402" s="6" t="str">
        <f>"272820201120195612566"</f>
        <v>272820201120195612566</v>
      </c>
      <c r="C402" s="6" t="s">
        <v>7</v>
      </c>
      <c r="D402" s="6" t="str">
        <f>"陈慧"</f>
        <v>陈慧</v>
      </c>
      <c r="E402" s="6" t="str">
        <f>"1999-06-13"</f>
        <v>1999-06-13</v>
      </c>
      <c r="F402" s="6"/>
    </row>
    <row r="403" spans="1:6" ht="30" customHeight="1">
      <c r="A403" s="6">
        <v>401</v>
      </c>
      <c r="B403" s="6" t="str">
        <f>"272820201120195716567"</f>
        <v>272820201120195716567</v>
      </c>
      <c r="C403" s="6" t="s">
        <v>7</v>
      </c>
      <c r="D403" s="6" t="str">
        <f>"王娇"</f>
        <v>王娇</v>
      </c>
      <c r="E403" s="6" t="str">
        <f>"1989-10-01"</f>
        <v>1989-10-01</v>
      </c>
      <c r="F403" s="6"/>
    </row>
    <row r="404" spans="1:6" ht="30" customHeight="1">
      <c r="A404" s="6">
        <v>402</v>
      </c>
      <c r="B404" s="6" t="str">
        <f>"272820201120195848569"</f>
        <v>272820201120195848569</v>
      </c>
      <c r="C404" s="6" t="s">
        <v>7</v>
      </c>
      <c r="D404" s="6" t="str">
        <f>"潘付龙"</f>
        <v>潘付龙</v>
      </c>
      <c r="E404" s="6" t="str">
        <f>"1994-10-06"</f>
        <v>1994-10-06</v>
      </c>
      <c r="F404" s="6"/>
    </row>
    <row r="405" spans="1:6" ht="30" customHeight="1">
      <c r="A405" s="6">
        <v>403</v>
      </c>
      <c r="B405" s="6" t="str">
        <f>"272820201120200142571"</f>
        <v>272820201120200142571</v>
      </c>
      <c r="C405" s="6" t="s">
        <v>7</v>
      </c>
      <c r="D405" s="6" t="str">
        <f>"麦宜志"</f>
        <v>麦宜志</v>
      </c>
      <c r="E405" s="6" t="str">
        <f>"1994-04-08"</f>
        <v>1994-04-08</v>
      </c>
      <c r="F405" s="6"/>
    </row>
    <row r="406" spans="1:6" ht="30" customHeight="1">
      <c r="A406" s="6">
        <v>404</v>
      </c>
      <c r="B406" s="6" t="str">
        <f>"272820201120200420572"</f>
        <v>272820201120200420572</v>
      </c>
      <c r="C406" s="6" t="s">
        <v>7</v>
      </c>
      <c r="D406" s="6" t="str">
        <f>"杨小燕"</f>
        <v>杨小燕</v>
      </c>
      <c r="E406" s="6" t="str">
        <f>"1993-08-18"</f>
        <v>1993-08-18</v>
      </c>
      <c r="F406" s="6"/>
    </row>
    <row r="407" spans="1:6" ht="30" customHeight="1">
      <c r="A407" s="6">
        <v>405</v>
      </c>
      <c r="B407" s="6" t="str">
        <f>"272820201120201348575"</f>
        <v>272820201120201348575</v>
      </c>
      <c r="C407" s="6" t="s">
        <v>7</v>
      </c>
      <c r="D407" s="6" t="str">
        <f>"蔡世贝"</f>
        <v>蔡世贝</v>
      </c>
      <c r="E407" s="6" t="str">
        <f>"1998-09-16"</f>
        <v>1998-09-16</v>
      </c>
      <c r="F407" s="6"/>
    </row>
    <row r="408" spans="1:6" ht="30" customHeight="1">
      <c r="A408" s="6">
        <v>406</v>
      </c>
      <c r="B408" s="6" t="str">
        <f>"272820201120201820579"</f>
        <v>272820201120201820579</v>
      </c>
      <c r="C408" s="6" t="s">
        <v>7</v>
      </c>
      <c r="D408" s="6" t="str">
        <f>"杨建炜"</f>
        <v>杨建炜</v>
      </c>
      <c r="E408" s="6" t="str">
        <f>"1997-03-11"</f>
        <v>1997-03-11</v>
      </c>
      <c r="F408" s="6"/>
    </row>
    <row r="409" spans="1:6" ht="30" customHeight="1">
      <c r="A409" s="6">
        <v>407</v>
      </c>
      <c r="B409" s="6" t="str">
        <f>"272820201120201837580"</f>
        <v>272820201120201837580</v>
      </c>
      <c r="C409" s="6" t="s">
        <v>7</v>
      </c>
      <c r="D409" s="6" t="str">
        <f>"林佳佳"</f>
        <v>林佳佳</v>
      </c>
      <c r="E409" s="6" t="str">
        <f>"1996-05-25"</f>
        <v>1996-05-25</v>
      </c>
      <c r="F409" s="6"/>
    </row>
    <row r="410" spans="1:6" ht="30" customHeight="1">
      <c r="A410" s="6">
        <v>408</v>
      </c>
      <c r="B410" s="6" t="str">
        <f>"272820201120201933581"</f>
        <v>272820201120201933581</v>
      </c>
      <c r="C410" s="6" t="s">
        <v>7</v>
      </c>
      <c r="D410" s="6" t="str">
        <f>"王晓阳"</f>
        <v>王晓阳</v>
      </c>
      <c r="E410" s="6" t="str">
        <f>"1994-10-22"</f>
        <v>1994-10-22</v>
      </c>
      <c r="F410" s="6"/>
    </row>
    <row r="411" spans="1:6" ht="30" customHeight="1">
      <c r="A411" s="6">
        <v>409</v>
      </c>
      <c r="B411" s="6" t="str">
        <f>"272820201120202036582"</f>
        <v>272820201120202036582</v>
      </c>
      <c r="C411" s="6" t="s">
        <v>7</v>
      </c>
      <c r="D411" s="6" t="str">
        <f>"陈小贞"</f>
        <v>陈小贞</v>
      </c>
      <c r="E411" s="6" t="str">
        <f>"1992-03-23"</f>
        <v>1992-03-23</v>
      </c>
      <c r="F411" s="6"/>
    </row>
    <row r="412" spans="1:6" ht="30" customHeight="1">
      <c r="A412" s="6">
        <v>410</v>
      </c>
      <c r="B412" s="6" t="str">
        <f>"272820201120202130583"</f>
        <v>272820201120202130583</v>
      </c>
      <c r="C412" s="6" t="s">
        <v>7</v>
      </c>
      <c r="D412" s="6" t="str">
        <f>"罗昌成"</f>
        <v>罗昌成</v>
      </c>
      <c r="E412" s="6" t="str">
        <f>"1995-11-12"</f>
        <v>1995-11-12</v>
      </c>
      <c r="F412" s="6"/>
    </row>
    <row r="413" spans="1:6" ht="30" customHeight="1">
      <c r="A413" s="6">
        <v>411</v>
      </c>
      <c r="B413" s="6" t="str">
        <f>"272820201120202903589"</f>
        <v>272820201120202903589</v>
      </c>
      <c r="C413" s="6" t="s">
        <v>7</v>
      </c>
      <c r="D413" s="6" t="str">
        <f>"蒲婷余"</f>
        <v>蒲婷余</v>
      </c>
      <c r="E413" s="6" t="str">
        <f>"1997-11-03"</f>
        <v>1997-11-03</v>
      </c>
      <c r="F413" s="6"/>
    </row>
    <row r="414" spans="1:6" ht="30" customHeight="1">
      <c r="A414" s="6">
        <v>412</v>
      </c>
      <c r="B414" s="6" t="str">
        <f>"272820201120203050591"</f>
        <v>272820201120203050591</v>
      </c>
      <c r="C414" s="6" t="s">
        <v>7</v>
      </c>
      <c r="D414" s="6" t="str">
        <f>"黎玉"</f>
        <v>黎玉</v>
      </c>
      <c r="E414" s="6" t="str">
        <f>"1996-01-12"</f>
        <v>1996-01-12</v>
      </c>
      <c r="F414" s="6"/>
    </row>
    <row r="415" spans="1:6" ht="30" customHeight="1">
      <c r="A415" s="6">
        <v>413</v>
      </c>
      <c r="B415" s="6" t="str">
        <f>"272820201120203825592"</f>
        <v>272820201120203825592</v>
      </c>
      <c r="C415" s="6" t="s">
        <v>7</v>
      </c>
      <c r="D415" s="6" t="str">
        <f>"詹才旺"</f>
        <v>詹才旺</v>
      </c>
      <c r="E415" s="6" t="str">
        <f>"1989-09-21"</f>
        <v>1989-09-21</v>
      </c>
      <c r="F415" s="6"/>
    </row>
    <row r="416" spans="1:6" ht="30" customHeight="1">
      <c r="A416" s="6">
        <v>414</v>
      </c>
      <c r="B416" s="6" t="str">
        <f>"272820201120203837594"</f>
        <v>272820201120203837594</v>
      </c>
      <c r="C416" s="6" t="s">
        <v>7</v>
      </c>
      <c r="D416" s="6" t="str">
        <f>"刘静思"</f>
        <v>刘静思</v>
      </c>
      <c r="E416" s="6" t="str">
        <f>"1996-12-25"</f>
        <v>1996-12-25</v>
      </c>
      <c r="F416" s="6"/>
    </row>
    <row r="417" spans="1:6" ht="30" customHeight="1">
      <c r="A417" s="6">
        <v>415</v>
      </c>
      <c r="B417" s="6" t="str">
        <f>"272820201120203912595"</f>
        <v>272820201120203912595</v>
      </c>
      <c r="C417" s="6" t="s">
        <v>7</v>
      </c>
      <c r="D417" s="6" t="str">
        <f>"徐锦瑶"</f>
        <v>徐锦瑶</v>
      </c>
      <c r="E417" s="6" t="str">
        <f>"1998-08-04"</f>
        <v>1998-08-04</v>
      </c>
      <c r="F417" s="6"/>
    </row>
    <row r="418" spans="1:6" ht="30" customHeight="1">
      <c r="A418" s="6">
        <v>416</v>
      </c>
      <c r="B418" s="6" t="str">
        <f>"272820201120203932596"</f>
        <v>272820201120203932596</v>
      </c>
      <c r="C418" s="6" t="s">
        <v>7</v>
      </c>
      <c r="D418" s="6" t="str">
        <f>"陈泺潼"</f>
        <v>陈泺潼</v>
      </c>
      <c r="E418" s="6" t="str">
        <f>"1994-06-16"</f>
        <v>1994-06-16</v>
      </c>
      <c r="F418" s="6"/>
    </row>
    <row r="419" spans="1:6" ht="30" customHeight="1">
      <c r="A419" s="6">
        <v>417</v>
      </c>
      <c r="B419" s="6" t="str">
        <f>"272820201120204120598"</f>
        <v>272820201120204120598</v>
      </c>
      <c r="C419" s="6" t="s">
        <v>7</v>
      </c>
      <c r="D419" s="6" t="str">
        <f>"容康"</f>
        <v>容康</v>
      </c>
      <c r="E419" s="6" t="str">
        <f>"1985-04-25"</f>
        <v>1985-04-25</v>
      </c>
      <c r="F419" s="6"/>
    </row>
    <row r="420" spans="1:6" ht="30" customHeight="1">
      <c r="A420" s="6">
        <v>418</v>
      </c>
      <c r="B420" s="6" t="str">
        <f>"272820201120204217600"</f>
        <v>272820201120204217600</v>
      </c>
      <c r="C420" s="6" t="s">
        <v>7</v>
      </c>
      <c r="D420" s="6" t="str">
        <f>"谢英浩"</f>
        <v>谢英浩</v>
      </c>
      <c r="E420" s="6" t="str">
        <f>"1998-11-03"</f>
        <v>1998-11-03</v>
      </c>
      <c r="F420" s="6"/>
    </row>
    <row r="421" spans="1:6" ht="30" customHeight="1">
      <c r="A421" s="6">
        <v>419</v>
      </c>
      <c r="B421" s="6" t="str">
        <f>"272820201120204458602"</f>
        <v>272820201120204458602</v>
      </c>
      <c r="C421" s="6" t="s">
        <v>7</v>
      </c>
      <c r="D421" s="6" t="str">
        <f>"杨合燕"</f>
        <v>杨合燕</v>
      </c>
      <c r="E421" s="6" t="str">
        <f>"1995-08-18"</f>
        <v>1995-08-18</v>
      </c>
      <c r="F421" s="6"/>
    </row>
    <row r="422" spans="1:6" ht="30" customHeight="1">
      <c r="A422" s="6">
        <v>420</v>
      </c>
      <c r="B422" s="6" t="str">
        <f>"272820201120205032603"</f>
        <v>272820201120205032603</v>
      </c>
      <c r="C422" s="6" t="s">
        <v>7</v>
      </c>
      <c r="D422" s="6" t="str">
        <f>"何运翔"</f>
        <v>何运翔</v>
      </c>
      <c r="E422" s="6" t="str">
        <f>"1993-04-02"</f>
        <v>1993-04-02</v>
      </c>
      <c r="F422" s="6"/>
    </row>
    <row r="423" spans="1:6" ht="30" customHeight="1">
      <c r="A423" s="6">
        <v>421</v>
      </c>
      <c r="B423" s="6" t="str">
        <f>"272820201120205116605"</f>
        <v>272820201120205116605</v>
      </c>
      <c r="C423" s="6" t="s">
        <v>7</v>
      </c>
      <c r="D423" s="6" t="str">
        <f>"周麟栋"</f>
        <v>周麟栋</v>
      </c>
      <c r="E423" s="6" t="str">
        <f>"1999-02-28"</f>
        <v>1999-02-28</v>
      </c>
      <c r="F423" s="6"/>
    </row>
    <row r="424" spans="1:6" ht="30" customHeight="1">
      <c r="A424" s="6">
        <v>422</v>
      </c>
      <c r="B424" s="6" t="str">
        <f>"272820201120205709606"</f>
        <v>272820201120205709606</v>
      </c>
      <c r="C424" s="6" t="s">
        <v>7</v>
      </c>
      <c r="D424" s="6" t="str">
        <f>"王小江"</f>
        <v>王小江</v>
      </c>
      <c r="E424" s="6" t="str">
        <f>"1993-04-09"</f>
        <v>1993-04-09</v>
      </c>
      <c r="F424" s="6"/>
    </row>
    <row r="425" spans="1:6" ht="30" customHeight="1">
      <c r="A425" s="6">
        <v>423</v>
      </c>
      <c r="B425" s="6" t="str">
        <f>"272820201120205837607"</f>
        <v>272820201120205837607</v>
      </c>
      <c r="C425" s="6" t="s">
        <v>7</v>
      </c>
      <c r="D425" s="6" t="str">
        <f>"蔡丽婷"</f>
        <v>蔡丽婷</v>
      </c>
      <c r="E425" s="6" t="str">
        <f>"1997-06-18"</f>
        <v>1997-06-18</v>
      </c>
      <c r="F425" s="6"/>
    </row>
    <row r="426" spans="1:6" ht="30" customHeight="1">
      <c r="A426" s="6">
        <v>424</v>
      </c>
      <c r="B426" s="6" t="str">
        <f>"272820201120210012608"</f>
        <v>272820201120210012608</v>
      </c>
      <c r="C426" s="6" t="s">
        <v>7</v>
      </c>
      <c r="D426" s="6" t="str">
        <f>"陈积芳"</f>
        <v>陈积芳</v>
      </c>
      <c r="E426" s="6" t="str">
        <f>"1990-01-10"</f>
        <v>1990-01-10</v>
      </c>
      <c r="F426" s="6"/>
    </row>
    <row r="427" spans="1:6" ht="30" customHeight="1">
      <c r="A427" s="6">
        <v>425</v>
      </c>
      <c r="B427" s="6" t="str">
        <f>"272820201120210216609"</f>
        <v>272820201120210216609</v>
      </c>
      <c r="C427" s="6" t="s">
        <v>7</v>
      </c>
      <c r="D427" s="6" t="str">
        <f>"邢燕矫"</f>
        <v>邢燕矫</v>
      </c>
      <c r="E427" s="6" t="str">
        <f>"1999-11-28"</f>
        <v>1999-11-28</v>
      </c>
      <c r="F427" s="6"/>
    </row>
    <row r="428" spans="1:6" ht="30" customHeight="1">
      <c r="A428" s="6">
        <v>426</v>
      </c>
      <c r="B428" s="6" t="str">
        <f>"272820201120210456610"</f>
        <v>272820201120210456610</v>
      </c>
      <c r="C428" s="6" t="s">
        <v>7</v>
      </c>
      <c r="D428" s="6" t="str">
        <f>"连英如"</f>
        <v>连英如</v>
      </c>
      <c r="E428" s="6" t="str">
        <f>"1998-02-26"</f>
        <v>1998-02-26</v>
      </c>
      <c r="F428" s="6"/>
    </row>
    <row r="429" spans="1:6" ht="30" customHeight="1">
      <c r="A429" s="6">
        <v>427</v>
      </c>
      <c r="B429" s="6" t="str">
        <f>"272820201120210646611"</f>
        <v>272820201120210646611</v>
      </c>
      <c r="C429" s="6" t="s">
        <v>7</v>
      </c>
      <c r="D429" s="6" t="str">
        <f>"罗志强"</f>
        <v>罗志强</v>
      </c>
      <c r="E429" s="6" t="str">
        <f>"1995-06-15"</f>
        <v>1995-06-15</v>
      </c>
      <c r="F429" s="6"/>
    </row>
    <row r="430" spans="1:6" ht="30" customHeight="1">
      <c r="A430" s="6">
        <v>428</v>
      </c>
      <c r="B430" s="6" t="str">
        <f>"272820201120212032615"</f>
        <v>272820201120212032615</v>
      </c>
      <c r="C430" s="6" t="s">
        <v>7</v>
      </c>
      <c r="D430" s="6" t="str">
        <f>"王丹"</f>
        <v>王丹</v>
      </c>
      <c r="E430" s="6" t="str">
        <f>"1984-11-28"</f>
        <v>1984-11-28</v>
      </c>
      <c r="F430" s="6"/>
    </row>
    <row r="431" spans="1:6" ht="30" customHeight="1">
      <c r="A431" s="6">
        <v>429</v>
      </c>
      <c r="B431" s="6" t="str">
        <f>"272820201120212353616"</f>
        <v>272820201120212353616</v>
      </c>
      <c r="C431" s="6" t="s">
        <v>7</v>
      </c>
      <c r="D431" s="6" t="str">
        <f>"林保良"</f>
        <v>林保良</v>
      </c>
      <c r="E431" s="6" t="str">
        <f>"1997-12-15"</f>
        <v>1997-12-15</v>
      </c>
      <c r="F431" s="6"/>
    </row>
    <row r="432" spans="1:6" ht="30" customHeight="1">
      <c r="A432" s="6">
        <v>430</v>
      </c>
      <c r="B432" s="6" t="str">
        <f>"272820201120212446617"</f>
        <v>272820201120212446617</v>
      </c>
      <c r="C432" s="6" t="s">
        <v>7</v>
      </c>
      <c r="D432" s="6" t="str">
        <f>"邓小亮"</f>
        <v>邓小亮</v>
      </c>
      <c r="E432" s="6" t="str">
        <f>"1995-06-25"</f>
        <v>1995-06-25</v>
      </c>
      <c r="F432" s="6"/>
    </row>
    <row r="433" spans="1:6" ht="30" customHeight="1">
      <c r="A433" s="6">
        <v>431</v>
      </c>
      <c r="B433" s="6" t="str">
        <f>"272820201120212723620"</f>
        <v>272820201120212723620</v>
      </c>
      <c r="C433" s="6" t="s">
        <v>7</v>
      </c>
      <c r="D433" s="6" t="str">
        <f>"王孔立"</f>
        <v>王孔立</v>
      </c>
      <c r="E433" s="6" t="str">
        <f>"1994-04-06"</f>
        <v>1994-04-06</v>
      </c>
      <c r="F433" s="6"/>
    </row>
    <row r="434" spans="1:6" ht="30" customHeight="1">
      <c r="A434" s="6">
        <v>432</v>
      </c>
      <c r="B434" s="6" t="str">
        <f>"272820201120213055621"</f>
        <v>272820201120213055621</v>
      </c>
      <c r="C434" s="6" t="s">
        <v>7</v>
      </c>
      <c r="D434" s="6" t="str">
        <f>"陈明发"</f>
        <v>陈明发</v>
      </c>
      <c r="E434" s="6" t="str">
        <f>"1996-09-28"</f>
        <v>1996-09-28</v>
      </c>
      <c r="F434" s="6"/>
    </row>
    <row r="435" spans="1:6" ht="30" customHeight="1">
      <c r="A435" s="6">
        <v>433</v>
      </c>
      <c r="B435" s="6" t="str">
        <f>"272820201120213203623"</f>
        <v>272820201120213203623</v>
      </c>
      <c r="C435" s="6" t="s">
        <v>7</v>
      </c>
      <c r="D435" s="6" t="str">
        <f>"张乐经"</f>
        <v>张乐经</v>
      </c>
      <c r="E435" s="6" t="str">
        <f>"1999-03-30"</f>
        <v>1999-03-30</v>
      </c>
      <c r="F435" s="6"/>
    </row>
    <row r="436" spans="1:6" ht="30" customHeight="1">
      <c r="A436" s="6">
        <v>434</v>
      </c>
      <c r="B436" s="6" t="str">
        <f>"272820201120213229624"</f>
        <v>272820201120213229624</v>
      </c>
      <c r="C436" s="6" t="s">
        <v>7</v>
      </c>
      <c r="D436" s="6" t="str">
        <f>"李奕宏"</f>
        <v>李奕宏</v>
      </c>
      <c r="E436" s="6" t="str">
        <f>"1998-01-06"</f>
        <v>1998-01-06</v>
      </c>
      <c r="F436" s="6"/>
    </row>
    <row r="437" spans="1:6" ht="30" customHeight="1">
      <c r="A437" s="6">
        <v>435</v>
      </c>
      <c r="B437" s="6" t="str">
        <f>"272820201120213452625"</f>
        <v>272820201120213452625</v>
      </c>
      <c r="C437" s="6" t="s">
        <v>7</v>
      </c>
      <c r="D437" s="6" t="str">
        <f>"林海玉"</f>
        <v>林海玉</v>
      </c>
      <c r="E437" s="6" t="str">
        <f>"1994-03-12"</f>
        <v>1994-03-12</v>
      </c>
      <c r="F437" s="6"/>
    </row>
    <row r="438" spans="1:6" ht="30" customHeight="1">
      <c r="A438" s="6">
        <v>436</v>
      </c>
      <c r="B438" s="6" t="str">
        <f>"272820201120213556626"</f>
        <v>272820201120213556626</v>
      </c>
      <c r="C438" s="6" t="s">
        <v>7</v>
      </c>
      <c r="D438" s="6" t="str">
        <f>"郑霖刚"</f>
        <v>郑霖刚</v>
      </c>
      <c r="E438" s="6" t="str">
        <f>"1996-12-28"</f>
        <v>1996-12-28</v>
      </c>
      <c r="F438" s="6"/>
    </row>
    <row r="439" spans="1:6" ht="30" customHeight="1">
      <c r="A439" s="6">
        <v>437</v>
      </c>
      <c r="B439" s="6" t="str">
        <f>"272820201120214719627"</f>
        <v>272820201120214719627</v>
      </c>
      <c r="C439" s="6" t="s">
        <v>7</v>
      </c>
      <c r="D439" s="6" t="str">
        <f>"陈江梁"</f>
        <v>陈江梁</v>
      </c>
      <c r="E439" s="6" t="str">
        <f>"1995-02-03"</f>
        <v>1995-02-03</v>
      </c>
      <c r="F439" s="6"/>
    </row>
    <row r="440" spans="1:6" ht="30" customHeight="1">
      <c r="A440" s="6">
        <v>438</v>
      </c>
      <c r="B440" s="6" t="str">
        <f>"272820201120215008628"</f>
        <v>272820201120215008628</v>
      </c>
      <c r="C440" s="6" t="s">
        <v>7</v>
      </c>
      <c r="D440" s="6" t="str">
        <f>"姚彩云"</f>
        <v>姚彩云</v>
      </c>
      <c r="E440" s="6" t="str">
        <f>"1998-03-14"</f>
        <v>1998-03-14</v>
      </c>
      <c r="F440" s="6"/>
    </row>
    <row r="441" spans="1:6" ht="30" customHeight="1">
      <c r="A441" s="6">
        <v>439</v>
      </c>
      <c r="B441" s="6" t="str">
        <f>"272820201120215737631"</f>
        <v>272820201120215737631</v>
      </c>
      <c r="C441" s="6" t="s">
        <v>7</v>
      </c>
      <c r="D441" s="6" t="str">
        <f>"陈红宇"</f>
        <v>陈红宇</v>
      </c>
      <c r="E441" s="6" t="str">
        <f>"1998-03-13"</f>
        <v>1998-03-13</v>
      </c>
      <c r="F441" s="6"/>
    </row>
    <row r="442" spans="1:6" ht="30" customHeight="1">
      <c r="A442" s="6">
        <v>440</v>
      </c>
      <c r="B442" s="6" t="str">
        <f>"272820201120220043632"</f>
        <v>272820201120220043632</v>
      </c>
      <c r="C442" s="6" t="s">
        <v>7</v>
      </c>
      <c r="D442" s="6" t="str">
        <f>"徐家腾"</f>
        <v>徐家腾</v>
      </c>
      <c r="E442" s="6" t="str">
        <f>"1994-04-24"</f>
        <v>1994-04-24</v>
      </c>
      <c r="F442" s="6"/>
    </row>
    <row r="443" spans="1:6" ht="30" customHeight="1">
      <c r="A443" s="6">
        <v>441</v>
      </c>
      <c r="B443" s="6" t="str">
        <f>"272820201120220321633"</f>
        <v>272820201120220321633</v>
      </c>
      <c r="C443" s="6" t="s">
        <v>7</v>
      </c>
      <c r="D443" s="6" t="str">
        <f>"林良臣"</f>
        <v>林良臣</v>
      </c>
      <c r="E443" s="6" t="str">
        <f>"1991-04-12"</f>
        <v>1991-04-12</v>
      </c>
      <c r="F443" s="6"/>
    </row>
    <row r="444" spans="1:6" ht="30" customHeight="1">
      <c r="A444" s="6">
        <v>442</v>
      </c>
      <c r="B444" s="6" t="str">
        <f>"272820201120220335634"</f>
        <v>272820201120220335634</v>
      </c>
      <c r="C444" s="6" t="s">
        <v>7</v>
      </c>
      <c r="D444" s="6" t="str">
        <f>"符乐乐"</f>
        <v>符乐乐</v>
      </c>
      <c r="E444" s="6" t="str">
        <f>"1997-09-15"</f>
        <v>1997-09-15</v>
      </c>
      <c r="F444" s="6"/>
    </row>
    <row r="445" spans="1:6" ht="30" customHeight="1">
      <c r="A445" s="6">
        <v>443</v>
      </c>
      <c r="B445" s="6" t="str">
        <f>"272820201120221053638"</f>
        <v>272820201120221053638</v>
      </c>
      <c r="C445" s="6" t="s">
        <v>7</v>
      </c>
      <c r="D445" s="6" t="str">
        <f>"王培健"</f>
        <v>王培健</v>
      </c>
      <c r="E445" s="6" t="str">
        <f>"1989-08-06"</f>
        <v>1989-08-06</v>
      </c>
      <c r="F445" s="6"/>
    </row>
    <row r="446" spans="1:6" ht="30" customHeight="1">
      <c r="A446" s="6">
        <v>444</v>
      </c>
      <c r="B446" s="6" t="str">
        <f>"272820201120221346639"</f>
        <v>272820201120221346639</v>
      </c>
      <c r="C446" s="6" t="s">
        <v>7</v>
      </c>
      <c r="D446" s="6" t="str">
        <f>"孙露露"</f>
        <v>孙露露</v>
      </c>
      <c r="E446" s="6" t="str">
        <f>"1997-05-02"</f>
        <v>1997-05-02</v>
      </c>
      <c r="F446" s="6"/>
    </row>
    <row r="447" spans="1:6" ht="30" customHeight="1">
      <c r="A447" s="6">
        <v>445</v>
      </c>
      <c r="B447" s="6" t="str">
        <f>"272820201120221623641"</f>
        <v>272820201120221623641</v>
      </c>
      <c r="C447" s="6" t="s">
        <v>7</v>
      </c>
      <c r="D447" s="6" t="str">
        <f>"王欣"</f>
        <v>王欣</v>
      </c>
      <c r="E447" s="6" t="str">
        <f>"1996-09-10"</f>
        <v>1996-09-10</v>
      </c>
      <c r="F447" s="6"/>
    </row>
    <row r="448" spans="1:6" ht="30" customHeight="1">
      <c r="A448" s="6">
        <v>446</v>
      </c>
      <c r="B448" s="6" t="str">
        <f>"272820201120221740643"</f>
        <v>272820201120221740643</v>
      </c>
      <c r="C448" s="6" t="s">
        <v>7</v>
      </c>
      <c r="D448" s="6" t="str">
        <f>"羊丽英"</f>
        <v>羊丽英</v>
      </c>
      <c r="E448" s="6" t="str">
        <f>"1995-09-24"</f>
        <v>1995-09-24</v>
      </c>
      <c r="F448" s="6"/>
    </row>
    <row r="449" spans="1:6" ht="30" customHeight="1">
      <c r="A449" s="6">
        <v>447</v>
      </c>
      <c r="B449" s="6" t="str">
        <f>"272820201120222036645"</f>
        <v>272820201120222036645</v>
      </c>
      <c r="C449" s="6" t="s">
        <v>7</v>
      </c>
      <c r="D449" s="6" t="str">
        <f>"王慧"</f>
        <v>王慧</v>
      </c>
      <c r="E449" s="6" t="str">
        <f>"1994-05-03"</f>
        <v>1994-05-03</v>
      </c>
      <c r="F449" s="6"/>
    </row>
    <row r="450" spans="1:6" ht="30" customHeight="1">
      <c r="A450" s="6">
        <v>448</v>
      </c>
      <c r="B450" s="6" t="str">
        <f>"272820201120222516647"</f>
        <v>272820201120222516647</v>
      </c>
      <c r="C450" s="6" t="s">
        <v>7</v>
      </c>
      <c r="D450" s="6" t="str">
        <f>"吉莎芬"</f>
        <v>吉莎芬</v>
      </c>
      <c r="E450" s="6" t="str">
        <f>"1995-07-21"</f>
        <v>1995-07-21</v>
      </c>
      <c r="F450" s="6"/>
    </row>
    <row r="451" spans="1:6" ht="30" customHeight="1">
      <c r="A451" s="6">
        <v>449</v>
      </c>
      <c r="B451" s="6" t="str">
        <f>"272820201120222941650"</f>
        <v>272820201120222941650</v>
      </c>
      <c r="C451" s="6" t="s">
        <v>7</v>
      </c>
      <c r="D451" s="6" t="str">
        <f>"梁锐"</f>
        <v>梁锐</v>
      </c>
      <c r="E451" s="6" t="str">
        <f>"1993-10-12"</f>
        <v>1993-10-12</v>
      </c>
      <c r="F451" s="6"/>
    </row>
    <row r="452" spans="1:6" ht="30" customHeight="1">
      <c r="A452" s="6">
        <v>450</v>
      </c>
      <c r="B452" s="6" t="str">
        <f>"272820201120223254651"</f>
        <v>272820201120223254651</v>
      </c>
      <c r="C452" s="6" t="s">
        <v>7</v>
      </c>
      <c r="D452" s="6" t="str">
        <f>"陈立娜"</f>
        <v>陈立娜</v>
      </c>
      <c r="E452" s="6" t="str">
        <f>"1989-09-25"</f>
        <v>1989-09-25</v>
      </c>
      <c r="F452" s="6"/>
    </row>
    <row r="453" spans="1:6" ht="30" customHeight="1">
      <c r="A453" s="6">
        <v>451</v>
      </c>
      <c r="B453" s="6" t="str">
        <f>"272820201120223356652"</f>
        <v>272820201120223356652</v>
      </c>
      <c r="C453" s="6" t="s">
        <v>7</v>
      </c>
      <c r="D453" s="6" t="str">
        <f>"黄垂展"</f>
        <v>黄垂展</v>
      </c>
      <c r="E453" s="6" t="str">
        <f>"1998-07-15"</f>
        <v>1998-07-15</v>
      </c>
      <c r="F453" s="6"/>
    </row>
    <row r="454" spans="1:6" ht="30" customHeight="1">
      <c r="A454" s="6">
        <v>452</v>
      </c>
      <c r="B454" s="6" t="str">
        <f>"272820201120223659653"</f>
        <v>272820201120223659653</v>
      </c>
      <c r="C454" s="6" t="s">
        <v>7</v>
      </c>
      <c r="D454" s="6" t="str">
        <f>"吴巧忆"</f>
        <v>吴巧忆</v>
      </c>
      <c r="E454" s="6" t="str">
        <f>"1995-03-07"</f>
        <v>1995-03-07</v>
      </c>
      <c r="F454" s="6"/>
    </row>
    <row r="455" spans="1:6" ht="30" customHeight="1">
      <c r="A455" s="6">
        <v>453</v>
      </c>
      <c r="B455" s="6" t="str">
        <f>"272820201120223842654"</f>
        <v>272820201120223842654</v>
      </c>
      <c r="C455" s="6" t="s">
        <v>7</v>
      </c>
      <c r="D455" s="6" t="str">
        <f>"文微"</f>
        <v>文微</v>
      </c>
      <c r="E455" s="6" t="str">
        <f>"1995-09-08"</f>
        <v>1995-09-08</v>
      </c>
      <c r="F455" s="6"/>
    </row>
    <row r="456" spans="1:6" ht="30" customHeight="1">
      <c r="A456" s="6">
        <v>454</v>
      </c>
      <c r="B456" s="6" t="str">
        <f>"272820201120224047655"</f>
        <v>272820201120224047655</v>
      </c>
      <c r="C456" s="6" t="s">
        <v>7</v>
      </c>
      <c r="D456" s="6" t="str">
        <f>"朱德伟"</f>
        <v>朱德伟</v>
      </c>
      <c r="E456" s="6" t="str">
        <f>"1995-05-25"</f>
        <v>1995-05-25</v>
      </c>
      <c r="F456" s="6"/>
    </row>
    <row r="457" spans="1:6" ht="30" customHeight="1">
      <c r="A457" s="6">
        <v>455</v>
      </c>
      <c r="B457" s="6" t="str">
        <f>"272820201120224342656"</f>
        <v>272820201120224342656</v>
      </c>
      <c r="C457" s="6" t="s">
        <v>7</v>
      </c>
      <c r="D457" s="6" t="str">
        <f>"覃秀巧"</f>
        <v>覃秀巧</v>
      </c>
      <c r="E457" s="6" t="str">
        <f>"1996-06-15"</f>
        <v>1996-06-15</v>
      </c>
      <c r="F457" s="6"/>
    </row>
    <row r="458" spans="1:6" ht="30" customHeight="1">
      <c r="A458" s="6">
        <v>456</v>
      </c>
      <c r="B458" s="6" t="str">
        <f>"272820201120224432657"</f>
        <v>272820201120224432657</v>
      </c>
      <c r="C458" s="6" t="s">
        <v>7</v>
      </c>
      <c r="D458" s="6" t="str">
        <f>"陈争润"</f>
        <v>陈争润</v>
      </c>
      <c r="E458" s="6" t="str">
        <f>"1997-10-06"</f>
        <v>1997-10-06</v>
      </c>
      <c r="F458" s="6"/>
    </row>
    <row r="459" spans="1:6" ht="30" customHeight="1">
      <c r="A459" s="6">
        <v>457</v>
      </c>
      <c r="B459" s="6" t="str">
        <f>"272820201120224954658"</f>
        <v>272820201120224954658</v>
      </c>
      <c r="C459" s="6" t="s">
        <v>7</v>
      </c>
      <c r="D459" s="6" t="str">
        <f>"杨四师"</f>
        <v>杨四师</v>
      </c>
      <c r="E459" s="6" t="str">
        <f>"1996-04-04"</f>
        <v>1996-04-04</v>
      </c>
      <c r="F459" s="6"/>
    </row>
    <row r="460" spans="1:6" ht="30" customHeight="1">
      <c r="A460" s="6">
        <v>458</v>
      </c>
      <c r="B460" s="6" t="str">
        <f>"272820201120225329659"</f>
        <v>272820201120225329659</v>
      </c>
      <c r="C460" s="6" t="s">
        <v>7</v>
      </c>
      <c r="D460" s="6" t="str">
        <f>"欧哲岑"</f>
        <v>欧哲岑</v>
      </c>
      <c r="E460" s="6" t="str">
        <f>"1995-10-03"</f>
        <v>1995-10-03</v>
      </c>
      <c r="F460" s="6"/>
    </row>
    <row r="461" spans="1:6" ht="30" customHeight="1">
      <c r="A461" s="6">
        <v>459</v>
      </c>
      <c r="B461" s="6" t="str">
        <f>"272820201120225453660"</f>
        <v>272820201120225453660</v>
      </c>
      <c r="C461" s="6" t="s">
        <v>7</v>
      </c>
      <c r="D461" s="6" t="str">
        <f>"张云"</f>
        <v>张云</v>
      </c>
      <c r="E461" s="6" t="str">
        <f>"1993-10-04"</f>
        <v>1993-10-04</v>
      </c>
      <c r="F461" s="6"/>
    </row>
    <row r="462" spans="1:6" ht="30" customHeight="1">
      <c r="A462" s="6">
        <v>460</v>
      </c>
      <c r="B462" s="6" t="str">
        <f>"272820201120230819662"</f>
        <v>272820201120230819662</v>
      </c>
      <c r="C462" s="6" t="s">
        <v>7</v>
      </c>
      <c r="D462" s="6" t="str">
        <f>"林财"</f>
        <v>林财</v>
      </c>
      <c r="E462" s="6" t="str">
        <f>"1990-01-30"</f>
        <v>1990-01-30</v>
      </c>
      <c r="F462" s="6"/>
    </row>
    <row r="463" spans="1:6" ht="30" customHeight="1">
      <c r="A463" s="6">
        <v>461</v>
      </c>
      <c r="B463" s="6" t="str">
        <f>"272820201120231215663"</f>
        <v>272820201120231215663</v>
      </c>
      <c r="C463" s="6" t="s">
        <v>7</v>
      </c>
      <c r="D463" s="6" t="str">
        <f>"李梦媛"</f>
        <v>李梦媛</v>
      </c>
      <c r="E463" s="6" t="str">
        <f>"1993-05-21"</f>
        <v>1993-05-21</v>
      </c>
      <c r="F463" s="6"/>
    </row>
    <row r="464" spans="1:6" ht="30" customHeight="1">
      <c r="A464" s="6">
        <v>462</v>
      </c>
      <c r="B464" s="6" t="str">
        <f>"272820201120231250664"</f>
        <v>272820201120231250664</v>
      </c>
      <c r="C464" s="6" t="s">
        <v>7</v>
      </c>
      <c r="D464" s="6" t="str">
        <f>"赵远翔"</f>
        <v>赵远翔</v>
      </c>
      <c r="E464" s="6" t="str">
        <f>"1993-01-02"</f>
        <v>1993-01-02</v>
      </c>
      <c r="F464" s="6"/>
    </row>
    <row r="465" spans="1:6" ht="30" customHeight="1">
      <c r="A465" s="6">
        <v>463</v>
      </c>
      <c r="B465" s="6" t="str">
        <f>"272820201120231549665"</f>
        <v>272820201120231549665</v>
      </c>
      <c r="C465" s="6" t="s">
        <v>7</v>
      </c>
      <c r="D465" s="6" t="str">
        <f>"沈海汕"</f>
        <v>沈海汕</v>
      </c>
      <c r="E465" s="6" t="str">
        <f>"1997-07-08"</f>
        <v>1997-07-08</v>
      </c>
      <c r="F465" s="6"/>
    </row>
    <row r="466" spans="1:6" ht="30" customHeight="1">
      <c r="A466" s="6">
        <v>464</v>
      </c>
      <c r="B466" s="6" t="str">
        <f>"272820201120232626666"</f>
        <v>272820201120232626666</v>
      </c>
      <c r="C466" s="6" t="s">
        <v>7</v>
      </c>
      <c r="D466" s="6" t="str">
        <f>"王冠南"</f>
        <v>王冠南</v>
      </c>
      <c r="E466" s="6" t="str">
        <f>"1996-08-25"</f>
        <v>1996-08-25</v>
      </c>
      <c r="F466" s="6"/>
    </row>
    <row r="467" spans="1:6" ht="30" customHeight="1">
      <c r="A467" s="6">
        <v>465</v>
      </c>
      <c r="B467" s="6" t="str">
        <f>"272820201120233035667"</f>
        <v>272820201120233035667</v>
      </c>
      <c r="C467" s="6" t="s">
        <v>7</v>
      </c>
      <c r="D467" s="6" t="str">
        <f>"王鹏"</f>
        <v>王鹏</v>
      </c>
      <c r="E467" s="6" t="str">
        <f>"1991-07-19"</f>
        <v>1991-07-19</v>
      </c>
      <c r="F467" s="6"/>
    </row>
    <row r="468" spans="1:6" ht="30" customHeight="1">
      <c r="A468" s="6">
        <v>466</v>
      </c>
      <c r="B468" s="6" t="str">
        <f>"272820201120233520669"</f>
        <v>272820201120233520669</v>
      </c>
      <c r="C468" s="6" t="s">
        <v>7</v>
      </c>
      <c r="D468" s="6" t="str">
        <f>"包俐儒"</f>
        <v>包俐儒</v>
      </c>
      <c r="E468" s="6" t="str">
        <f>"1988-03-20"</f>
        <v>1988-03-20</v>
      </c>
      <c r="F468" s="6"/>
    </row>
    <row r="469" spans="1:6" ht="30" customHeight="1">
      <c r="A469" s="6">
        <v>467</v>
      </c>
      <c r="B469" s="6" t="str">
        <f>"272820201120233604670"</f>
        <v>272820201120233604670</v>
      </c>
      <c r="C469" s="6" t="s">
        <v>7</v>
      </c>
      <c r="D469" s="6" t="str">
        <f>"袁皓"</f>
        <v>袁皓</v>
      </c>
      <c r="E469" s="6" t="str">
        <f>"1993-09-20"</f>
        <v>1993-09-20</v>
      </c>
      <c r="F469" s="6"/>
    </row>
    <row r="470" spans="1:6" ht="30" customHeight="1">
      <c r="A470" s="6">
        <v>468</v>
      </c>
      <c r="B470" s="6" t="str">
        <f>"272820201120234632672"</f>
        <v>272820201120234632672</v>
      </c>
      <c r="C470" s="6" t="s">
        <v>7</v>
      </c>
      <c r="D470" s="6" t="str">
        <f>"黄诗诗"</f>
        <v>黄诗诗</v>
      </c>
      <c r="E470" s="6" t="str">
        <f>"1997-10-10"</f>
        <v>1997-10-10</v>
      </c>
      <c r="F470" s="6"/>
    </row>
    <row r="471" spans="1:6" ht="30" customHeight="1">
      <c r="A471" s="6">
        <v>469</v>
      </c>
      <c r="B471" s="6" t="str">
        <f>"272820201120234745673"</f>
        <v>272820201120234745673</v>
      </c>
      <c r="C471" s="6" t="s">
        <v>7</v>
      </c>
      <c r="D471" s="6" t="str">
        <f>"马婷婷"</f>
        <v>马婷婷</v>
      </c>
      <c r="E471" s="6" t="str">
        <f>"1997-04-10"</f>
        <v>1997-04-10</v>
      </c>
      <c r="F471" s="6"/>
    </row>
    <row r="472" spans="1:6" ht="30" customHeight="1">
      <c r="A472" s="6">
        <v>470</v>
      </c>
      <c r="B472" s="6" t="str">
        <f>"272820201120235218675"</f>
        <v>272820201120235218675</v>
      </c>
      <c r="C472" s="6" t="s">
        <v>7</v>
      </c>
      <c r="D472" s="6" t="str">
        <f>"吉春丽"</f>
        <v>吉春丽</v>
      </c>
      <c r="E472" s="6" t="str">
        <f>"2000-02-07"</f>
        <v>2000-02-07</v>
      </c>
      <c r="F472" s="6"/>
    </row>
    <row r="473" spans="1:6" ht="30" customHeight="1">
      <c r="A473" s="6">
        <v>471</v>
      </c>
      <c r="B473" s="6" t="str">
        <f>"272820201120235438676"</f>
        <v>272820201120235438676</v>
      </c>
      <c r="C473" s="6" t="s">
        <v>7</v>
      </c>
      <c r="D473" s="6" t="str">
        <f>"何柳"</f>
        <v>何柳</v>
      </c>
      <c r="E473" s="6" t="str">
        <f>"1997-07-03"</f>
        <v>1997-07-03</v>
      </c>
      <c r="F473" s="6"/>
    </row>
    <row r="474" spans="1:6" ht="30" customHeight="1">
      <c r="A474" s="6">
        <v>472</v>
      </c>
      <c r="B474" s="6" t="str">
        <f>"272820201121001814677"</f>
        <v>272820201121001814677</v>
      </c>
      <c r="C474" s="6" t="s">
        <v>7</v>
      </c>
      <c r="D474" s="6" t="str">
        <f>"姜蕾"</f>
        <v>姜蕾</v>
      </c>
      <c r="E474" s="6" t="str">
        <f>"1989-10-26"</f>
        <v>1989-10-26</v>
      </c>
      <c r="F474" s="6"/>
    </row>
    <row r="475" spans="1:6" ht="30" customHeight="1">
      <c r="A475" s="6">
        <v>473</v>
      </c>
      <c r="B475" s="6" t="str">
        <f>"272820201121001917678"</f>
        <v>272820201121001917678</v>
      </c>
      <c r="C475" s="6" t="s">
        <v>7</v>
      </c>
      <c r="D475" s="6" t="str">
        <f>"马星智"</f>
        <v>马星智</v>
      </c>
      <c r="E475" s="6" t="str">
        <f>"1991-03-14"</f>
        <v>1991-03-14</v>
      </c>
      <c r="F475" s="6"/>
    </row>
    <row r="476" spans="1:6" ht="30" customHeight="1">
      <c r="A476" s="6">
        <v>474</v>
      </c>
      <c r="B476" s="6" t="str">
        <f>"272820201121004923681"</f>
        <v>272820201121004923681</v>
      </c>
      <c r="C476" s="6" t="s">
        <v>7</v>
      </c>
      <c r="D476" s="6" t="str">
        <f>"陈为亮"</f>
        <v>陈为亮</v>
      </c>
      <c r="E476" s="6" t="str">
        <f>"1997-09-02"</f>
        <v>1997-09-02</v>
      </c>
      <c r="F476" s="6"/>
    </row>
    <row r="477" spans="1:6" ht="30" customHeight="1">
      <c r="A477" s="6">
        <v>475</v>
      </c>
      <c r="B477" s="6" t="str">
        <f>"272820201121005808682"</f>
        <v>272820201121005808682</v>
      </c>
      <c r="C477" s="6" t="s">
        <v>7</v>
      </c>
      <c r="D477" s="6" t="str">
        <f>"符丽欣"</f>
        <v>符丽欣</v>
      </c>
      <c r="E477" s="6" t="str">
        <f>"1999-07-03"</f>
        <v>1999-07-03</v>
      </c>
      <c r="F477" s="6"/>
    </row>
    <row r="478" spans="1:6" ht="30" customHeight="1">
      <c r="A478" s="6">
        <v>476</v>
      </c>
      <c r="B478" s="6" t="str">
        <f>"272820201121014534683"</f>
        <v>272820201121014534683</v>
      </c>
      <c r="C478" s="6" t="s">
        <v>7</v>
      </c>
      <c r="D478" s="6" t="str">
        <f>"符太肖"</f>
        <v>符太肖</v>
      </c>
      <c r="E478" s="6" t="str">
        <f>"1989-02-05"</f>
        <v>1989-02-05</v>
      </c>
      <c r="F478" s="6"/>
    </row>
    <row r="479" spans="1:6" ht="30" customHeight="1">
      <c r="A479" s="6">
        <v>477</v>
      </c>
      <c r="B479" s="6" t="str">
        <f>"272820201121015805684"</f>
        <v>272820201121015805684</v>
      </c>
      <c r="C479" s="6" t="s">
        <v>7</v>
      </c>
      <c r="D479" s="6" t="str">
        <f>"黎秀文"</f>
        <v>黎秀文</v>
      </c>
      <c r="E479" s="6" t="str">
        <f>"1994-01-18"</f>
        <v>1994-01-18</v>
      </c>
      <c r="F479" s="6"/>
    </row>
    <row r="480" spans="1:6" ht="30" customHeight="1">
      <c r="A480" s="6">
        <v>478</v>
      </c>
      <c r="B480" s="6" t="str">
        <f>"272820201121035658686"</f>
        <v>272820201121035658686</v>
      </c>
      <c r="C480" s="6" t="s">
        <v>7</v>
      </c>
      <c r="D480" s="6" t="str">
        <f>"冯浩乘"</f>
        <v>冯浩乘</v>
      </c>
      <c r="E480" s="6" t="str">
        <f>"1992-07-08"</f>
        <v>1992-07-08</v>
      </c>
      <c r="F480" s="6"/>
    </row>
    <row r="481" spans="1:6" ht="30" customHeight="1">
      <c r="A481" s="6">
        <v>479</v>
      </c>
      <c r="B481" s="6" t="str">
        <f>"272820201121053014687"</f>
        <v>272820201121053014687</v>
      </c>
      <c r="C481" s="6" t="s">
        <v>7</v>
      </c>
      <c r="D481" s="6" t="str">
        <f>"陈芬秀"</f>
        <v>陈芬秀</v>
      </c>
      <c r="E481" s="6" t="str">
        <f>"1992-06-13"</f>
        <v>1992-06-13</v>
      </c>
      <c r="F481" s="6"/>
    </row>
    <row r="482" spans="1:6" ht="30" customHeight="1">
      <c r="A482" s="6">
        <v>480</v>
      </c>
      <c r="B482" s="6" t="str">
        <f>"272820201121070137688"</f>
        <v>272820201121070137688</v>
      </c>
      <c r="C482" s="6" t="s">
        <v>7</v>
      </c>
      <c r="D482" s="6" t="str">
        <f>"顾祥译"</f>
        <v>顾祥译</v>
      </c>
      <c r="E482" s="6" t="str">
        <f>"1992-10-12"</f>
        <v>1992-10-12</v>
      </c>
      <c r="F482" s="6"/>
    </row>
    <row r="483" spans="1:6" ht="30" customHeight="1">
      <c r="A483" s="6">
        <v>481</v>
      </c>
      <c r="B483" s="6" t="str">
        <f>"272820201121073854689"</f>
        <v>272820201121073854689</v>
      </c>
      <c r="C483" s="6" t="s">
        <v>7</v>
      </c>
      <c r="D483" s="6" t="str">
        <f>"许为家"</f>
        <v>许为家</v>
      </c>
      <c r="E483" s="6" t="str">
        <f>"1992-05-06"</f>
        <v>1992-05-06</v>
      </c>
      <c r="F483" s="6"/>
    </row>
    <row r="484" spans="1:6" ht="30" customHeight="1">
      <c r="A484" s="6">
        <v>482</v>
      </c>
      <c r="B484" s="6" t="str">
        <f>"272820201121075124690"</f>
        <v>272820201121075124690</v>
      </c>
      <c r="C484" s="6" t="s">
        <v>7</v>
      </c>
      <c r="D484" s="6" t="str">
        <f>"唐叶"</f>
        <v>唐叶</v>
      </c>
      <c r="E484" s="6" t="str">
        <f>"1994-11-20"</f>
        <v>1994-11-20</v>
      </c>
      <c r="F484" s="6"/>
    </row>
    <row r="485" spans="1:6" ht="30" customHeight="1">
      <c r="A485" s="6">
        <v>483</v>
      </c>
      <c r="B485" s="6" t="str">
        <f>"272820201121080343691"</f>
        <v>272820201121080343691</v>
      </c>
      <c r="C485" s="6" t="s">
        <v>7</v>
      </c>
      <c r="D485" s="6" t="str">
        <f>"李粤"</f>
        <v>李粤</v>
      </c>
      <c r="E485" s="6" t="str">
        <f>"1999-02-27"</f>
        <v>1999-02-27</v>
      </c>
      <c r="F485" s="6"/>
    </row>
    <row r="486" spans="1:6" ht="30" customHeight="1">
      <c r="A486" s="6">
        <v>484</v>
      </c>
      <c r="B486" s="6" t="str">
        <f>"272820201121082844692"</f>
        <v>272820201121082844692</v>
      </c>
      <c r="C486" s="6" t="s">
        <v>7</v>
      </c>
      <c r="D486" s="6" t="str">
        <f>"黄迟"</f>
        <v>黄迟</v>
      </c>
      <c r="E486" s="6" t="str">
        <f>"1986-09-15"</f>
        <v>1986-09-15</v>
      </c>
      <c r="F486" s="6"/>
    </row>
    <row r="487" spans="1:6" ht="30" customHeight="1">
      <c r="A487" s="6">
        <v>485</v>
      </c>
      <c r="B487" s="6" t="str">
        <f>"272820201121083330693"</f>
        <v>272820201121083330693</v>
      </c>
      <c r="C487" s="6" t="s">
        <v>7</v>
      </c>
      <c r="D487" s="6" t="str">
        <f>"林萌菲"</f>
        <v>林萌菲</v>
      </c>
      <c r="E487" s="6" t="str">
        <f>"1993-06-03"</f>
        <v>1993-06-03</v>
      </c>
      <c r="F487" s="6"/>
    </row>
    <row r="488" spans="1:6" ht="30" customHeight="1">
      <c r="A488" s="6">
        <v>486</v>
      </c>
      <c r="B488" s="6" t="str">
        <f>"272820201121084403694"</f>
        <v>272820201121084403694</v>
      </c>
      <c r="C488" s="6" t="s">
        <v>7</v>
      </c>
      <c r="D488" s="6" t="str">
        <f>"符叶"</f>
        <v>符叶</v>
      </c>
      <c r="E488" s="6" t="str">
        <f>"1994-05-27"</f>
        <v>1994-05-27</v>
      </c>
      <c r="F488" s="6"/>
    </row>
    <row r="489" spans="1:6" ht="30" customHeight="1">
      <c r="A489" s="6">
        <v>487</v>
      </c>
      <c r="B489" s="6" t="str">
        <f>"272820201121085306697"</f>
        <v>272820201121085306697</v>
      </c>
      <c r="C489" s="6" t="s">
        <v>7</v>
      </c>
      <c r="D489" s="6" t="str">
        <f>"蒲裕超"</f>
        <v>蒲裕超</v>
      </c>
      <c r="E489" s="6" t="str">
        <f>"1995-05-26"</f>
        <v>1995-05-26</v>
      </c>
      <c r="F489" s="6"/>
    </row>
    <row r="490" spans="1:6" ht="30" customHeight="1">
      <c r="A490" s="6">
        <v>488</v>
      </c>
      <c r="B490" s="6" t="str">
        <f>"272820201121085852698"</f>
        <v>272820201121085852698</v>
      </c>
      <c r="C490" s="6" t="s">
        <v>7</v>
      </c>
      <c r="D490" s="6" t="str">
        <f>"洪应隆"</f>
        <v>洪应隆</v>
      </c>
      <c r="E490" s="6" t="str">
        <f>"1997-12-26"</f>
        <v>1997-12-26</v>
      </c>
      <c r="F490" s="6"/>
    </row>
    <row r="491" spans="1:6" ht="30" customHeight="1">
      <c r="A491" s="6">
        <v>489</v>
      </c>
      <c r="B491" s="6" t="str">
        <f>"272820201121090743699"</f>
        <v>272820201121090743699</v>
      </c>
      <c r="C491" s="6" t="s">
        <v>7</v>
      </c>
      <c r="D491" s="6" t="str">
        <f>"罗牡丹"</f>
        <v>罗牡丹</v>
      </c>
      <c r="E491" s="6" t="str">
        <f>"1996-11-29"</f>
        <v>1996-11-29</v>
      </c>
      <c r="F491" s="6"/>
    </row>
    <row r="492" spans="1:6" ht="30" customHeight="1">
      <c r="A492" s="6">
        <v>490</v>
      </c>
      <c r="B492" s="6" t="str">
        <f>"272820201121091518701"</f>
        <v>272820201121091518701</v>
      </c>
      <c r="C492" s="6" t="s">
        <v>7</v>
      </c>
      <c r="D492" s="6" t="str">
        <f>"刘裕超"</f>
        <v>刘裕超</v>
      </c>
      <c r="E492" s="6" t="str">
        <f>"1991-01-27"</f>
        <v>1991-01-27</v>
      </c>
      <c r="F492" s="6"/>
    </row>
    <row r="493" spans="1:6" ht="30" customHeight="1">
      <c r="A493" s="6">
        <v>491</v>
      </c>
      <c r="B493" s="6" t="str">
        <f>"272820201121091528702"</f>
        <v>272820201121091528702</v>
      </c>
      <c r="C493" s="6" t="s">
        <v>7</v>
      </c>
      <c r="D493" s="6" t="str">
        <f>"唐全祎"</f>
        <v>唐全祎</v>
      </c>
      <c r="E493" s="6" t="str">
        <f>"1989-04-14"</f>
        <v>1989-04-14</v>
      </c>
      <c r="F493" s="6"/>
    </row>
    <row r="494" spans="1:6" ht="30" customHeight="1">
      <c r="A494" s="6">
        <v>492</v>
      </c>
      <c r="B494" s="6" t="str">
        <f>"272820201121092504704"</f>
        <v>272820201121092504704</v>
      </c>
      <c r="C494" s="6" t="s">
        <v>7</v>
      </c>
      <c r="D494" s="6" t="str">
        <f>"邢贞曼"</f>
        <v>邢贞曼</v>
      </c>
      <c r="E494" s="6" t="str">
        <f>"2000-05-20"</f>
        <v>2000-05-20</v>
      </c>
      <c r="F494" s="6"/>
    </row>
    <row r="495" spans="1:6" ht="30" customHeight="1">
      <c r="A495" s="6">
        <v>493</v>
      </c>
      <c r="B495" s="6" t="str">
        <f>"272820201121092615705"</f>
        <v>272820201121092615705</v>
      </c>
      <c r="C495" s="6" t="s">
        <v>7</v>
      </c>
      <c r="D495" s="6" t="str">
        <f>"刘韬"</f>
        <v>刘韬</v>
      </c>
      <c r="E495" s="6" t="str">
        <f>"1993-08-18"</f>
        <v>1993-08-18</v>
      </c>
      <c r="F495" s="6"/>
    </row>
    <row r="496" spans="1:6" ht="30" customHeight="1">
      <c r="A496" s="6">
        <v>494</v>
      </c>
      <c r="B496" s="6" t="str">
        <f>"272820201121093020706"</f>
        <v>272820201121093020706</v>
      </c>
      <c r="C496" s="6" t="s">
        <v>7</v>
      </c>
      <c r="D496" s="6" t="str">
        <f>"卢昭"</f>
        <v>卢昭</v>
      </c>
      <c r="E496" s="6" t="str">
        <f>"1993-02-22"</f>
        <v>1993-02-22</v>
      </c>
      <c r="F496" s="6"/>
    </row>
    <row r="497" spans="1:6" ht="30" customHeight="1">
      <c r="A497" s="6">
        <v>495</v>
      </c>
      <c r="B497" s="6" t="str">
        <f>"272820201121093248708"</f>
        <v>272820201121093248708</v>
      </c>
      <c r="C497" s="6" t="s">
        <v>7</v>
      </c>
      <c r="D497" s="6" t="str">
        <f>"潘明志"</f>
        <v>潘明志</v>
      </c>
      <c r="E497" s="6" t="str">
        <f>"1993-01-01"</f>
        <v>1993-01-01</v>
      </c>
      <c r="F497" s="6"/>
    </row>
    <row r="498" spans="1:6" ht="30" customHeight="1">
      <c r="A498" s="6">
        <v>496</v>
      </c>
      <c r="B498" s="6" t="str">
        <f>"272820201121093632709"</f>
        <v>272820201121093632709</v>
      </c>
      <c r="C498" s="6" t="s">
        <v>7</v>
      </c>
      <c r="D498" s="6" t="str">
        <f>"海英萍"</f>
        <v>海英萍</v>
      </c>
      <c r="E498" s="6" t="str">
        <f>"1996-06-10"</f>
        <v>1996-06-10</v>
      </c>
      <c r="F498" s="6"/>
    </row>
    <row r="499" spans="1:6" ht="30" customHeight="1">
      <c r="A499" s="6">
        <v>497</v>
      </c>
      <c r="B499" s="6" t="str">
        <f>"272820201121095329710"</f>
        <v>272820201121095329710</v>
      </c>
      <c r="C499" s="6" t="s">
        <v>7</v>
      </c>
      <c r="D499" s="6" t="str">
        <f>"林锦华"</f>
        <v>林锦华</v>
      </c>
      <c r="E499" s="6" t="str">
        <f>"1996-08-09"</f>
        <v>1996-08-09</v>
      </c>
      <c r="F499" s="6"/>
    </row>
    <row r="500" spans="1:6" ht="30" customHeight="1">
      <c r="A500" s="6">
        <v>498</v>
      </c>
      <c r="B500" s="6" t="str">
        <f>"272820201121095606711"</f>
        <v>272820201121095606711</v>
      </c>
      <c r="C500" s="6" t="s">
        <v>7</v>
      </c>
      <c r="D500" s="6" t="str">
        <f>"林妹"</f>
        <v>林妹</v>
      </c>
      <c r="E500" s="6" t="str">
        <f>"1996-11-28"</f>
        <v>1996-11-28</v>
      </c>
      <c r="F500" s="6"/>
    </row>
    <row r="501" spans="1:6" ht="30" customHeight="1">
      <c r="A501" s="6">
        <v>499</v>
      </c>
      <c r="B501" s="6" t="str">
        <f>"272820201121095632712"</f>
        <v>272820201121095632712</v>
      </c>
      <c r="C501" s="6" t="s">
        <v>7</v>
      </c>
      <c r="D501" s="6" t="str">
        <f>"严祎"</f>
        <v>严祎</v>
      </c>
      <c r="E501" s="6" t="str">
        <f>"1994-06-23"</f>
        <v>1994-06-23</v>
      </c>
      <c r="F501" s="6"/>
    </row>
    <row r="502" spans="1:6" ht="30" customHeight="1">
      <c r="A502" s="6">
        <v>500</v>
      </c>
      <c r="B502" s="6" t="str">
        <f>"272820201121100003713"</f>
        <v>272820201121100003713</v>
      </c>
      <c r="C502" s="6" t="s">
        <v>7</v>
      </c>
      <c r="D502" s="6" t="str">
        <f>"邓梓晖"</f>
        <v>邓梓晖</v>
      </c>
      <c r="E502" s="6" t="str">
        <f>"1998-01-24"</f>
        <v>1998-01-24</v>
      </c>
      <c r="F502" s="6"/>
    </row>
    <row r="503" spans="1:6" ht="30" customHeight="1">
      <c r="A503" s="6">
        <v>501</v>
      </c>
      <c r="B503" s="6" t="str">
        <f>"272820201121100259714"</f>
        <v>272820201121100259714</v>
      </c>
      <c r="C503" s="6" t="s">
        <v>7</v>
      </c>
      <c r="D503" s="6" t="str">
        <f>"黎宁"</f>
        <v>黎宁</v>
      </c>
      <c r="E503" s="6" t="str">
        <f>"1985-02-15"</f>
        <v>1985-02-15</v>
      </c>
      <c r="F503" s="6"/>
    </row>
    <row r="504" spans="1:6" ht="30" customHeight="1">
      <c r="A504" s="6">
        <v>502</v>
      </c>
      <c r="B504" s="6" t="str">
        <f>"272820201121100625716"</f>
        <v>272820201121100625716</v>
      </c>
      <c r="C504" s="6" t="s">
        <v>7</v>
      </c>
      <c r="D504" s="6" t="str">
        <f>"莫兰明"</f>
        <v>莫兰明</v>
      </c>
      <c r="E504" s="6" t="str">
        <f>"1997-12-11"</f>
        <v>1997-12-11</v>
      </c>
      <c r="F504" s="6"/>
    </row>
    <row r="505" spans="1:6" ht="30" customHeight="1">
      <c r="A505" s="6">
        <v>503</v>
      </c>
      <c r="B505" s="6" t="str">
        <f>"272820201121101053718"</f>
        <v>272820201121101053718</v>
      </c>
      <c r="C505" s="6" t="s">
        <v>7</v>
      </c>
      <c r="D505" s="6" t="str">
        <f>"黄珍珠"</f>
        <v>黄珍珠</v>
      </c>
      <c r="E505" s="6" t="str">
        <f>"1986-09-12"</f>
        <v>1986-09-12</v>
      </c>
      <c r="F505" s="6"/>
    </row>
    <row r="506" spans="1:6" ht="30" customHeight="1">
      <c r="A506" s="6">
        <v>504</v>
      </c>
      <c r="B506" s="6" t="str">
        <f>"272820201121101203719"</f>
        <v>272820201121101203719</v>
      </c>
      <c r="C506" s="6" t="s">
        <v>7</v>
      </c>
      <c r="D506" s="6" t="str">
        <f>"赵文彬"</f>
        <v>赵文彬</v>
      </c>
      <c r="E506" s="6" t="str">
        <f>"1993-02-20"</f>
        <v>1993-02-20</v>
      </c>
      <c r="F506" s="6"/>
    </row>
    <row r="507" spans="1:6" ht="30" customHeight="1">
      <c r="A507" s="6">
        <v>505</v>
      </c>
      <c r="B507" s="6" t="str">
        <f>"272820201121101402720"</f>
        <v>272820201121101402720</v>
      </c>
      <c r="C507" s="6" t="s">
        <v>7</v>
      </c>
      <c r="D507" s="6" t="str">
        <f>"王韵"</f>
        <v>王韵</v>
      </c>
      <c r="E507" s="6" t="str">
        <f>"1996-01-12"</f>
        <v>1996-01-12</v>
      </c>
      <c r="F507" s="6"/>
    </row>
    <row r="508" spans="1:6" ht="30" customHeight="1">
      <c r="A508" s="6">
        <v>506</v>
      </c>
      <c r="B508" s="6" t="str">
        <f>"272820201121102112722"</f>
        <v>272820201121102112722</v>
      </c>
      <c r="C508" s="6" t="s">
        <v>7</v>
      </c>
      <c r="D508" s="6" t="str">
        <f>"张馨月"</f>
        <v>张馨月</v>
      </c>
      <c r="E508" s="6" t="str">
        <f>"1996-03-09"</f>
        <v>1996-03-09</v>
      </c>
      <c r="F508" s="6"/>
    </row>
    <row r="509" spans="1:6" ht="30" customHeight="1">
      <c r="A509" s="6">
        <v>507</v>
      </c>
      <c r="B509" s="6" t="str">
        <f>"272820201121102547723"</f>
        <v>272820201121102547723</v>
      </c>
      <c r="C509" s="6" t="s">
        <v>7</v>
      </c>
      <c r="D509" s="6" t="str">
        <f>"王岩"</f>
        <v>王岩</v>
      </c>
      <c r="E509" s="6" t="str">
        <f>"1994-11-23"</f>
        <v>1994-11-23</v>
      </c>
      <c r="F509" s="6"/>
    </row>
    <row r="510" spans="1:6" ht="30" customHeight="1">
      <c r="A510" s="6">
        <v>508</v>
      </c>
      <c r="B510" s="6" t="str">
        <f>"272820201121102939724"</f>
        <v>272820201121102939724</v>
      </c>
      <c r="C510" s="6" t="s">
        <v>7</v>
      </c>
      <c r="D510" s="6" t="str">
        <f>"林欣如"</f>
        <v>林欣如</v>
      </c>
      <c r="E510" s="6" t="str">
        <f>"1993-07-30"</f>
        <v>1993-07-30</v>
      </c>
      <c r="F510" s="6"/>
    </row>
    <row r="511" spans="1:6" ht="30" customHeight="1">
      <c r="A511" s="6">
        <v>509</v>
      </c>
      <c r="B511" s="6" t="str">
        <f>"272820201121103017725"</f>
        <v>272820201121103017725</v>
      </c>
      <c r="C511" s="6" t="s">
        <v>7</v>
      </c>
      <c r="D511" s="6" t="str">
        <f>"林于雀"</f>
        <v>林于雀</v>
      </c>
      <c r="E511" s="6" t="str">
        <f>"1995-07-22"</f>
        <v>1995-07-22</v>
      </c>
      <c r="F511" s="6"/>
    </row>
    <row r="512" spans="1:6" ht="30" customHeight="1">
      <c r="A512" s="6">
        <v>510</v>
      </c>
      <c r="B512" s="6" t="str">
        <f>"272820201121103039726"</f>
        <v>272820201121103039726</v>
      </c>
      <c r="C512" s="6" t="s">
        <v>7</v>
      </c>
      <c r="D512" s="6" t="str">
        <f>"阮丹霞"</f>
        <v>阮丹霞</v>
      </c>
      <c r="E512" s="6" t="str">
        <f>"1994-02-14"</f>
        <v>1994-02-14</v>
      </c>
      <c r="F512" s="6"/>
    </row>
    <row r="513" spans="1:6" ht="30" customHeight="1">
      <c r="A513" s="6">
        <v>511</v>
      </c>
      <c r="B513" s="6" t="str">
        <f>"272820201121103140727"</f>
        <v>272820201121103140727</v>
      </c>
      <c r="C513" s="6" t="s">
        <v>7</v>
      </c>
      <c r="D513" s="6" t="str">
        <f>"曾晴"</f>
        <v>曾晴</v>
      </c>
      <c r="E513" s="6" t="str">
        <f>"1999-08-05"</f>
        <v>1999-08-05</v>
      </c>
      <c r="F513" s="6"/>
    </row>
    <row r="514" spans="1:6" ht="30" customHeight="1">
      <c r="A514" s="6">
        <v>512</v>
      </c>
      <c r="B514" s="6" t="str">
        <f>"272820201121103228728"</f>
        <v>272820201121103228728</v>
      </c>
      <c r="C514" s="6" t="s">
        <v>7</v>
      </c>
      <c r="D514" s="6" t="str">
        <f>"李博文"</f>
        <v>李博文</v>
      </c>
      <c r="E514" s="6" t="str">
        <f>"1994-03-24"</f>
        <v>1994-03-24</v>
      </c>
      <c r="F514" s="6"/>
    </row>
    <row r="515" spans="1:6" ht="30" customHeight="1">
      <c r="A515" s="6">
        <v>513</v>
      </c>
      <c r="B515" s="6" t="str">
        <f>"272820201121103550729"</f>
        <v>272820201121103550729</v>
      </c>
      <c r="C515" s="6" t="s">
        <v>7</v>
      </c>
      <c r="D515" s="6" t="str">
        <f>"吴芳莹"</f>
        <v>吴芳莹</v>
      </c>
      <c r="E515" s="6" t="str">
        <f>"1998-10-28"</f>
        <v>1998-10-28</v>
      </c>
      <c r="F515" s="6"/>
    </row>
    <row r="516" spans="1:6" ht="30" customHeight="1">
      <c r="A516" s="6">
        <v>514</v>
      </c>
      <c r="B516" s="6" t="str">
        <f>"272820201121104318731"</f>
        <v>272820201121104318731</v>
      </c>
      <c r="C516" s="6" t="s">
        <v>7</v>
      </c>
      <c r="D516" s="6" t="str">
        <f>"符臣锋"</f>
        <v>符臣锋</v>
      </c>
      <c r="E516" s="6" t="str">
        <f>"1995-05-28"</f>
        <v>1995-05-28</v>
      </c>
      <c r="F516" s="6"/>
    </row>
    <row r="517" spans="1:6" ht="30" customHeight="1">
      <c r="A517" s="6">
        <v>515</v>
      </c>
      <c r="B517" s="6" t="str">
        <f>"272820201121104539732"</f>
        <v>272820201121104539732</v>
      </c>
      <c r="C517" s="6" t="s">
        <v>7</v>
      </c>
      <c r="D517" s="6" t="str">
        <f>"肖方海"</f>
        <v>肖方海</v>
      </c>
      <c r="E517" s="6" t="str">
        <f>"1997-06-15"</f>
        <v>1997-06-15</v>
      </c>
      <c r="F517" s="6"/>
    </row>
    <row r="518" spans="1:6" ht="30" customHeight="1">
      <c r="A518" s="6">
        <v>516</v>
      </c>
      <c r="B518" s="6" t="str">
        <f>"272820201121104627733"</f>
        <v>272820201121104627733</v>
      </c>
      <c r="C518" s="6" t="s">
        <v>7</v>
      </c>
      <c r="D518" s="6" t="str">
        <f>"符成铄"</f>
        <v>符成铄</v>
      </c>
      <c r="E518" s="6" t="str">
        <f>"1991-12-01"</f>
        <v>1991-12-01</v>
      </c>
      <c r="F518" s="6"/>
    </row>
    <row r="519" spans="1:6" ht="30" customHeight="1">
      <c r="A519" s="6">
        <v>517</v>
      </c>
      <c r="B519" s="6" t="str">
        <f>"272820201121104700735"</f>
        <v>272820201121104700735</v>
      </c>
      <c r="C519" s="6" t="s">
        <v>7</v>
      </c>
      <c r="D519" s="6" t="str">
        <f>"符小珍"</f>
        <v>符小珍</v>
      </c>
      <c r="E519" s="6" t="str">
        <f>"1996-06-11"</f>
        <v>1996-06-11</v>
      </c>
      <c r="F519" s="6"/>
    </row>
    <row r="520" spans="1:6" ht="30" customHeight="1">
      <c r="A520" s="6">
        <v>518</v>
      </c>
      <c r="B520" s="6" t="str">
        <f>"272820201121104713736"</f>
        <v>272820201121104713736</v>
      </c>
      <c r="C520" s="6" t="s">
        <v>7</v>
      </c>
      <c r="D520" s="6" t="str">
        <f>"林先志"</f>
        <v>林先志</v>
      </c>
      <c r="E520" s="6" t="str">
        <f>"1996-09-28"</f>
        <v>1996-09-28</v>
      </c>
      <c r="F520" s="6"/>
    </row>
    <row r="521" spans="1:6" ht="30" customHeight="1">
      <c r="A521" s="6">
        <v>519</v>
      </c>
      <c r="B521" s="6" t="str">
        <f>"272820201121105006738"</f>
        <v>272820201121105006738</v>
      </c>
      <c r="C521" s="6" t="s">
        <v>7</v>
      </c>
      <c r="D521" s="6" t="str">
        <f>"王贤希"</f>
        <v>王贤希</v>
      </c>
      <c r="E521" s="6" t="str">
        <f>"1995-08-10"</f>
        <v>1995-08-10</v>
      </c>
      <c r="F521" s="6"/>
    </row>
    <row r="522" spans="1:6" ht="30" customHeight="1">
      <c r="A522" s="6">
        <v>520</v>
      </c>
      <c r="B522" s="6" t="str">
        <f>"272820201121105322741"</f>
        <v>272820201121105322741</v>
      </c>
      <c r="C522" s="6" t="s">
        <v>7</v>
      </c>
      <c r="D522" s="6" t="str">
        <f>"陈增雪"</f>
        <v>陈增雪</v>
      </c>
      <c r="E522" s="6" t="str">
        <f>"1998-03-01"</f>
        <v>1998-03-01</v>
      </c>
      <c r="F522" s="6"/>
    </row>
    <row r="523" spans="1:6" ht="30" customHeight="1">
      <c r="A523" s="6">
        <v>521</v>
      </c>
      <c r="B523" s="6" t="str">
        <f>"272820201121105331742"</f>
        <v>272820201121105331742</v>
      </c>
      <c r="C523" s="6" t="s">
        <v>7</v>
      </c>
      <c r="D523" s="6" t="str">
        <f>"石珠花"</f>
        <v>石珠花</v>
      </c>
      <c r="E523" s="6" t="str">
        <f>"1995-02-18"</f>
        <v>1995-02-18</v>
      </c>
      <c r="F523" s="6"/>
    </row>
    <row r="524" spans="1:6" ht="30" customHeight="1">
      <c r="A524" s="6">
        <v>522</v>
      </c>
      <c r="B524" s="6" t="str">
        <f>"272820201121105358743"</f>
        <v>272820201121105358743</v>
      </c>
      <c r="C524" s="6" t="s">
        <v>7</v>
      </c>
      <c r="D524" s="6" t="str">
        <f>"赖明裕"</f>
        <v>赖明裕</v>
      </c>
      <c r="E524" s="6" t="str">
        <f>"1996-09-26"</f>
        <v>1996-09-26</v>
      </c>
      <c r="F524" s="6"/>
    </row>
    <row r="525" spans="1:6" ht="30" customHeight="1">
      <c r="A525" s="6">
        <v>523</v>
      </c>
      <c r="B525" s="6" t="str">
        <f>"272820201121105617744"</f>
        <v>272820201121105617744</v>
      </c>
      <c r="C525" s="6" t="s">
        <v>7</v>
      </c>
      <c r="D525" s="6" t="str">
        <f>"刘方敏"</f>
        <v>刘方敏</v>
      </c>
      <c r="E525" s="6" t="str">
        <f>"1990-04-11"</f>
        <v>1990-04-11</v>
      </c>
      <c r="F525" s="6"/>
    </row>
    <row r="526" spans="1:6" ht="30" customHeight="1">
      <c r="A526" s="6">
        <v>524</v>
      </c>
      <c r="B526" s="6" t="str">
        <f>"272820201121105656745"</f>
        <v>272820201121105656745</v>
      </c>
      <c r="C526" s="6" t="s">
        <v>7</v>
      </c>
      <c r="D526" s="6" t="str">
        <f>"薛开智"</f>
        <v>薛开智</v>
      </c>
      <c r="E526" s="6" t="str">
        <f>"1997-03-20"</f>
        <v>1997-03-20</v>
      </c>
      <c r="F526" s="6"/>
    </row>
    <row r="527" spans="1:6" ht="30" customHeight="1">
      <c r="A527" s="6">
        <v>525</v>
      </c>
      <c r="B527" s="6" t="str">
        <f>"272820201121110041747"</f>
        <v>272820201121110041747</v>
      </c>
      <c r="C527" s="6" t="s">
        <v>7</v>
      </c>
      <c r="D527" s="6" t="str">
        <f>"崔碧涵"</f>
        <v>崔碧涵</v>
      </c>
      <c r="E527" s="6" t="str">
        <f>"1998-01-11"</f>
        <v>1998-01-11</v>
      </c>
      <c r="F527" s="6"/>
    </row>
    <row r="528" spans="1:6" ht="30" customHeight="1">
      <c r="A528" s="6">
        <v>526</v>
      </c>
      <c r="B528" s="6" t="str">
        <f>"272820201121110043748"</f>
        <v>272820201121110043748</v>
      </c>
      <c r="C528" s="6" t="s">
        <v>7</v>
      </c>
      <c r="D528" s="6" t="str">
        <f>"陈君妮"</f>
        <v>陈君妮</v>
      </c>
      <c r="E528" s="6" t="str">
        <f>"1998-02-01"</f>
        <v>1998-02-01</v>
      </c>
      <c r="F528" s="6"/>
    </row>
    <row r="529" spans="1:6" ht="30" customHeight="1">
      <c r="A529" s="6">
        <v>527</v>
      </c>
      <c r="B529" s="6" t="str">
        <f>"272820201121111157752"</f>
        <v>272820201121111157752</v>
      </c>
      <c r="C529" s="6" t="s">
        <v>7</v>
      </c>
      <c r="D529" s="6" t="str">
        <f>"卓余"</f>
        <v>卓余</v>
      </c>
      <c r="E529" s="6" t="str">
        <f>"1989-09-18"</f>
        <v>1989-09-18</v>
      </c>
      <c r="F529" s="6"/>
    </row>
    <row r="530" spans="1:6" ht="30" customHeight="1">
      <c r="A530" s="6">
        <v>528</v>
      </c>
      <c r="B530" s="6" t="str">
        <f>"272820201121111413753"</f>
        <v>272820201121111413753</v>
      </c>
      <c r="C530" s="6" t="s">
        <v>7</v>
      </c>
      <c r="D530" s="6" t="str">
        <f>"邱小玉"</f>
        <v>邱小玉</v>
      </c>
      <c r="E530" s="6" t="str">
        <f>"1997-03-29"</f>
        <v>1997-03-29</v>
      </c>
      <c r="F530" s="6"/>
    </row>
    <row r="531" spans="1:6" ht="30" customHeight="1">
      <c r="A531" s="6">
        <v>529</v>
      </c>
      <c r="B531" s="6" t="str">
        <f>"272820201121111942757"</f>
        <v>272820201121111942757</v>
      </c>
      <c r="C531" s="6" t="s">
        <v>7</v>
      </c>
      <c r="D531" s="6" t="str">
        <f>"高净"</f>
        <v>高净</v>
      </c>
      <c r="E531" s="6" t="str">
        <f>"1993-10-17"</f>
        <v>1993-10-17</v>
      </c>
      <c r="F531" s="6"/>
    </row>
    <row r="532" spans="1:6" ht="30" customHeight="1">
      <c r="A532" s="6">
        <v>530</v>
      </c>
      <c r="B532" s="6" t="str">
        <f>"272820201121112226758"</f>
        <v>272820201121112226758</v>
      </c>
      <c r="C532" s="6" t="s">
        <v>7</v>
      </c>
      <c r="D532" s="6" t="str">
        <f>"包帅"</f>
        <v>包帅</v>
      </c>
      <c r="E532" s="6" t="str">
        <f>"1994-09-13"</f>
        <v>1994-09-13</v>
      </c>
      <c r="F532" s="6"/>
    </row>
    <row r="533" spans="1:6" ht="30" customHeight="1">
      <c r="A533" s="6">
        <v>531</v>
      </c>
      <c r="B533" s="6" t="str">
        <f>"272820201121112257759"</f>
        <v>272820201121112257759</v>
      </c>
      <c r="C533" s="6" t="s">
        <v>7</v>
      </c>
      <c r="D533" s="6" t="str">
        <f>"高健婷"</f>
        <v>高健婷</v>
      </c>
      <c r="E533" s="6" t="str">
        <f>"1992-10-03"</f>
        <v>1992-10-03</v>
      </c>
      <c r="F533" s="6"/>
    </row>
    <row r="534" spans="1:6" ht="30" customHeight="1">
      <c r="A534" s="6">
        <v>532</v>
      </c>
      <c r="B534" s="6" t="str">
        <f>"272820201121113914763"</f>
        <v>272820201121113914763</v>
      </c>
      <c r="C534" s="6" t="s">
        <v>7</v>
      </c>
      <c r="D534" s="6" t="str">
        <f>"黄心慧"</f>
        <v>黄心慧</v>
      </c>
      <c r="E534" s="6" t="str">
        <f>"1999-11-09"</f>
        <v>1999-11-09</v>
      </c>
      <c r="F534" s="6"/>
    </row>
    <row r="535" spans="1:6" ht="30" customHeight="1">
      <c r="A535" s="6">
        <v>533</v>
      </c>
      <c r="B535" s="6" t="str">
        <f>"272820201121114011764"</f>
        <v>272820201121114011764</v>
      </c>
      <c r="C535" s="6" t="s">
        <v>7</v>
      </c>
      <c r="D535" s="6" t="str">
        <f>"符志伟"</f>
        <v>符志伟</v>
      </c>
      <c r="E535" s="6" t="str">
        <f>"1997-04-10"</f>
        <v>1997-04-10</v>
      </c>
      <c r="F535" s="6"/>
    </row>
    <row r="536" spans="1:6" ht="30" customHeight="1">
      <c r="A536" s="6">
        <v>534</v>
      </c>
      <c r="B536" s="6" t="str">
        <f>"272820201121114202765"</f>
        <v>272820201121114202765</v>
      </c>
      <c r="C536" s="6" t="s">
        <v>7</v>
      </c>
      <c r="D536" s="6" t="str">
        <f>"董贺菊"</f>
        <v>董贺菊</v>
      </c>
      <c r="E536" s="6" t="str">
        <f>"1995-02-02"</f>
        <v>1995-02-02</v>
      </c>
      <c r="F536" s="6"/>
    </row>
    <row r="537" spans="1:6" ht="30" customHeight="1">
      <c r="A537" s="6">
        <v>535</v>
      </c>
      <c r="B537" s="6" t="str">
        <f>"272820201121114337767"</f>
        <v>272820201121114337767</v>
      </c>
      <c r="C537" s="6" t="s">
        <v>7</v>
      </c>
      <c r="D537" s="6" t="str">
        <f>"朱莹莹"</f>
        <v>朱莹莹</v>
      </c>
      <c r="E537" s="6" t="str">
        <f>"1998-02-19"</f>
        <v>1998-02-19</v>
      </c>
      <c r="F537" s="6"/>
    </row>
    <row r="538" spans="1:6" ht="30" customHeight="1">
      <c r="A538" s="6">
        <v>536</v>
      </c>
      <c r="B538" s="6" t="str">
        <f>"272820201121114426768"</f>
        <v>272820201121114426768</v>
      </c>
      <c r="C538" s="6" t="s">
        <v>7</v>
      </c>
      <c r="D538" s="6" t="str">
        <f>"王磊"</f>
        <v>王磊</v>
      </c>
      <c r="E538" s="6" t="str">
        <f>"1987-11-09"</f>
        <v>1987-11-09</v>
      </c>
      <c r="F538" s="6"/>
    </row>
    <row r="539" spans="1:6" ht="30" customHeight="1">
      <c r="A539" s="6">
        <v>537</v>
      </c>
      <c r="B539" s="6" t="str">
        <f>"272820201121114430769"</f>
        <v>272820201121114430769</v>
      </c>
      <c r="C539" s="6" t="s">
        <v>7</v>
      </c>
      <c r="D539" s="6" t="str">
        <f>"王琼平"</f>
        <v>王琼平</v>
      </c>
      <c r="E539" s="6" t="str">
        <f>"1995-12-18"</f>
        <v>1995-12-18</v>
      </c>
      <c r="F539" s="6"/>
    </row>
    <row r="540" spans="1:6" ht="30" customHeight="1">
      <c r="A540" s="6">
        <v>538</v>
      </c>
      <c r="B540" s="6" t="str">
        <f>"272820201121114503770"</f>
        <v>272820201121114503770</v>
      </c>
      <c r="C540" s="6" t="s">
        <v>7</v>
      </c>
      <c r="D540" s="6" t="str">
        <f>"梁栋"</f>
        <v>梁栋</v>
      </c>
      <c r="E540" s="6" t="str">
        <f>"1994-01-31"</f>
        <v>1994-01-31</v>
      </c>
      <c r="F540" s="6"/>
    </row>
    <row r="541" spans="1:6" ht="30" customHeight="1">
      <c r="A541" s="6">
        <v>539</v>
      </c>
      <c r="B541" s="6" t="str">
        <f>"272820201121115034771"</f>
        <v>272820201121115034771</v>
      </c>
      <c r="C541" s="6" t="s">
        <v>7</v>
      </c>
      <c r="D541" s="6" t="str">
        <f>"李海婷"</f>
        <v>李海婷</v>
      </c>
      <c r="E541" s="6" t="str">
        <f>"1998-11-30"</f>
        <v>1998-11-30</v>
      </c>
      <c r="F541" s="6"/>
    </row>
    <row r="542" spans="1:6" ht="30" customHeight="1">
      <c r="A542" s="6">
        <v>540</v>
      </c>
      <c r="B542" s="6" t="str">
        <f>"272820201121115251772"</f>
        <v>272820201121115251772</v>
      </c>
      <c r="C542" s="6" t="s">
        <v>7</v>
      </c>
      <c r="D542" s="6" t="str">
        <f>"胡庆优"</f>
        <v>胡庆优</v>
      </c>
      <c r="E542" s="6" t="str">
        <f>"1994-12-30"</f>
        <v>1994-12-30</v>
      </c>
      <c r="F542" s="6"/>
    </row>
    <row r="543" spans="1:6" ht="30" customHeight="1">
      <c r="A543" s="6">
        <v>541</v>
      </c>
      <c r="B543" s="6" t="str">
        <f>"272820201121115824773"</f>
        <v>272820201121115824773</v>
      </c>
      <c r="C543" s="6" t="s">
        <v>7</v>
      </c>
      <c r="D543" s="6" t="str">
        <f>"林达峰"</f>
        <v>林达峰</v>
      </c>
      <c r="E543" s="6" t="str">
        <f>"1995-06-05"</f>
        <v>1995-06-05</v>
      </c>
      <c r="F543" s="6"/>
    </row>
    <row r="544" spans="1:6" ht="30" customHeight="1">
      <c r="A544" s="6">
        <v>542</v>
      </c>
      <c r="B544" s="6" t="str">
        <f>"272820201121115934774"</f>
        <v>272820201121115934774</v>
      </c>
      <c r="C544" s="6" t="s">
        <v>7</v>
      </c>
      <c r="D544" s="6" t="str">
        <f>"黄小婷"</f>
        <v>黄小婷</v>
      </c>
      <c r="E544" s="6" t="str">
        <f>"1997-10-02"</f>
        <v>1997-10-02</v>
      </c>
      <c r="F544" s="6"/>
    </row>
    <row r="545" spans="1:6" ht="30" customHeight="1">
      <c r="A545" s="6">
        <v>543</v>
      </c>
      <c r="B545" s="6" t="str">
        <f>"272820201121120753775"</f>
        <v>272820201121120753775</v>
      </c>
      <c r="C545" s="6" t="s">
        <v>7</v>
      </c>
      <c r="D545" s="6" t="str">
        <f>"林铭"</f>
        <v>林铭</v>
      </c>
      <c r="E545" s="6" t="str">
        <f>"1996-12-23"</f>
        <v>1996-12-23</v>
      </c>
      <c r="F545" s="6"/>
    </row>
    <row r="546" spans="1:6" ht="30" customHeight="1">
      <c r="A546" s="6">
        <v>544</v>
      </c>
      <c r="B546" s="6" t="str">
        <f>"272820201121121118776"</f>
        <v>272820201121121118776</v>
      </c>
      <c r="C546" s="6" t="s">
        <v>7</v>
      </c>
      <c r="D546" s="6" t="str">
        <f>"林进义"</f>
        <v>林进义</v>
      </c>
      <c r="E546" s="6" t="str">
        <f>"1995-09-07"</f>
        <v>1995-09-07</v>
      </c>
      <c r="F546" s="6"/>
    </row>
    <row r="547" spans="1:6" ht="30" customHeight="1">
      <c r="A547" s="6">
        <v>545</v>
      </c>
      <c r="B547" s="6" t="str">
        <f>"272820201121121118777"</f>
        <v>272820201121121118777</v>
      </c>
      <c r="C547" s="6" t="s">
        <v>7</v>
      </c>
      <c r="D547" s="6" t="str">
        <f>"郑素能"</f>
        <v>郑素能</v>
      </c>
      <c r="E547" s="6" t="str">
        <f>"1994-12-08"</f>
        <v>1994-12-08</v>
      </c>
      <c r="F547" s="6"/>
    </row>
    <row r="548" spans="1:6" ht="30" customHeight="1">
      <c r="A548" s="6">
        <v>546</v>
      </c>
      <c r="B548" s="6" t="str">
        <f>"272820201121121216778"</f>
        <v>272820201121121216778</v>
      </c>
      <c r="C548" s="6" t="s">
        <v>7</v>
      </c>
      <c r="D548" s="6" t="str">
        <f>"吴雪霜"</f>
        <v>吴雪霜</v>
      </c>
      <c r="E548" s="6" t="str">
        <f>"1998-04-17"</f>
        <v>1998-04-17</v>
      </c>
      <c r="F548" s="6"/>
    </row>
    <row r="549" spans="1:6" ht="30" customHeight="1">
      <c r="A549" s="6">
        <v>547</v>
      </c>
      <c r="B549" s="6" t="str">
        <f>"272820201121122047781"</f>
        <v>272820201121122047781</v>
      </c>
      <c r="C549" s="6" t="s">
        <v>7</v>
      </c>
      <c r="D549" s="6" t="str">
        <f>"薛尔丽"</f>
        <v>薛尔丽</v>
      </c>
      <c r="E549" s="6" t="str">
        <f>"1996-05-02"</f>
        <v>1996-05-02</v>
      </c>
      <c r="F549" s="6"/>
    </row>
    <row r="550" spans="1:6" ht="30" customHeight="1">
      <c r="A550" s="6">
        <v>548</v>
      </c>
      <c r="B550" s="6" t="str">
        <f>"272820201121122815782"</f>
        <v>272820201121122815782</v>
      </c>
      <c r="C550" s="6" t="s">
        <v>7</v>
      </c>
      <c r="D550" s="6" t="str">
        <f>"陈兴英"</f>
        <v>陈兴英</v>
      </c>
      <c r="E550" s="6" t="str">
        <f>"1997-08-24"</f>
        <v>1997-08-24</v>
      </c>
      <c r="F550" s="6"/>
    </row>
    <row r="551" spans="1:6" ht="30" customHeight="1">
      <c r="A551" s="6">
        <v>549</v>
      </c>
      <c r="B551" s="6" t="str">
        <f>"272820201121123058783"</f>
        <v>272820201121123058783</v>
      </c>
      <c r="C551" s="6" t="s">
        <v>7</v>
      </c>
      <c r="D551" s="6" t="str">
        <f>"莫敏君"</f>
        <v>莫敏君</v>
      </c>
      <c r="E551" s="6" t="str">
        <f>"1997-04-27"</f>
        <v>1997-04-27</v>
      </c>
      <c r="F551" s="6"/>
    </row>
    <row r="552" spans="1:6" ht="30" customHeight="1">
      <c r="A552" s="6">
        <v>550</v>
      </c>
      <c r="B552" s="6" t="str">
        <f>"272820201121123206784"</f>
        <v>272820201121123206784</v>
      </c>
      <c r="C552" s="6" t="s">
        <v>7</v>
      </c>
      <c r="D552" s="6" t="str">
        <f>"符小霞"</f>
        <v>符小霞</v>
      </c>
      <c r="E552" s="6" t="str">
        <f>"1997-11-24"</f>
        <v>1997-11-24</v>
      </c>
      <c r="F552" s="6"/>
    </row>
    <row r="553" spans="1:6" ht="30" customHeight="1">
      <c r="A553" s="6">
        <v>551</v>
      </c>
      <c r="B553" s="6" t="str">
        <f>"272820201121123809786"</f>
        <v>272820201121123809786</v>
      </c>
      <c r="C553" s="6" t="s">
        <v>7</v>
      </c>
      <c r="D553" s="6" t="str">
        <f>"张霞"</f>
        <v>张霞</v>
      </c>
      <c r="E553" s="6" t="str">
        <f>"1996-04-02"</f>
        <v>1996-04-02</v>
      </c>
      <c r="F553" s="6"/>
    </row>
    <row r="554" spans="1:6" ht="30" customHeight="1">
      <c r="A554" s="6">
        <v>552</v>
      </c>
      <c r="B554" s="6" t="str">
        <f>"272820201121124519790"</f>
        <v>272820201121124519790</v>
      </c>
      <c r="C554" s="6" t="s">
        <v>7</v>
      </c>
      <c r="D554" s="6" t="str">
        <f>"戴长杰"</f>
        <v>戴长杰</v>
      </c>
      <c r="E554" s="6" t="str">
        <f>"1986-12-24"</f>
        <v>1986-12-24</v>
      </c>
      <c r="F554" s="6"/>
    </row>
    <row r="555" spans="1:6" ht="30" customHeight="1">
      <c r="A555" s="6">
        <v>553</v>
      </c>
      <c r="B555" s="6" t="str">
        <f>"272820201121124705791"</f>
        <v>272820201121124705791</v>
      </c>
      <c r="C555" s="6" t="s">
        <v>7</v>
      </c>
      <c r="D555" s="6" t="str">
        <f>"邓秋燕"</f>
        <v>邓秋燕</v>
      </c>
      <c r="E555" s="6" t="str">
        <f>"1996-01-15"</f>
        <v>1996-01-15</v>
      </c>
      <c r="F555" s="6"/>
    </row>
    <row r="556" spans="1:6" ht="30" customHeight="1">
      <c r="A556" s="6">
        <v>554</v>
      </c>
      <c r="B556" s="6" t="str">
        <f>"272820201121125657792"</f>
        <v>272820201121125657792</v>
      </c>
      <c r="C556" s="6" t="s">
        <v>7</v>
      </c>
      <c r="D556" s="6" t="str">
        <f>"严家伟"</f>
        <v>严家伟</v>
      </c>
      <c r="E556" s="6" t="str">
        <f>"1994-12-10"</f>
        <v>1994-12-10</v>
      </c>
      <c r="F556" s="6"/>
    </row>
    <row r="557" spans="1:6" ht="30" customHeight="1">
      <c r="A557" s="6">
        <v>555</v>
      </c>
      <c r="B557" s="6" t="str">
        <f>"272820201121130312794"</f>
        <v>272820201121130312794</v>
      </c>
      <c r="C557" s="6" t="s">
        <v>7</v>
      </c>
      <c r="D557" s="6" t="str">
        <f>"钟雅芝"</f>
        <v>钟雅芝</v>
      </c>
      <c r="E557" s="6" t="str">
        <f>"1996-10-26"</f>
        <v>1996-10-26</v>
      </c>
      <c r="F557" s="6"/>
    </row>
    <row r="558" spans="1:6" ht="30" customHeight="1">
      <c r="A558" s="6">
        <v>556</v>
      </c>
      <c r="B558" s="6" t="str">
        <f>"272820201121130701796"</f>
        <v>272820201121130701796</v>
      </c>
      <c r="C558" s="6" t="s">
        <v>7</v>
      </c>
      <c r="D558" s="6" t="str">
        <f>"陈文斌"</f>
        <v>陈文斌</v>
      </c>
      <c r="E558" s="6" t="str">
        <f>"1996-07-13"</f>
        <v>1996-07-13</v>
      </c>
      <c r="F558" s="6"/>
    </row>
    <row r="559" spans="1:6" ht="30" customHeight="1">
      <c r="A559" s="6">
        <v>557</v>
      </c>
      <c r="B559" s="6" t="str">
        <f>"272820201121130734797"</f>
        <v>272820201121130734797</v>
      </c>
      <c r="C559" s="6" t="s">
        <v>7</v>
      </c>
      <c r="D559" s="6" t="str">
        <f>"冯雪雯"</f>
        <v>冯雪雯</v>
      </c>
      <c r="E559" s="6" t="str">
        <f>"1998-11-05"</f>
        <v>1998-11-05</v>
      </c>
      <c r="F559" s="6"/>
    </row>
    <row r="560" spans="1:6" ht="30" customHeight="1">
      <c r="A560" s="6">
        <v>558</v>
      </c>
      <c r="B560" s="6" t="str">
        <f>"272820201121131056798"</f>
        <v>272820201121131056798</v>
      </c>
      <c r="C560" s="6" t="s">
        <v>7</v>
      </c>
      <c r="D560" s="6" t="str">
        <f>"陈余泽"</f>
        <v>陈余泽</v>
      </c>
      <c r="E560" s="6" t="str">
        <f>"1994-04-03"</f>
        <v>1994-04-03</v>
      </c>
      <c r="F560" s="6"/>
    </row>
    <row r="561" spans="1:6" ht="30" customHeight="1">
      <c r="A561" s="6">
        <v>559</v>
      </c>
      <c r="B561" s="6" t="str">
        <f>"272820201121131237799"</f>
        <v>272820201121131237799</v>
      </c>
      <c r="C561" s="6" t="s">
        <v>7</v>
      </c>
      <c r="D561" s="6" t="str">
        <f>"谢伟"</f>
        <v>谢伟</v>
      </c>
      <c r="E561" s="6" t="str">
        <f>"1996-03-04"</f>
        <v>1996-03-04</v>
      </c>
      <c r="F561" s="6"/>
    </row>
    <row r="562" spans="1:6" ht="30" customHeight="1">
      <c r="A562" s="6">
        <v>560</v>
      </c>
      <c r="B562" s="6" t="str">
        <f>"272820201121131332800"</f>
        <v>272820201121131332800</v>
      </c>
      <c r="C562" s="6" t="s">
        <v>7</v>
      </c>
      <c r="D562" s="6" t="str">
        <f>"冯颖娴"</f>
        <v>冯颖娴</v>
      </c>
      <c r="E562" s="6" t="str">
        <f>"1998-03-05"</f>
        <v>1998-03-05</v>
      </c>
      <c r="F562" s="6"/>
    </row>
    <row r="563" spans="1:6" ht="30" customHeight="1">
      <c r="A563" s="6">
        <v>561</v>
      </c>
      <c r="B563" s="6" t="str">
        <f>"272820201121131754801"</f>
        <v>272820201121131754801</v>
      </c>
      <c r="C563" s="6" t="s">
        <v>7</v>
      </c>
      <c r="D563" s="6" t="str">
        <f>"陈光阳"</f>
        <v>陈光阳</v>
      </c>
      <c r="E563" s="6" t="str">
        <f>"1997-11-20"</f>
        <v>1997-11-20</v>
      </c>
      <c r="F563" s="6"/>
    </row>
    <row r="564" spans="1:6" ht="30" customHeight="1">
      <c r="A564" s="6">
        <v>562</v>
      </c>
      <c r="B564" s="6" t="str">
        <f>"272820201121131949802"</f>
        <v>272820201121131949802</v>
      </c>
      <c r="C564" s="6" t="s">
        <v>7</v>
      </c>
      <c r="D564" s="6" t="str">
        <f>"刘廷钟"</f>
        <v>刘廷钟</v>
      </c>
      <c r="E564" s="6" t="str">
        <f>"1997-02-17"</f>
        <v>1997-02-17</v>
      </c>
      <c r="F564" s="6"/>
    </row>
    <row r="565" spans="1:6" ht="30" customHeight="1">
      <c r="A565" s="6">
        <v>563</v>
      </c>
      <c r="B565" s="6" t="str">
        <f>"272820201121132622803"</f>
        <v>272820201121132622803</v>
      </c>
      <c r="C565" s="6" t="s">
        <v>7</v>
      </c>
      <c r="D565" s="6" t="str">
        <f>"方中辉"</f>
        <v>方中辉</v>
      </c>
      <c r="E565" s="6" t="str">
        <f>"1987-04-04"</f>
        <v>1987-04-04</v>
      </c>
      <c r="F565" s="6"/>
    </row>
    <row r="566" spans="1:6" ht="30" customHeight="1">
      <c r="A566" s="6">
        <v>564</v>
      </c>
      <c r="B566" s="6" t="str">
        <f>"272820201121133150804"</f>
        <v>272820201121133150804</v>
      </c>
      <c r="C566" s="6" t="s">
        <v>7</v>
      </c>
      <c r="D566" s="6" t="str">
        <f>"蔡沁茹"</f>
        <v>蔡沁茹</v>
      </c>
      <c r="E566" s="6" t="str">
        <f>"1995-01-04"</f>
        <v>1995-01-04</v>
      </c>
      <c r="F566" s="6"/>
    </row>
    <row r="567" spans="1:6" ht="30" customHeight="1">
      <c r="A567" s="6">
        <v>565</v>
      </c>
      <c r="B567" s="6" t="str">
        <f>"272820201121133711807"</f>
        <v>272820201121133711807</v>
      </c>
      <c r="C567" s="6" t="s">
        <v>7</v>
      </c>
      <c r="D567" s="6" t="str">
        <f>"黄嘉欣"</f>
        <v>黄嘉欣</v>
      </c>
      <c r="E567" s="6" t="str">
        <f>"1997-02-10"</f>
        <v>1997-02-10</v>
      </c>
      <c r="F567" s="6"/>
    </row>
    <row r="568" spans="1:6" ht="30" customHeight="1">
      <c r="A568" s="6">
        <v>566</v>
      </c>
      <c r="B568" s="6" t="str">
        <f>"272820201121135309809"</f>
        <v>272820201121135309809</v>
      </c>
      <c r="C568" s="6" t="s">
        <v>7</v>
      </c>
      <c r="D568" s="6" t="str">
        <f>"陈俊政"</f>
        <v>陈俊政</v>
      </c>
      <c r="E568" s="6" t="str">
        <f>"1996-09-02"</f>
        <v>1996-09-02</v>
      </c>
      <c r="F568" s="6"/>
    </row>
    <row r="569" spans="1:6" ht="30" customHeight="1">
      <c r="A569" s="6">
        <v>567</v>
      </c>
      <c r="B569" s="6" t="str">
        <f>"272820201121140442810"</f>
        <v>272820201121140442810</v>
      </c>
      <c r="C569" s="6" t="s">
        <v>7</v>
      </c>
      <c r="D569" s="6" t="str">
        <f>"杨世豪"</f>
        <v>杨世豪</v>
      </c>
      <c r="E569" s="6" t="str">
        <f>"1994-12-02"</f>
        <v>1994-12-02</v>
      </c>
      <c r="F569" s="6"/>
    </row>
    <row r="570" spans="1:6" ht="30" customHeight="1">
      <c r="A570" s="6">
        <v>568</v>
      </c>
      <c r="B570" s="6" t="str">
        <f>"272820201121140707812"</f>
        <v>272820201121140707812</v>
      </c>
      <c r="C570" s="6" t="s">
        <v>7</v>
      </c>
      <c r="D570" s="6" t="str">
        <f>"林德泽"</f>
        <v>林德泽</v>
      </c>
      <c r="E570" s="6" t="str">
        <f>"1997-02-02"</f>
        <v>1997-02-02</v>
      </c>
      <c r="F570" s="6"/>
    </row>
    <row r="571" spans="1:6" ht="30" customHeight="1">
      <c r="A571" s="6">
        <v>569</v>
      </c>
      <c r="B571" s="6" t="str">
        <f>"272820201121142057814"</f>
        <v>272820201121142057814</v>
      </c>
      <c r="C571" s="6" t="s">
        <v>7</v>
      </c>
      <c r="D571" s="6" t="str">
        <f>"梁于草"</f>
        <v>梁于草</v>
      </c>
      <c r="E571" s="6" t="str">
        <f>"1988-10-10"</f>
        <v>1988-10-10</v>
      </c>
      <c r="F571" s="6"/>
    </row>
    <row r="572" spans="1:6" ht="30" customHeight="1">
      <c r="A572" s="6">
        <v>570</v>
      </c>
      <c r="B572" s="6" t="str">
        <f>"272820201121142429815"</f>
        <v>272820201121142429815</v>
      </c>
      <c r="C572" s="6" t="s">
        <v>7</v>
      </c>
      <c r="D572" s="6" t="str">
        <f>"陈山琼"</f>
        <v>陈山琼</v>
      </c>
      <c r="E572" s="6" t="str">
        <f>"1994-12-26"</f>
        <v>1994-12-26</v>
      </c>
      <c r="F572" s="6"/>
    </row>
    <row r="573" spans="1:6" ht="30" customHeight="1">
      <c r="A573" s="6">
        <v>571</v>
      </c>
      <c r="B573" s="6" t="str">
        <f>"272820201121142653816"</f>
        <v>272820201121142653816</v>
      </c>
      <c r="C573" s="6" t="s">
        <v>7</v>
      </c>
      <c r="D573" s="6" t="str">
        <f>"符沐紫"</f>
        <v>符沐紫</v>
      </c>
      <c r="E573" s="6" t="str">
        <f>"1993-09-12"</f>
        <v>1993-09-12</v>
      </c>
      <c r="F573" s="6"/>
    </row>
    <row r="574" spans="1:6" ht="30" customHeight="1">
      <c r="A574" s="6">
        <v>572</v>
      </c>
      <c r="B574" s="6" t="str">
        <f>"272820201121143127818"</f>
        <v>272820201121143127818</v>
      </c>
      <c r="C574" s="6" t="s">
        <v>7</v>
      </c>
      <c r="D574" s="6" t="str">
        <f>"张陈斐"</f>
        <v>张陈斐</v>
      </c>
      <c r="E574" s="6" t="str">
        <f>"1995-12-18"</f>
        <v>1995-12-18</v>
      </c>
      <c r="F574" s="6"/>
    </row>
    <row r="575" spans="1:6" ht="30" customHeight="1">
      <c r="A575" s="6">
        <v>573</v>
      </c>
      <c r="B575" s="6" t="str">
        <f>"272820201121143628819"</f>
        <v>272820201121143628819</v>
      </c>
      <c r="C575" s="6" t="s">
        <v>7</v>
      </c>
      <c r="D575" s="6" t="str">
        <f>"张惠惠"</f>
        <v>张惠惠</v>
      </c>
      <c r="E575" s="6" t="str">
        <f>"1998-11-24"</f>
        <v>1998-11-24</v>
      </c>
      <c r="F575" s="6"/>
    </row>
    <row r="576" spans="1:6" ht="30" customHeight="1">
      <c r="A576" s="6">
        <v>574</v>
      </c>
      <c r="B576" s="6" t="str">
        <f>"272820201121144154821"</f>
        <v>272820201121144154821</v>
      </c>
      <c r="C576" s="6" t="s">
        <v>7</v>
      </c>
      <c r="D576" s="6" t="str">
        <f>"高宝洁"</f>
        <v>高宝洁</v>
      </c>
      <c r="E576" s="6" t="str">
        <f>"1995-12-24"</f>
        <v>1995-12-24</v>
      </c>
      <c r="F576" s="6"/>
    </row>
    <row r="577" spans="1:6" ht="30" customHeight="1">
      <c r="A577" s="6">
        <v>575</v>
      </c>
      <c r="B577" s="6" t="str">
        <f>"272820201121144539822"</f>
        <v>272820201121144539822</v>
      </c>
      <c r="C577" s="6" t="s">
        <v>7</v>
      </c>
      <c r="D577" s="6" t="str">
        <f>"吴开绩"</f>
        <v>吴开绩</v>
      </c>
      <c r="E577" s="6" t="str">
        <f>"1997-10-21"</f>
        <v>1997-10-21</v>
      </c>
      <c r="F577" s="6"/>
    </row>
    <row r="578" spans="1:6" ht="30" customHeight="1">
      <c r="A578" s="6">
        <v>576</v>
      </c>
      <c r="B578" s="6" t="str">
        <f>"272820201121144725823"</f>
        <v>272820201121144725823</v>
      </c>
      <c r="C578" s="6" t="s">
        <v>7</v>
      </c>
      <c r="D578" s="6" t="str">
        <f>"符小丁"</f>
        <v>符小丁</v>
      </c>
      <c r="E578" s="6" t="str">
        <f>"1995-10-26"</f>
        <v>1995-10-26</v>
      </c>
      <c r="F578" s="6"/>
    </row>
    <row r="579" spans="1:6" ht="30" customHeight="1">
      <c r="A579" s="6">
        <v>577</v>
      </c>
      <c r="B579" s="6" t="str">
        <f>"272820201121145117824"</f>
        <v>272820201121145117824</v>
      </c>
      <c r="C579" s="6" t="s">
        <v>7</v>
      </c>
      <c r="D579" s="6" t="str">
        <f>"林牛禧"</f>
        <v>林牛禧</v>
      </c>
      <c r="E579" s="6" t="str">
        <f>"1996-04-10"</f>
        <v>1996-04-10</v>
      </c>
      <c r="F579" s="6"/>
    </row>
    <row r="580" spans="1:6" ht="30" customHeight="1">
      <c r="A580" s="6">
        <v>578</v>
      </c>
      <c r="B580" s="6" t="str">
        <f>"272820201121145915826"</f>
        <v>272820201121145915826</v>
      </c>
      <c r="C580" s="6" t="s">
        <v>7</v>
      </c>
      <c r="D580" s="6" t="str">
        <f>"黄怡"</f>
        <v>黄怡</v>
      </c>
      <c r="E580" s="6" t="str">
        <f>"1998-06-29"</f>
        <v>1998-06-29</v>
      </c>
      <c r="F580" s="6"/>
    </row>
    <row r="581" spans="1:6" ht="30" customHeight="1">
      <c r="A581" s="6">
        <v>579</v>
      </c>
      <c r="B581" s="6" t="str">
        <f>"272820201121150218827"</f>
        <v>272820201121150218827</v>
      </c>
      <c r="C581" s="6" t="s">
        <v>7</v>
      </c>
      <c r="D581" s="6" t="str">
        <f>"罗悦悦"</f>
        <v>罗悦悦</v>
      </c>
      <c r="E581" s="6" t="str">
        <f>"1993-08-15"</f>
        <v>1993-08-15</v>
      </c>
      <c r="F581" s="6"/>
    </row>
    <row r="582" spans="1:6" ht="30" customHeight="1">
      <c r="A582" s="6">
        <v>580</v>
      </c>
      <c r="B582" s="6" t="str">
        <f>"272820201121150233828"</f>
        <v>272820201121150233828</v>
      </c>
      <c r="C582" s="6" t="s">
        <v>7</v>
      </c>
      <c r="D582" s="6" t="str">
        <f>"刘芳宁"</f>
        <v>刘芳宁</v>
      </c>
      <c r="E582" s="6" t="str">
        <f>"1995-08-28"</f>
        <v>1995-08-28</v>
      </c>
      <c r="F582" s="6"/>
    </row>
    <row r="583" spans="1:6" ht="30" customHeight="1">
      <c r="A583" s="6">
        <v>581</v>
      </c>
      <c r="B583" s="6" t="str">
        <f>"272820201121150555829"</f>
        <v>272820201121150555829</v>
      </c>
      <c r="C583" s="6" t="s">
        <v>7</v>
      </c>
      <c r="D583" s="6" t="str">
        <f>"何慧燕"</f>
        <v>何慧燕</v>
      </c>
      <c r="E583" s="6" t="str">
        <f>"1994-07-22"</f>
        <v>1994-07-22</v>
      </c>
      <c r="F583" s="6"/>
    </row>
    <row r="584" spans="1:6" ht="30" customHeight="1">
      <c r="A584" s="6">
        <v>582</v>
      </c>
      <c r="B584" s="6" t="str">
        <f>"272820201121150556830"</f>
        <v>272820201121150556830</v>
      </c>
      <c r="C584" s="6" t="s">
        <v>7</v>
      </c>
      <c r="D584" s="6" t="str">
        <f>"曾维成"</f>
        <v>曾维成</v>
      </c>
      <c r="E584" s="6" t="str">
        <f>"1990-12-20"</f>
        <v>1990-12-20</v>
      </c>
      <c r="F584" s="6"/>
    </row>
    <row r="585" spans="1:6" ht="30" customHeight="1">
      <c r="A585" s="6">
        <v>583</v>
      </c>
      <c r="B585" s="6" t="str">
        <f>"272820201121150644831"</f>
        <v>272820201121150644831</v>
      </c>
      <c r="C585" s="6" t="s">
        <v>7</v>
      </c>
      <c r="D585" s="6" t="str">
        <f>"王朝"</f>
        <v>王朝</v>
      </c>
      <c r="E585" s="6" t="str">
        <f>"1995-08-23"</f>
        <v>1995-08-23</v>
      </c>
      <c r="F585" s="6"/>
    </row>
    <row r="586" spans="1:6" ht="30" customHeight="1">
      <c r="A586" s="6">
        <v>584</v>
      </c>
      <c r="B586" s="6" t="str">
        <f>"272820201121151413832"</f>
        <v>272820201121151413832</v>
      </c>
      <c r="C586" s="6" t="s">
        <v>7</v>
      </c>
      <c r="D586" s="6" t="str">
        <f>"马雪"</f>
        <v>马雪</v>
      </c>
      <c r="E586" s="6" t="str">
        <f>"1996-10-02"</f>
        <v>1996-10-02</v>
      </c>
      <c r="F586" s="6"/>
    </row>
    <row r="587" spans="1:6" ht="30" customHeight="1">
      <c r="A587" s="6">
        <v>585</v>
      </c>
      <c r="B587" s="6" t="str">
        <f>"272820201121151955833"</f>
        <v>272820201121151955833</v>
      </c>
      <c r="C587" s="6" t="s">
        <v>7</v>
      </c>
      <c r="D587" s="6" t="str">
        <f>"籍蕊"</f>
        <v>籍蕊</v>
      </c>
      <c r="E587" s="6" t="str">
        <f>"1995-12-25"</f>
        <v>1995-12-25</v>
      </c>
      <c r="F587" s="6"/>
    </row>
    <row r="588" spans="1:6" ht="30" customHeight="1">
      <c r="A588" s="6">
        <v>586</v>
      </c>
      <c r="B588" s="6" t="str">
        <f>"272820201121152607836"</f>
        <v>272820201121152607836</v>
      </c>
      <c r="C588" s="6" t="s">
        <v>7</v>
      </c>
      <c r="D588" s="6" t="str">
        <f>"杨家英"</f>
        <v>杨家英</v>
      </c>
      <c r="E588" s="6" t="str">
        <f>"1997-09-18"</f>
        <v>1997-09-18</v>
      </c>
      <c r="F588" s="6"/>
    </row>
    <row r="589" spans="1:6" ht="30" customHeight="1">
      <c r="A589" s="6">
        <v>587</v>
      </c>
      <c r="B589" s="6" t="str">
        <f>"272820201121152924837"</f>
        <v>272820201121152924837</v>
      </c>
      <c r="C589" s="6" t="s">
        <v>7</v>
      </c>
      <c r="D589" s="6" t="str">
        <f>"桂云云"</f>
        <v>桂云云</v>
      </c>
      <c r="E589" s="6" t="str">
        <f>"1993-08-14"</f>
        <v>1993-08-14</v>
      </c>
      <c r="F589" s="6"/>
    </row>
    <row r="590" spans="1:6" ht="30" customHeight="1">
      <c r="A590" s="6">
        <v>588</v>
      </c>
      <c r="B590" s="6" t="str">
        <f>"272820201121153138838"</f>
        <v>272820201121153138838</v>
      </c>
      <c r="C590" s="6" t="s">
        <v>7</v>
      </c>
      <c r="D590" s="6" t="str">
        <f>"林鸿昌"</f>
        <v>林鸿昌</v>
      </c>
      <c r="E590" s="6" t="str">
        <f>"1985-12-27"</f>
        <v>1985-12-27</v>
      </c>
      <c r="F590" s="6"/>
    </row>
    <row r="591" spans="1:6" ht="30" customHeight="1">
      <c r="A591" s="6">
        <v>589</v>
      </c>
      <c r="B591" s="6" t="str">
        <f>"272820201121154437840"</f>
        <v>272820201121154437840</v>
      </c>
      <c r="C591" s="6" t="s">
        <v>7</v>
      </c>
      <c r="D591" s="6" t="str">
        <f>"张朔杰"</f>
        <v>张朔杰</v>
      </c>
      <c r="E591" s="6" t="str">
        <f>"1994-06-07"</f>
        <v>1994-06-07</v>
      </c>
      <c r="F591" s="6"/>
    </row>
    <row r="592" spans="1:6" ht="30" customHeight="1">
      <c r="A592" s="6">
        <v>590</v>
      </c>
      <c r="B592" s="6" t="str">
        <f>"272820201121154702841"</f>
        <v>272820201121154702841</v>
      </c>
      <c r="C592" s="6" t="s">
        <v>7</v>
      </c>
      <c r="D592" s="6" t="str">
        <f>"刘标"</f>
        <v>刘标</v>
      </c>
      <c r="E592" s="6" t="str">
        <f>"1994-01-11"</f>
        <v>1994-01-11</v>
      </c>
      <c r="F592" s="6"/>
    </row>
    <row r="593" spans="1:6" ht="30" customHeight="1">
      <c r="A593" s="6">
        <v>591</v>
      </c>
      <c r="B593" s="6" t="str">
        <f>"272820201121155132843"</f>
        <v>272820201121155132843</v>
      </c>
      <c r="C593" s="6" t="s">
        <v>7</v>
      </c>
      <c r="D593" s="6" t="str">
        <f>"郑碧雪"</f>
        <v>郑碧雪</v>
      </c>
      <c r="E593" s="6" t="str">
        <f>"1994-09-02"</f>
        <v>1994-09-02</v>
      </c>
      <c r="F593" s="6"/>
    </row>
    <row r="594" spans="1:6" ht="30" customHeight="1">
      <c r="A594" s="6">
        <v>592</v>
      </c>
      <c r="B594" s="6" t="str">
        <f>"272820201121161721845"</f>
        <v>272820201121161721845</v>
      </c>
      <c r="C594" s="6" t="s">
        <v>7</v>
      </c>
      <c r="D594" s="6" t="str">
        <f>"邢丽蕙"</f>
        <v>邢丽蕙</v>
      </c>
      <c r="E594" s="6" t="str">
        <f>"1995-08-31"</f>
        <v>1995-08-31</v>
      </c>
      <c r="F594" s="6"/>
    </row>
    <row r="595" spans="1:6" ht="30" customHeight="1">
      <c r="A595" s="6">
        <v>593</v>
      </c>
      <c r="B595" s="6" t="str">
        <f>"272820201121162211846"</f>
        <v>272820201121162211846</v>
      </c>
      <c r="C595" s="6" t="s">
        <v>7</v>
      </c>
      <c r="D595" s="6" t="str">
        <f>"郑同政"</f>
        <v>郑同政</v>
      </c>
      <c r="E595" s="6" t="str">
        <f>"1989-10-15"</f>
        <v>1989-10-15</v>
      </c>
      <c r="F595" s="6"/>
    </row>
    <row r="596" spans="1:6" ht="30" customHeight="1">
      <c r="A596" s="6">
        <v>594</v>
      </c>
      <c r="B596" s="6" t="str">
        <f>"272820201121162342848"</f>
        <v>272820201121162342848</v>
      </c>
      <c r="C596" s="6" t="s">
        <v>7</v>
      </c>
      <c r="D596" s="6" t="str">
        <f>"杨传润"</f>
        <v>杨传润</v>
      </c>
      <c r="E596" s="6" t="str">
        <f>"1995-07-13"</f>
        <v>1995-07-13</v>
      </c>
      <c r="F596" s="6"/>
    </row>
    <row r="597" spans="1:6" ht="30" customHeight="1">
      <c r="A597" s="6">
        <v>595</v>
      </c>
      <c r="B597" s="6" t="str">
        <f>"272820201121162732850"</f>
        <v>272820201121162732850</v>
      </c>
      <c r="C597" s="6" t="s">
        <v>7</v>
      </c>
      <c r="D597" s="6" t="str">
        <f>"符会"</f>
        <v>符会</v>
      </c>
      <c r="E597" s="6" t="str">
        <f>"1996-12-26"</f>
        <v>1996-12-26</v>
      </c>
      <c r="F597" s="6"/>
    </row>
    <row r="598" spans="1:6" ht="30" customHeight="1">
      <c r="A598" s="6">
        <v>596</v>
      </c>
      <c r="B598" s="6" t="str">
        <f>"272820201121163544852"</f>
        <v>272820201121163544852</v>
      </c>
      <c r="C598" s="6" t="s">
        <v>7</v>
      </c>
      <c r="D598" s="6" t="str">
        <f>"黎迎威"</f>
        <v>黎迎威</v>
      </c>
      <c r="E598" s="6" t="str">
        <f>"1996-05-20"</f>
        <v>1996-05-20</v>
      </c>
      <c r="F598" s="6"/>
    </row>
    <row r="599" spans="1:6" ht="30" customHeight="1">
      <c r="A599" s="6">
        <v>597</v>
      </c>
      <c r="B599" s="6" t="str">
        <f>"272820201121163856853"</f>
        <v>272820201121163856853</v>
      </c>
      <c r="C599" s="6" t="s">
        <v>7</v>
      </c>
      <c r="D599" s="6" t="str">
        <f>"文臻"</f>
        <v>文臻</v>
      </c>
      <c r="E599" s="6" t="str">
        <f>"1993-12-03"</f>
        <v>1993-12-03</v>
      </c>
      <c r="F599" s="6"/>
    </row>
    <row r="600" spans="1:6" ht="30" customHeight="1">
      <c r="A600" s="6">
        <v>598</v>
      </c>
      <c r="B600" s="6" t="str">
        <f>"272820201121163910854"</f>
        <v>272820201121163910854</v>
      </c>
      <c r="C600" s="6" t="s">
        <v>7</v>
      </c>
      <c r="D600" s="6" t="str">
        <f>"周小丹"</f>
        <v>周小丹</v>
      </c>
      <c r="E600" s="6" t="str">
        <f>"1998-06-08"</f>
        <v>1998-06-08</v>
      </c>
      <c r="F600" s="6"/>
    </row>
    <row r="601" spans="1:6" ht="30" customHeight="1">
      <c r="A601" s="6">
        <v>599</v>
      </c>
      <c r="B601" s="6" t="str">
        <f>"272820201121164426857"</f>
        <v>272820201121164426857</v>
      </c>
      <c r="C601" s="6" t="s">
        <v>7</v>
      </c>
      <c r="D601" s="6" t="str">
        <f>"陈培贤"</f>
        <v>陈培贤</v>
      </c>
      <c r="E601" s="6" t="str">
        <f>"1988-01-17"</f>
        <v>1988-01-17</v>
      </c>
      <c r="F601" s="6"/>
    </row>
    <row r="602" spans="1:6" ht="30" customHeight="1">
      <c r="A602" s="6">
        <v>600</v>
      </c>
      <c r="B602" s="6" t="str">
        <f>"272820201121164743859"</f>
        <v>272820201121164743859</v>
      </c>
      <c r="C602" s="6" t="s">
        <v>7</v>
      </c>
      <c r="D602" s="6" t="str">
        <f>"关井康"</f>
        <v>关井康</v>
      </c>
      <c r="E602" s="6" t="str">
        <f>"1988-09-06"</f>
        <v>1988-09-06</v>
      </c>
      <c r="F602" s="6"/>
    </row>
    <row r="603" spans="1:6" ht="30" customHeight="1">
      <c r="A603" s="6">
        <v>601</v>
      </c>
      <c r="B603" s="6" t="str">
        <f>"272820201121165204861"</f>
        <v>272820201121165204861</v>
      </c>
      <c r="C603" s="6" t="s">
        <v>7</v>
      </c>
      <c r="D603" s="6" t="str">
        <f>"陈春蓉"</f>
        <v>陈春蓉</v>
      </c>
      <c r="E603" s="6" t="str">
        <f>"1997-06-04"</f>
        <v>1997-06-04</v>
      </c>
      <c r="F603" s="6"/>
    </row>
    <row r="604" spans="1:6" ht="30" customHeight="1">
      <c r="A604" s="6">
        <v>602</v>
      </c>
      <c r="B604" s="6" t="str">
        <f>"272820201121165616863"</f>
        <v>272820201121165616863</v>
      </c>
      <c r="C604" s="6" t="s">
        <v>7</v>
      </c>
      <c r="D604" s="6" t="str">
        <f>"杨浩"</f>
        <v>杨浩</v>
      </c>
      <c r="E604" s="6" t="str">
        <f>"1997-08-24"</f>
        <v>1997-08-24</v>
      </c>
      <c r="F604" s="6"/>
    </row>
    <row r="605" spans="1:6" ht="30" customHeight="1">
      <c r="A605" s="6">
        <v>603</v>
      </c>
      <c r="B605" s="6" t="str">
        <f>"272820201121165931864"</f>
        <v>272820201121165931864</v>
      </c>
      <c r="C605" s="6" t="s">
        <v>7</v>
      </c>
      <c r="D605" s="6" t="str">
        <f>"黄丽婉"</f>
        <v>黄丽婉</v>
      </c>
      <c r="E605" s="6" t="str">
        <f>"1995-10-15"</f>
        <v>1995-10-15</v>
      </c>
      <c r="F605" s="6"/>
    </row>
    <row r="606" spans="1:6" ht="30" customHeight="1">
      <c r="A606" s="6">
        <v>604</v>
      </c>
      <c r="B606" s="6" t="str">
        <f>"272820201121170133865"</f>
        <v>272820201121170133865</v>
      </c>
      <c r="C606" s="6" t="s">
        <v>7</v>
      </c>
      <c r="D606" s="6" t="str">
        <f>"莫明霞"</f>
        <v>莫明霞</v>
      </c>
      <c r="E606" s="6" t="str">
        <f>"1994-08-23"</f>
        <v>1994-08-23</v>
      </c>
      <c r="F606" s="6"/>
    </row>
    <row r="607" spans="1:6" ht="30" customHeight="1">
      <c r="A607" s="6">
        <v>605</v>
      </c>
      <c r="B607" s="6" t="str">
        <f>"272820201121170223866"</f>
        <v>272820201121170223866</v>
      </c>
      <c r="C607" s="6" t="s">
        <v>7</v>
      </c>
      <c r="D607" s="6" t="str">
        <f>"纪新盛"</f>
        <v>纪新盛</v>
      </c>
      <c r="E607" s="6" t="str">
        <f>"1993-10-19"</f>
        <v>1993-10-19</v>
      </c>
      <c r="F607" s="6"/>
    </row>
    <row r="608" spans="1:6" ht="30" customHeight="1">
      <c r="A608" s="6">
        <v>606</v>
      </c>
      <c r="B608" s="6" t="str">
        <f>"272820201121170346867"</f>
        <v>272820201121170346867</v>
      </c>
      <c r="C608" s="6" t="s">
        <v>7</v>
      </c>
      <c r="D608" s="6" t="str">
        <f>"张剑锋"</f>
        <v>张剑锋</v>
      </c>
      <c r="E608" s="6" t="str">
        <f>"1996-09-13"</f>
        <v>1996-09-13</v>
      </c>
      <c r="F608" s="6"/>
    </row>
    <row r="609" spans="1:6" ht="30" customHeight="1">
      <c r="A609" s="6">
        <v>607</v>
      </c>
      <c r="B609" s="6" t="str">
        <f>"272820201121170455868"</f>
        <v>272820201121170455868</v>
      </c>
      <c r="C609" s="6" t="s">
        <v>7</v>
      </c>
      <c r="D609" s="6" t="str">
        <f>"张肇星"</f>
        <v>张肇星</v>
      </c>
      <c r="E609" s="6" t="str">
        <f>"1988-03-01"</f>
        <v>1988-03-01</v>
      </c>
      <c r="F609" s="6"/>
    </row>
    <row r="610" spans="1:6" ht="30" customHeight="1">
      <c r="A610" s="6">
        <v>608</v>
      </c>
      <c r="B610" s="6" t="str">
        <f>"272820201121171339870"</f>
        <v>272820201121171339870</v>
      </c>
      <c r="C610" s="6" t="s">
        <v>7</v>
      </c>
      <c r="D610" s="6" t="str">
        <f>"郑非凡"</f>
        <v>郑非凡</v>
      </c>
      <c r="E610" s="6" t="str">
        <f>"1990-04-10"</f>
        <v>1990-04-10</v>
      </c>
      <c r="F610" s="6"/>
    </row>
    <row r="611" spans="1:6" ht="30" customHeight="1">
      <c r="A611" s="6">
        <v>609</v>
      </c>
      <c r="B611" s="6" t="str">
        <f>"272820201121171710871"</f>
        <v>272820201121171710871</v>
      </c>
      <c r="C611" s="6" t="s">
        <v>7</v>
      </c>
      <c r="D611" s="6" t="str">
        <f>"陈曼青"</f>
        <v>陈曼青</v>
      </c>
      <c r="E611" s="6" t="str">
        <f>"1996-12-30"</f>
        <v>1996-12-30</v>
      </c>
      <c r="F611" s="6"/>
    </row>
    <row r="612" spans="1:6" ht="30" customHeight="1">
      <c r="A612" s="6">
        <v>610</v>
      </c>
      <c r="B612" s="6" t="str">
        <f>"272820201121171936873"</f>
        <v>272820201121171936873</v>
      </c>
      <c r="C612" s="6" t="s">
        <v>7</v>
      </c>
      <c r="D612" s="6" t="str">
        <f>"谭旭"</f>
        <v>谭旭</v>
      </c>
      <c r="E612" s="6" t="str">
        <f>"1992-04-26"</f>
        <v>1992-04-26</v>
      </c>
      <c r="F612" s="6"/>
    </row>
    <row r="613" spans="1:6" ht="30" customHeight="1">
      <c r="A613" s="6">
        <v>611</v>
      </c>
      <c r="B613" s="6" t="str">
        <f>"272820201121172416874"</f>
        <v>272820201121172416874</v>
      </c>
      <c r="C613" s="6" t="s">
        <v>7</v>
      </c>
      <c r="D613" s="6" t="str">
        <f>"苏隆海"</f>
        <v>苏隆海</v>
      </c>
      <c r="E613" s="6" t="str">
        <f>"1988-04-02"</f>
        <v>1988-04-02</v>
      </c>
      <c r="F613" s="6"/>
    </row>
    <row r="614" spans="1:6" ht="30" customHeight="1">
      <c r="A614" s="6">
        <v>612</v>
      </c>
      <c r="B614" s="6" t="str">
        <f>"272820201121174059876"</f>
        <v>272820201121174059876</v>
      </c>
      <c r="C614" s="6" t="s">
        <v>7</v>
      </c>
      <c r="D614" s="6" t="str">
        <f>"蔡亦彬"</f>
        <v>蔡亦彬</v>
      </c>
      <c r="E614" s="6" t="str">
        <f>"1998-10-28"</f>
        <v>1998-10-28</v>
      </c>
      <c r="F614" s="6"/>
    </row>
    <row r="615" spans="1:6" ht="30" customHeight="1">
      <c r="A615" s="6">
        <v>613</v>
      </c>
      <c r="B615" s="6" t="str">
        <f>"272820201121174501878"</f>
        <v>272820201121174501878</v>
      </c>
      <c r="C615" s="6" t="s">
        <v>7</v>
      </c>
      <c r="D615" s="6" t="str">
        <f>"唐峰森"</f>
        <v>唐峰森</v>
      </c>
      <c r="E615" s="6" t="str">
        <f>"1994-01-27"</f>
        <v>1994-01-27</v>
      </c>
      <c r="F615" s="6"/>
    </row>
    <row r="616" spans="1:6" ht="30" customHeight="1">
      <c r="A616" s="6">
        <v>614</v>
      </c>
      <c r="B616" s="6" t="str">
        <f>"272820201121175748879"</f>
        <v>272820201121175748879</v>
      </c>
      <c r="C616" s="6" t="s">
        <v>7</v>
      </c>
      <c r="D616" s="6" t="str">
        <f>"林璋传"</f>
        <v>林璋传</v>
      </c>
      <c r="E616" s="6" t="str">
        <f>"1997-06-20"</f>
        <v>1997-06-20</v>
      </c>
      <c r="F616" s="6"/>
    </row>
    <row r="617" spans="1:6" ht="30" customHeight="1">
      <c r="A617" s="6">
        <v>615</v>
      </c>
      <c r="B617" s="6" t="str">
        <f>"272820201121180233880"</f>
        <v>272820201121180233880</v>
      </c>
      <c r="C617" s="6" t="s">
        <v>7</v>
      </c>
      <c r="D617" s="6" t="str">
        <f>"吴津"</f>
        <v>吴津</v>
      </c>
      <c r="E617" s="6" t="str">
        <f>"1998-05-06"</f>
        <v>1998-05-06</v>
      </c>
      <c r="F617" s="6"/>
    </row>
    <row r="618" spans="1:6" ht="30" customHeight="1">
      <c r="A618" s="6">
        <v>616</v>
      </c>
      <c r="B618" s="6" t="str">
        <f>"272820201121180746881"</f>
        <v>272820201121180746881</v>
      </c>
      <c r="C618" s="6" t="s">
        <v>7</v>
      </c>
      <c r="D618" s="6" t="str">
        <f>"蔡梓鹏"</f>
        <v>蔡梓鹏</v>
      </c>
      <c r="E618" s="6" t="str">
        <f>"1997-08-18"</f>
        <v>1997-08-18</v>
      </c>
      <c r="F618" s="6"/>
    </row>
    <row r="619" spans="1:6" ht="30" customHeight="1">
      <c r="A619" s="6">
        <v>617</v>
      </c>
      <c r="B619" s="6" t="str">
        <f>"272820201121180802882"</f>
        <v>272820201121180802882</v>
      </c>
      <c r="C619" s="6" t="s">
        <v>7</v>
      </c>
      <c r="D619" s="6" t="str">
        <f>"林贵琼"</f>
        <v>林贵琼</v>
      </c>
      <c r="E619" s="6" t="str">
        <f>"1989-04-18"</f>
        <v>1989-04-18</v>
      </c>
      <c r="F619" s="6"/>
    </row>
    <row r="620" spans="1:6" ht="30" customHeight="1">
      <c r="A620" s="6">
        <v>618</v>
      </c>
      <c r="B620" s="6" t="str">
        <f>"272820201121181335884"</f>
        <v>272820201121181335884</v>
      </c>
      <c r="C620" s="6" t="s">
        <v>7</v>
      </c>
      <c r="D620" s="6" t="str">
        <f>"王振宇"</f>
        <v>王振宇</v>
      </c>
      <c r="E620" s="6" t="str">
        <f>"1988-07-31"</f>
        <v>1988-07-31</v>
      </c>
      <c r="F620" s="6"/>
    </row>
    <row r="621" spans="1:6" ht="30" customHeight="1">
      <c r="A621" s="6">
        <v>619</v>
      </c>
      <c r="B621" s="6" t="str">
        <f>"272820201121181550885"</f>
        <v>272820201121181550885</v>
      </c>
      <c r="C621" s="6" t="s">
        <v>7</v>
      </c>
      <c r="D621" s="6" t="str">
        <f>"秦子诊"</f>
        <v>秦子诊</v>
      </c>
      <c r="E621" s="6" t="str">
        <f>"1993-03-20"</f>
        <v>1993-03-20</v>
      </c>
      <c r="F621" s="6"/>
    </row>
    <row r="622" spans="1:6" ht="30" customHeight="1">
      <c r="A622" s="6">
        <v>620</v>
      </c>
      <c r="B622" s="6" t="str">
        <f>"272820201121181927886"</f>
        <v>272820201121181927886</v>
      </c>
      <c r="C622" s="6" t="s">
        <v>7</v>
      </c>
      <c r="D622" s="6" t="str">
        <f>"宋凡卓"</f>
        <v>宋凡卓</v>
      </c>
      <c r="E622" s="6" t="str">
        <f>"1990-03-08"</f>
        <v>1990-03-08</v>
      </c>
      <c r="F622" s="6"/>
    </row>
    <row r="623" spans="1:6" ht="30" customHeight="1">
      <c r="A623" s="6">
        <v>621</v>
      </c>
      <c r="B623" s="6" t="str">
        <f>"272820201121183220887"</f>
        <v>272820201121183220887</v>
      </c>
      <c r="C623" s="6" t="s">
        <v>7</v>
      </c>
      <c r="D623" s="6" t="str">
        <f>"张春科"</f>
        <v>张春科</v>
      </c>
      <c r="E623" s="6" t="str">
        <f>"1994-07-13"</f>
        <v>1994-07-13</v>
      </c>
      <c r="F623" s="6"/>
    </row>
    <row r="624" spans="1:6" ht="30" customHeight="1">
      <c r="A624" s="6">
        <v>622</v>
      </c>
      <c r="B624" s="6" t="str">
        <f>"272820201121183437888"</f>
        <v>272820201121183437888</v>
      </c>
      <c r="C624" s="6" t="s">
        <v>7</v>
      </c>
      <c r="D624" s="6" t="str">
        <f>"张宇熙"</f>
        <v>张宇熙</v>
      </c>
      <c r="E624" s="6" t="str">
        <f>"1998-05-13"</f>
        <v>1998-05-13</v>
      </c>
      <c r="F624" s="6"/>
    </row>
    <row r="625" spans="1:6" ht="30" customHeight="1">
      <c r="A625" s="6">
        <v>623</v>
      </c>
      <c r="B625" s="6" t="str">
        <f>"272820201121184004890"</f>
        <v>272820201121184004890</v>
      </c>
      <c r="C625" s="6" t="s">
        <v>7</v>
      </c>
      <c r="D625" s="6" t="str">
        <f>"李郭玲"</f>
        <v>李郭玲</v>
      </c>
      <c r="E625" s="6" t="str">
        <f>"1996-07-05"</f>
        <v>1996-07-05</v>
      </c>
      <c r="F625" s="6"/>
    </row>
    <row r="626" spans="1:6" ht="30" customHeight="1">
      <c r="A626" s="6">
        <v>624</v>
      </c>
      <c r="B626" s="6" t="str">
        <f>"272820201121184154891"</f>
        <v>272820201121184154891</v>
      </c>
      <c r="C626" s="6" t="s">
        <v>7</v>
      </c>
      <c r="D626" s="6" t="str">
        <f>"李学权"</f>
        <v>李学权</v>
      </c>
      <c r="E626" s="6" t="str">
        <f>"1995-01-23"</f>
        <v>1995-01-23</v>
      </c>
      <c r="F626" s="6"/>
    </row>
    <row r="627" spans="1:6" ht="30" customHeight="1">
      <c r="A627" s="6">
        <v>625</v>
      </c>
      <c r="B627" s="6" t="str">
        <f>"272820201121184304892"</f>
        <v>272820201121184304892</v>
      </c>
      <c r="C627" s="6" t="s">
        <v>7</v>
      </c>
      <c r="D627" s="6" t="str">
        <f>"周振宇"</f>
        <v>周振宇</v>
      </c>
      <c r="E627" s="6" t="str">
        <f>"1992-09-28"</f>
        <v>1992-09-28</v>
      </c>
      <c r="F627" s="6"/>
    </row>
    <row r="628" spans="1:6" ht="30" customHeight="1">
      <c r="A628" s="6">
        <v>626</v>
      </c>
      <c r="B628" s="6" t="str">
        <f>"272820201121184313893"</f>
        <v>272820201121184313893</v>
      </c>
      <c r="C628" s="6" t="s">
        <v>7</v>
      </c>
      <c r="D628" s="6" t="str">
        <f>"龙映菁"</f>
        <v>龙映菁</v>
      </c>
      <c r="E628" s="6" t="str">
        <f>"1996-04-09"</f>
        <v>1996-04-09</v>
      </c>
      <c r="F628" s="6"/>
    </row>
    <row r="629" spans="1:6" ht="30" customHeight="1">
      <c r="A629" s="6">
        <v>627</v>
      </c>
      <c r="B629" s="6" t="str">
        <f>"272820201121185035894"</f>
        <v>272820201121185035894</v>
      </c>
      <c r="C629" s="6" t="s">
        <v>7</v>
      </c>
      <c r="D629" s="6" t="str">
        <f>"赵金知"</f>
        <v>赵金知</v>
      </c>
      <c r="E629" s="6" t="str">
        <f>"1996-09-28"</f>
        <v>1996-09-28</v>
      </c>
      <c r="F629" s="6"/>
    </row>
    <row r="630" spans="1:6" ht="30" customHeight="1">
      <c r="A630" s="6">
        <v>628</v>
      </c>
      <c r="B630" s="6" t="str">
        <f>"272820201121185115895"</f>
        <v>272820201121185115895</v>
      </c>
      <c r="C630" s="6" t="s">
        <v>7</v>
      </c>
      <c r="D630" s="6" t="str">
        <f>"符亚珍"</f>
        <v>符亚珍</v>
      </c>
      <c r="E630" s="6" t="str">
        <f>"1992-06-17"</f>
        <v>1992-06-17</v>
      </c>
      <c r="F630" s="6"/>
    </row>
    <row r="631" spans="1:6" ht="30" customHeight="1">
      <c r="A631" s="6">
        <v>629</v>
      </c>
      <c r="B631" s="6" t="str">
        <f>"272820201121185258896"</f>
        <v>272820201121185258896</v>
      </c>
      <c r="C631" s="6" t="s">
        <v>7</v>
      </c>
      <c r="D631" s="6" t="str">
        <f>"林晟伊"</f>
        <v>林晟伊</v>
      </c>
      <c r="E631" s="6" t="str">
        <f>"1996-06-18"</f>
        <v>1996-06-18</v>
      </c>
      <c r="F631" s="6"/>
    </row>
    <row r="632" spans="1:6" ht="30" customHeight="1">
      <c r="A632" s="6">
        <v>630</v>
      </c>
      <c r="B632" s="6" t="str">
        <f>"272820201121185856898"</f>
        <v>272820201121185856898</v>
      </c>
      <c r="C632" s="6" t="s">
        <v>7</v>
      </c>
      <c r="D632" s="6" t="str">
        <f>"杨平"</f>
        <v>杨平</v>
      </c>
      <c r="E632" s="6" t="str">
        <f>"1990-11-25"</f>
        <v>1990-11-25</v>
      </c>
      <c r="F632" s="6"/>
    </row>
    <row r="633" spans="1:6" ht="30" customHeight="1">
      <c r="A633" s="6">
        <v>631</v>
      </c>
      <c r="B633" s="6" t="str">
        <f>"272820201121190207899"</f>
        <v>272820201121190207899</v>
      </c>
      <c r="C633" s="6" t="s">
        <v>7</v>
      </c>
      <c r="D633" s="6" t="str">
        <f>"杨智勇"</f>
        <v>杨智勇</v>
      </c>
      <c r="E633" s="6" t="str">
        <f>"1991-03-05"</f>
        <v>1991-03-05</v>
      </c>
      <c r="F633" s="6"/>
    </row>
    <row r="634" spans="1:6" ht="30" customHeight="1">
      <c r="A634" s="6">
        <v>632</v>
      </c>
      <c r="B634" s="6" t="str">
        <f>"272820201121190335900"</f>
        <v>272820201121190335900</v>
      </c>
      <c r="C634" s="6" t="s">
        <v>7</v>
      </c>
      <c r="D634" s="6" t="str">
        <f>"罗泽垂"</f>
        <v>罗泽垂</v>
      </c>
      <c r="E634" s="6" t="str">
        <f>"1990-08-01"</f>
        <v>1990-08-01</v>
      </c>
      <c r="F634" s="6"/>
    </row>
    <row r="635" spans="1:6" ht="30" customHeight="1">
      <c r="A635" s="6">
        <v>633</v>
      </c>
      <c r="B635" s="6" t="str">
        <f>"272820201121191610901"</f>
        <v>272820201121191610901</v>
      </c>
      <c r="C635" s="6" t="s">
        <v>7</v>
      </c>
      <c r="D635" s="6" t="str">
        <f>"黄云芳"</f>
        <v>黄云芳</v>
      </c>
      <c r="E635" s="6" t="str">
        <f>"1992-09-16"</f>
        <v>1992-09-16</v>
      </c>
      <c r="F635" s="6"/>
    </row>
    <row r="636" spans="1:6" ht="30" customHeight="1">
      <c r="A636" s="6">
        <v>634</v>
      </c>
      <c r="B636" s="6" t="str">
        <f>"272820201121191902902"</f>
        <v>272820201121191902902</v>
      </c>
      <c r="C636" s="6" t="s">
        <v>7</v>
      </c>
      <c r="D636" s="6" t="str">
        <f>"杜勇"</f>
        <v>杜勇</v>
      </c>
      <c r="E636" s="6" t="str">
        <f>"1995-10-26"</f>
        <v>1995-10-26</v>
      </c>
      <c r="F636" s="6"/>
    </row>
    <row r="637" spans="1:6" ht="30" customHeight="1">
      <c r="A637" s="6">
        <v>635</v>
      </c>
      <c r="B637" s="6" t="str">
        <f>"272820201121192622904"</f>
        <v>272820201121192622904</v>
      </c>
      <c r="C637" s="6" t="s">
        <v>7</v>
      </c>
      <c r="D637" s="6" t="str">
        <f>"李艳燕"</f>
        <v>李艳燕</v>
      </c>
      <c r="E637" s="6" t="str">
        <f>"1994-07-20"</f>
        <v>1994-07-20</v>
      </c>
      <c r="F637" s="6"/>
    </row>
    <row r="638" spans="1:6" ht="30" customHeight="1">
      <c r="A638" s="6">
        <v>636</v>
      </c>
      <c r="B638" s="6" t="str">
        <f>"272820201121193902906"</f>
        <v>272820201121193902906</v>
      </c>
      <c r="C638" s="6" t="s">
        <v>7</v>
      </c>
      <c r="D638" s="6" t="str">
        <f>"蓝甜甜"</f>
        <v>蓝甜甜</v>
      </c>
      <c r="E638" s="6" t="str">
        <f>"1994-08-17"</f>
        <v>1994-08-17</v>
      </c>
      <c r="F638" s="6"/>
    </row>
    <row r="639" spans="1:6" ht="30" customHeight="1">
      <c r="A639" s="6">
        <v>637</v>
      </c>
      <c r="B639" s="6" t="str">
        <f>"272820201121194423909"</f>
        <v>272820201121194423909</v>
      </c>
      <c r="C639" s="6" t="s">
        <v>7</v>
      </c>
      <c r="D639" s="6" t="str">
        <f>"何舜萍"</f>
        <v>何舜萍</v>
      </c>
      <c r="E639" s="6" t="str">
        <f>"1995-06-08"</f>
        <v>1995-06-08</v>
      </c>
      <c r="F639" s="6"/>
    </row>
    <row r="640" spans="1:6" ht="30" customHeight="1">
      <c r="A640" s="6">
        <v>638</v>
      </c>
      <c r="B640" s="6" t="str">
        <f>"272820201121195422913"</f>
        <v>272820201121195422913</v>
      </c>
      <c r="C640" s="6" t="s">
        <v>7</v>
      </c>
      <c r="D640" s="6" t="str">
        <f>"陈荣即"</f>
        <v>陈荣即</v>
      </c>
      <c r="E640" s="6" t="str">
        <f>"1997-12-01"</f>
        <v>1997-12-01</v>
      </c>
      <c r="F640" s="6"/>
    </row>
    <row r="641" spans="1:6" ht="30" customHeight="1">
      <c r="A641" s="6">
        <v>639</v>
      </c>
      <c r="B641" s="6" t="str">
        <f>"272820201121200259914"</f>
        <v>272820201121200259914</v>
      </c>
      <c r="C641" s="6" t="s">
        <v>7</v>
      </c>
      <c r="D641" s="6" t="str">
        <f>"叶静"</f>
        <v>叶静</v>
      </c>
      <c r="E641" s="6" t="str">
        <f>"1997-12-16"</f>
        <v>1997-12-16</v>
      </c>
      <c r="F641" s="6"/>
    </row>
    <row r="642" spans="1:6" ht="30" customHeight="1">
      <c r="A642" s="6">
        <v>640</v>
      </c>
      <c r="B642" s="6" t="str">
        <f>"272820201121200405915"</f>
        <v>272820201121200405915</v>
      </c>
      <c r="C642" s="6" t="s">
        <v>7</v>
      </c>
      <c r="D642" s="6" t="str">
        <f>"金万恩"</f>
        <v>金万恩</v>
      </c>
      <c r="E642" s="6" t="str">
        <f>"1992-02-14"</f>
        <v>1992-02-14</v>
      </c>
      <c r="F642" s="6"/>
    </row>
    <row r="643" spans="1:6" ht="30" customHeight="1">
      <c r="A643" s="6">
        <v>641</v>
      </c>
      <c r="B643" s="6" t="str">
        <f>"272820201121200645916"</f>
        <v>272820201121200645916</v>
      </c>
      <c r="C643" s="6" t="s">
        <v>7</v>
      </c>
      <c r="D643" s="6" t="str">
        <f>"占兴婷"</f>
        <v>占兴婷</v>
      </c>
      <c r="E643" s="6" t="str">
        <f>"1996-12-31"</f>
        <v>1996-12-31</v>
      </c>
      <c r="F643" s="6"/>
    </row>
    <row r="644" spans="1:6" ht="30" customHeight="1">
      <c r="A644" s="6">
        <v>642</v>
      </c>
      <c r="B644" s="6" t="str">
        <f>"272820201121200705917"</f>
        <v>272820201121200705917</v>
      </c>
      <c r="C644" s="6" t="s">
        <v>7</v>
      </c>
      <c r="D644" s="6" t="str">
        <f>"王三品"</f>
        <v>王三品</v>
      </c>
      <c r="E644" s="6" t="str">
        <f>"1994-01-18"</f>
        <v>1994-01-18</v>
      </c>
      <c r="F644" s="6"/>
    </row>
    <row r="645" spans="1:6" ht="30" customHeight="1">
      <c r="A645" s="6">
        <v>643</v>
      </c>
      <c r="B645" s="6" t="str">
        <f>"272820201121200929918"</f>
        <v>272820201121200929918</v>
      </c>
      <c r="C645" s="6" t="s">
        <v>7</v>
      </c>
      <c r="D645" s="6" t="str">
        <f>"叶子文"</f>
        <v>叶子文</v>
      </c>
      <c r="E645" s="6" t="str">
        <f>"1996-09-28"</f>
        <v>1996-09-28</v>
      </c>
      <c r="F645" s="6"/>
    </row>
    <row r="646" spans="1:6" ht="30" customHeight="1">
      <c r="A646" s="6">
        <v>644</v>
      </c>
      <c r="B646" s="6" t="str">
        <f>"272820201121201040919"</f>
        <v>272820201121201040919</v>
      </c>
      <c r="C646" s="6" t="s">
        <v>7</v>
      </c>
      <c r="D646" s="6" t="str">
        <f>"熊章胜"</f>
        <v>熊章胜</v>
      </c>
      <c r="E646" s="6" t="str">
        <f>"1996-03-10"</f>
        <v>1996-03-10</v>
      </c>
      <c r="F646" s="6"/>
    </row>
    <row r="647" spans="1:6" ht="30" customHeight="1">
      <c r="A647" s="6">
        <v>645</v>
      </c>
      <c r="B647" s="6" t="str">
        <f>"272820201121201943920"</f>
        <v>272820201121201943920</v>
      </c>
      <c r="C647" s="6" t="s">
        <v>7</v>
      </c>
      <c r="D647" s="6" t="str">
        <f>"谭丽川"</f>
        <v>谭丽川</v>
      </c>
      <c r="E647" s="6" t="str">
        <f>"1998-10-03"</f>
        <v>1998-10-03</v>
      </c>
      <c r="F647" s="6"/>
    </row>
    <row r="648" spans="1:6" ht="30" customHeight="1">
      <c r="A648" s="6">
        <v>646</v>
      </c>
      <c r="B648" s="6" t="str">
        <f>"272820201121202735922"</f>
        <v>272820201121202735922</v>
      </c>
      <c r="C648" s="6" t="s">
        <v>7</v>
      </c>
      <c r="D648" s="6" t="str">
        <f>"高敏贵"</f>
        <v>高敏贵</v>
      </c>
      <c r="E648" s="6" t="str">
        <f>"1995-12-23"</f>
        <v>1995-12-23</v>
      </c>
      <c r="F648" s="6"/>
    </row>
    <row r="649" spans="1:6" ht="30" customHeight="1">
      <c r="A649" s="6">
        <v>647</v>
      </c>
      <c r="B649" s="6" t="str">
        <f>"272820201121203033923"</f>
        <v>272820201121203033923</v>
      </c>
      <c r="C649" s="6" t="s">
        <v>7</v>
      </c>
      <c r="D649" s="6" t="str">
        <f>"文惠"</f>
        <v>文惠</v>
      </c>
      <c r="E649" s="6" t="str">
        <f>"1988-10-24"</f>
        <v>1988-10-24</v>
      </c>
      <c r="F649" s="6"/>
    </row>
    <row r="650" spans="1:6" ht="30" customHeight="1">
      <c r="A650" s="6">
        <v>648</v>
      </c>
      <c r="B650" s="6" t="str">
        <f>"272820201121204006925"</f>
        <v>272820201121204006925</v>
      </c>
      <c r="C650" s="6" t="s">
        <v>7</v>
      </c>
      <c r="D650" s="6" t="str">
        <f>"符兴花"</f>
        <v>符兴花</v>
      </c>
      <c r="E650" s="6" t="str">
        <f>"1994-09-19"</f>
        <v>1994-09-19</v>
      </c>
      <c r="F650" s="6"/>
    </row>
    <row r="651" spans="1:6" ht="30" customHeight="1">
      <c r="A651" s="6">
        <v>649</v>
      </c>
      <c r="B651" s="6" t="str">
        <f>"272820201121204111926"</f>
        <v>272820201121204111926</v>
      </c>
      <c r="C651" s="6" t="s">
        <v>7</v>
      </c>
      <c r="D651" s="6" t="str">
        <f>"封佳成"</f>
        <v>封佳成</v>
      </c>
      <c r="E651" s="6" t="str">
        <f>"1997-05-31"</f>
        <v>1997-05-31</v>
      </c>
      <c r="F651" s="6"/>
    </row>
    <row r="652" spans="1:6" ht="30" customHeight="1">
      <c r="A652" s="6">
        <v>650</v>
      </c>
      <c r="B652" s="6" t="str">
        <f>"272820201121204542927"</f>
        <v>272820201121204542927</v>
      </c>
      <c r="C652" s="6" t="s">
        <v>7</v>
      </c>
      <c r="D652" s="6" t="str">
        <f>"蒋子菲"</f>
        <v>蒋子菲</v>
      </c>
      <c r="E652" s="6" t="str">
        <f>"1993-10-24"</f>
        <v>1993-10-24</v>
      </c>
      <c r="F652" s="6"/>
    </row>
    <row r="653" spans="1:6" ht="30" customHeight="1">
      <c r="A653" s="6">
        <v>651</v>
      </c>
      <c r="B653" s="6" t="str">
        <f>"272820201121204712928"</f>
        <v>272820201121204712928</v>
      </c>
      <c r="C653" s="6" t="s">
        <v>7</v>
      </c>
      <c r="D653" s="6" t="str">
        <f>"牛冬梅"</f>
        <v>牛冬梅</v>
      </c>
      <c r="E653" s="6" t="str">
        <f>"1997-10-02"</f>
        <v>1997-10-02</v>
      </c>
      <c r="F653" s="6"/>
    </row>
    <row r="654" spans="1:6" ht="30" customHeight="1">
      <c r="A654" s="6">
        <v>652</v>
      </c>
      <c r="B654" s="6" t="str">
        <f>"272820201121204816929"</f>
        <v>272820201121204816929</v>
      </c>
      <c r="C654" s="6" t="s">
        <v>7</v>
      </c>
      <c r="D654" s="6" t="str">
        <f>"殷名月"</f>
        <v>殷名月</v>
      </c>
      <c r="E654" s="6" t="str">
        <f>"1994-10-28"</f>
        <v>1994-10-28</v>
      </c>
      <c r="F654" s="6"/>
    </row>
    <row r="655" spans="1:6" ht="30" customHeight="1">
      <c r="A655" s="6">
        <v>653</v>
      </c>
      <c r="B655" s="6" t="str">
        <f>"272820201121205601931"</f>
        <v>272820201121205601931</v>
      </c>
      <c r="C655" s="6" t="s">
        <v>7</v>
      </c>
      <c r="D655" s="6" t="str">
        <f>"王和贤"</f>
        <v>王和贤</v>
      </c>
      <c r="E655" s="6" t="str">
        <f>"1993-07-21"</f>
        <v>1993-07-21</v>
      </c>
      <c r="F655" s="6"/>
    </row>
    <row r="656" spans="1:6" ht="30" customHeight="1">
      <c r="A656" s="6">
        <v>654</v>
      </c>
      <c r="B656" s="6" t="str">
        <f>"272820201121210125933"</f>
        <v>272820201121210125933</v>
      </c>
      <c r="C656" s="6" t="s">
        <v>7</v>
      </c>
      <c r="D656" s="6" t="str">
        <f>"孙鸿信"</f>
        <v>孙鸿信</v>
      </c>
      <c r="E656" s="6" t="str">
        <f>"1993-03-20"</f>
        <v>1993-03-20</v>
      </c>
      <c r="F656" s="6"/>
    </row>
    <row r="657" spans="1:6" ht="30" customHeight="1">
      <c r="A657" s="6">
        <v>655</v>
      </c>
      <c r="B657" s="6" t="str">
        <f>"272820201121210354934"</f>
        <v>272820201121210354934</v>
      </c>
      <c r="C657" s="6" t="s">
        <v>7</v>
      </c>
      <c r="D657" s="6" t="str">
        <f>"王晓瑜"</f>
        <v>王晓瑜</v>
      </c>
      <c r="E657" s="6" t="str">
        <f>"1989-11-11"</f>
        <v>1989-11-11</v>
      </c>
      <c r="F657" s="6"/>
    </row>
    <row r="658" spans="1:6" ht="30" customHeight="1">
      <c r="A658" s="6">
        <v>656</v>
      </c>
      <c r="B658" s="6" t="str">
        <f>"272820201121210913937"</f>
        <v>272820201121210913937</v>
      </c>
      <c r="C658" s="6" t="s">
        <v>7</v>
      </c>
      <c r="D658" s="6" t="str">
        <f>"符婷"</f>
        <v>符婷</v>
      </c>
      <c r="E658" s="6" t="str">
        <f>"1995-07-02"</f>
        <v>1995-07-02</v>
      </c>
      <c r="F658" s="6"/>
    </row>
    <row r="659" spans="1:6" ht="30" customHeight="1">
      <c r="A659" s="6">
        <v>657</v>
      </c>
      <c r="B659" s="6" t="str">
        <f>"272820201121211527938"</f>
        <v>272820201121211527938</v>
      </c>
      <c r="C659" s="6" t="s">
        <v>7</v>
      </c>
      <c r="D659" s="6" t="str">
        <f>"林慧妃"</f>
        <v>林慧妃</v>
      </c>
      <c r="E659" s="6" t="str">
        <f>"1990-08-22"</f>
        <v>1990-08-22</v>
      </c>
      <c r="F659" s="6"/>
    </row>
    <row r="660" spans="1:6" ht="30" customHeight="1">
      <c r="A660" s="6">
        <v>658</v>
      </c>
      <c r="B660" s="6" t="str">
        <f>"272820201121211805939"</f>
        <v>272820201121211805939</v>
      </c>
      <c r="C660" s="6" t="s">
        <v>7</v>
      </c>
      <c r="D660" s="6" t="str">
        <f>"严家武"</f>
        <v>严家武</v>
      </c>
      <c r="E660" s="6" t="str">
        <f>"1997-09-27"</f>
        <v>1997-09-27</v>
      </c>
      <c r="F660" s="6"/>
    </row>
    <row r="661" spans="1:6" ht="30" customHeight="1">
      <c r="A661" s="6">
        <v>659</v>
      </c>
      <c r="B661" s="6" t="str">
        <f>"272820201121212201940"</f>
        <v>272820201121212201940</v>
      </c>
      <c r="C661" s="6" t="s">
        <v>7</v>
      </c>
      <c r="D661" s="6" t="str">
        <f>"庄惠岚"</f>
        <v>庄惠岚</v>
      </c>
      <c r="E661" s="6" t="str">
        <f>"1998-08-10"</f>
        <v>1998-08-10</v>
      </c>
      <c r="F661" s="6"/>
    </row>
    <row r="662" spans="1:6" ht="30" customHeight="1">
      <c r="A662" s="6">
        <v>660</v>
      </c>
      <c r="B662" s="6" t="str">
        <f>"272820201121212552942"</f>
        <v>272820201121212552942</v>
      </c>
      <c r="C662" s="6" t="s">
        <v>7</v>
      </c>
      <c r="D662" s="6" t="str">
        <f>"何光正"</f>
        <v>何光正</v>
      </c>
      <c r="E662" s="6" t="str">
        <f>"1990-08-18"</f>
        <v>1990-08-18</v>
      </c>
      <c r="F662" s="6"/>
    </row>
    <row r="663" spans="1:6" ht="30" customHeight="1">
      <c r="A663" s="6">
        <v>661</v>
      </c>
      <c r="B663" s="6" t="str">
        <f>"272820201121212730943"</f>
        <v>272820201121212730943</v>
      </c>
      <c r="C663" s="6" t="s">
        <v>7</v>
      </c>
      <c r="D663" s="6" t="str">
        <f>"郑天恩"</f>
        <v>郑天恩</v>
      </c>
      <c r="E663" s="6" t="str">
        <f>"1997-11-09"</f>
        <v>1997-11-09</v>
      </c>
      <c r="F663" s="6"/>
    </row>
    <row r="664" spans="1:6" ht="30" customHeight="1">
      <c r="A664" s="6">
        <v>662</v>
      </c>
      <c r="B664" s="6" t="str">
        <f>"272820201121213100944"</f>
        <v>272820201121213100944</v>
      </c>
      <c r="C664" s="6" t="s">
        <v>7</v>
      </c>
      <c r="D664" s="6" t="str">
        <f>"蓝英霞"</f>
        <v>蓝英霞</v>
      </c>
      <c r="E664" s="6" t="str">
        <f>"1996-08-05"</f>
        <v>1996-08-05</v>
      </c>
      <c r="F664" s="6"/>
    </row>
    <row r="665" spans="1:6" ht="30" customHeight="1">
      <c r="A665" s="6">
        <v>663</v>
      </c>
      <c r="B665" s="6" t="str">
        <f>"272820201121213159946"</f>
        <v>272820201121213159946</v>
      </c>
      <c r="C665" s="6" t="s">
        <v>7</v>
      </c>
      <c r="D665" s="6" t="str">
        <f>"周川燕"</f>
        <v>周川燕</v>
      </c>
      <c r="E665" s="6" t="str">
        <f>"1996-04-09"</f>
        <v>1996-04-09</v>
      </c>
      <c r="F665" s="6"/>
    </row>
    <row r="666" spans="1:6" ht="30" customHeight="1">
      <c r="A666" s="6">
        <v>664</v>
      </c>
      <c r="B666" s="6" t="str">
        <f>"272820201121213343947"</f>
        <v>272820201121213343947</v>
      </c>
      <c r="C666" s="6" t="s">
        <v>7</v>
      </c>
      <c r="D666" s="6" t="str">
        <f>"杜海芬"</f>
        <v>杜海芬</v>
      </c>
      <c r="E666" s="6" t="str">
        <f>"1998-03-26"</f>
        <v>1998-03-26</v>
      </c>
      <c r="F666" s="6"/>
    </row>
    <row r="667" spans="1:6" ht="30" customHeight="1">
      <c r="A667" s="6">
        <v>665</v>
      </c>
      <c r="B667" s="6" t="str">
        <f>"272820201121213437948"</f>
        <v>272820201121213437948</v>
      </c>
      <c r="C667" s="6" t="s">
        <v>7</v>
      </c>
      <c r="D667" s="6" t="str">
        <f>"赵泽民"</f>
        <v>赵泽民</v>
      </c>
      <c r="E667" s="6" t="str">
        <f>"1992-10-20"</f>
        <v>1992-10-20</v>
      </c>
      <c r="F667" s="6"/>
    </row>
    <row r="668" spans="1:6" ht="30" customHeight="1">
      <c r="A668" s="6">
        <v>666</v>
      </c>
      <c r="B668" s="6" t="str">
        <f>"272820201121213545949"</f>
        <v>272820201121213545949</v>
      </c>
      <c r="C668" s="6" t="s">
        <v>7</v>
      </c>
      <c r="D668" s="6" t="str">
        <f>"周超莹"</f>
        <v>周超莹</v>
      </c>
      <c r="E668" s="6" t="str">
        <f>"1994-03-12"</f>
        <v>1994-03-12</v>
      </c>
      <c r="F668" s="6"/>
    </row>
    <row r="669" spans="1:6" ht="30" customHeight="1">
      <c r="A669" s="6">
        <v>667</v>
      </c>
      <c r="B669" s="6" t="str">
        <f>"272820201121214051950"</f>
        <v>272820201121214051950</v>
      </c>
      <c r="C669" s="6" t="s">
        <v>7</v>
      </c>
      <c r="D669" s="6" t="str">
        <f>"苏苗欣"</f>
        <v>苏苗欣</v>
      </c>
      <c r="E669" s="6" t="str">
        <f>"1992-04-18"</f>
        <v>1992-04-18</v>
      </c>
      <c r="F669" s="6"/>
    </row>
    <row r="670" spans="1:6" ht="30" customHeight="1">
      <c r="A670" s="6">
        <v>668</v>
      </c>
      <c r="B670" s="6" t="str">
        <f>"272820201121214301951"</f>
        <v>272820201121214301951</v>
      </c>
      <c r="C670" s="6" t="s">
        <v>7</v>
      </c>
      <c r="D670" s="6" t="str">
        <f>"何世忠"</f>
        <v>何世忠</v>
      </c>
      <c r="E670" s="6" t="str">
        <f>"1995-10-14"</f>
        <v>1995-10-14</v>
      </c>
      <c r="F670" s="6"/>
    </row>
    <row r="671" spans="1:6" ht="30" customHeight="1">
      <c r="A671" s="6">
        <v>669</v>
      </c>
      <c r="B671" s="6" t="str">
        <f>"272820201121215928952"</f>
        <v>272820201121215928952</v>
      </c>
      <c r="C671" s="6" t="s">
        <v>7</v>
      </c>
      <c r="D671" s="6" t="str">
        <f>"邱烨"</f>
        <v>邱烨</v>
      </c>
      <c r="E671" s="6" t="str">
        <f>"1995-01-08"</f>
        <v>1995-01-08</v>
      </c>
      <c r="F671" s="6"/>
    </row>
    <row r="672" spans="1:6" ht="30" customHeight="1">
      <c r="A672" s="6">
        <v>670</v>
      </c>
      <c r="B672" s="6" t="str">
        <f>"272820201121220005953"</f>
        <v>272820201121220005953</v>
      </c>
      <c r="C672" s="6" t="s">
        <v>7</v>
      </c>
      <c r="D672" s="6" t="str">
        <f>"曾悦桐"</f>
        <v>曾悦桐</v>
      </c>
      <c r="E672" s="6" t="str">
        <f>"1998-11-12"</f>
        <v>1998-11-12</v>
      </c>
      <c r="F672" s="6"/>
    </row>
    <row r="673" spans="1:6" ht="30" customHeight="1">
      <c r="A673" s="6">
        <v>671</v>
      </c>
      <c r="B673" s="6" t="str">
        <f>"272820201121220232954"</f>
        <v>272820201121220232954</v>
      </c>
      <c r="C673" s="6" t="s">
        <v>7</v>
      </c>
      <c r="D673" s="6" t="str">
        <f>"陈清易"</f>
        <v>陈清易</v>
      </c>
      <c r="E673" s="6" t="str">
        <f>"1995-07-12"</f>
        <v>1995-07-12</v>
      </c>
      <c r="F673" s="6"/>
    </row>
    <row r="674" spans="1:6" ht="30" customHeight="1">
      <c r="A674" s="6">
        <v>672</v>
      </c>
      <c r="B674" s="6" t="str">
        <f>"272820201121220549956"</f>
        <v>272820201121220549956</v>
      </c>
      <c r="C674" s="6" t="s">
        <v>7</v>
      </c>
      <c r="D674" s="6" t="str">
        <f>"陈楚楚"</f>
        <v>陈楚楚</v>
      </c>
      <c r="E674" s="6" t="str">
        <f>"1998-09-08"</f>
        <v>1998-09-08</v>
      </c>
      <c r="F674" s="6"/>
    </row>
    <row r="675" spans="1:6" ht="30" customHeight="1">
      <c r="A675" s="6">
        <v>673</v>
      </c>
      <c r="B675" s="6" t="str">
        <f>"272820201121221308958"</f>
        <v>272820201121221308958</v>
      </c>
      <c r="C675" s="6" t="s">
        <v>7</v>
      </c>
      <c r="D675" s="6" t="str">
        <f>"文婷"</f>
        <v>文婷</v>
      </c>
      <c r="E675" s="6" t="str">
        <f>"1990-02-18"</f>
        <v>1990-02-18</v>
      </c>
      <c r="F675" s="6"/>
    </row>
    <row r="676" spans="1:6" ht="30" customHeight="1">
      <c r="A676" s="6">
        <v>674</v>
      </c>
      <c r="B676" s="6" t="str">
        <f>"272820201121222032959"</f>
        <v>272820201121222032959</v>
      </c>
      <c r="C676" s="6" t="s">
        <v>7</v>
      </c>
      <c r="D676" s="6" t="str">
        <f>"潘德高"</f>
        <v>潘德高</v>
      </c>
      <c r="E676" s="6" t="str">
        <f>"1999-02-08"</f>
        <v>1999-02-08</v>
      </c>
      <c r="F676" s="6"/>
    </row>
    <row r="677" spans="1:6" ht="30" customHeight="1">
      <c r="A677" s="6">
        <v>675</v>
      </c>
      <c r="B677" s="6" t="str">
        <f>"272820201121222808960"</f>
        <v>272820201121222808960</v>
      </c>
      <c r="C677" s="6" t="s">
        <v>7</v>
      </c>
      <c r="D677" s="6" t="str">
        <f>"刘洋河"</f>
        <v>刘洋河</v>
      </c>
      <c r="E677" s="6" t="str">
        <f>"1994-11-02"</f>
        <v>1994-11-02</v>
      </c>
      <c r="F677" s="6"/>
    </row>
    <row r="678" spans="1:6" ht="30" customHeight="1">
      <c r="A678" s="6">
        <v>676</v>
      </c>
      <c r="B678" s="6" t="str">
        <f>"272820201121223133961"</f>
        <v>272820201121223133961</v>
      </c>
      <c r="C678" s="6" t="s">
        <v>7</v>
      </c>
      <c r="D678" s="6" t="str">
        <f>"高丽金"</f>
        <v>高丽金</v>
      </c>
      <c r="E678" s="6" t="str">
        <f>"1997-06-18"</f>
        <v>1997-06-18</v>
      </c>
      <c r="F678" s="6"/>
    </row>
    <row r="679" spans="1:6" ht="30" customHeight="1">
      <c r="A679" s="6">
        <v>677</v>
      </c>
      <c r="B679" s="6" t="str">
        <f>"272820201121223153962"</f>
        <v>272820201121223153962</v>
      </c>
      <c r="C679" s="6" t="s">
        <v>7</v>
      </c>
      <c r="D679" s="6" t="str">
        <f>"苏运史"</f>
        <v>苏运史</v>
      </c>
      <c r="E679" s="6" t="str">
        <f>"1993-01-17"</f>
        <v>1993-01-17</v>
      </c>
      <c r="F679" s="6"/>
    </row>
    <row r="680" spans="1:6" ht="30" customHeight="1">
      <c r="A680" s="6">
        <v>678</v>
      </c>
      <c r="B680" s="6" t="str">
        <f>"272820201121224029965"</f>
        <v>272820201121224029965</v>
      </c>
      <c r="C680" s="6" t="s">
        <v>7</v>
      </c>
      <c r="D680" s="6" t="str">
        <f>"陈秋瑾"</f>
        <v>陈秋瑾</v>
      </c>
      <c r="E680" s="6" t="str">
        <f>"1995-08-22"</f>
        <v>1995-08-22</v>
      </c>
      <c r="F680" s="6"/>
    </row>
    <row r="681" spans="1:6" ht="30" customHeight="1">
      <c r="A681" s="6">
        <v>679</v>
      </c>
      <c r="B681" s="6" t="str">
        <f>"272820201121224055966"</f>
        <v>272820201121224055966</v>
      </c>
      <c r="C681" s="6" t="s">
        <v>7</v>
      </c>
      <c r="D681" s="6" t="str">
        <f>"陈垂常"</f>
        <v>陈垂常</v>
      </c>
      <c r="E681" s="6" t="str">
        <f>"1997-08-17"</f>
        <v>1997-08-17</v>
      </c>
      <c r="F681" s="6"/>
    </row>
    <row r="682" spans="1:6" ht="30" customHeight="1">
      <c r="A682" s="6">
        <v>680</v>
      </c>
      <c r="B682" s="6" t="str">
        <f>"272820201121224237967"</f>
        <v>272820201121224237967</v>
      </c>
      <c r="C682" s="6" t="s">
        <v>7</v>
      </c>
      <c r="D682" s="6" t="str">
        <f>"陈积展"</f>
        <v>陈积展</v>
      </c>
      <c r="E682" s="6" t="str">
        <f>"1993-07-03"</f>
        <v>1993-07-03</v>
      </c>
      <c r="F682" s="6"/>
    </row>
    <row r="683" spans="1:6" ht="30" customHeight="1">
      <c r="A683" s="6">
        <v>681</v>
      </c>
      <c r="B683" s="6" t="str">
        <f>"272820201121224342969"</f>
        <v>272820201121224342969</v>
      </c>
      <c r="C683" s="6" t="s">
        <v>7</v>
      </c>
      <c r="D683" s="6" t="str">
        <f>"林琳伦"</f>
        <v>林琳伦</v>
      </c>
      <c r="E683" s="6" t="str">
        <f>"1992-06-26"</f>
        <v>1992-06-26</v>
      </c>
      <c r="F683" s="6"/>
    </row>
    <row r="684" spans="1:6" ht="30" customHeight="1">
      <c r="A684" s="6">
        <v>682</v>
      </c>
      <c r="B684" s="6" t="str">
        <f>"272820201121224414970"</f>
        <v>272820201121224414970</v>
      </c>
      <c r="C684" s="6" t="s">
        <v>7</v>
      </c>
      <c r="D684" s="6" t="str">
        <f>"许起宁"</f>
        <v>许起宁</v>
      </c>
      <c r="E684" s="6" t="str">
        <f>"1991-02-04"</f>
        <v>1991-02-04</v>
      </c>
      <c r="F684" s="6"/>
    </row>
    <row r="685" spans="1:6" ht="30" customHeight="1">
      <c r="A685" s="6">
        <v>683</v>
      </c>
      <c r="B685" s="6" t="str">
        <f>"272820201121225747972"</f>
        <v>272820201121225747972</v>
      </c>
      <c r="C685" s="6" t="s">
        <v>7</v>
      </c>
      <c r="D685" s="6" t="str">
        <f>"万金钟"</f>
        <v>万金钟</v>
      </c>
      <c r="E685" s="6" t="str">
        <f>"1999-03-06"</f>
        <v>1999-03-06</v>
      </c>
      <c r="F685" s="6"/>
    </row>
    <row r="686" spans="1:6" ht="30" customHeight="1">
      <c r="A686" s="6">
        <v>684</v>
      </c>
      <c r="B686" s="6" t="str">
        <f>"272820201121230125973"</f>
        <v>272820201121230125973</v>
      </c>
      <c r="C686" s="6" t="s">
        <v>7</v>
      </c>
      <c r="D686" s="6" t="str">
        <f>"窦同辉"</f>
        <v>窦同辉</v>
      </c>
      <c r="E686" s="6" t="str">
        <f>"1987-11-05"</f>
        <v>1987-11-05</v>
      </c>
      <c r="F686" s="6"/>
    </row>
    <row r="687" spans="1:6" ht="30" customHeight="1">
      <c r="A687" s="6">
        <v>685</v>
      </c>
      <c r="B687" s="6" t="str">
        <f>"272820201121230736974"</f>
        <v>272820201121230736974</v>
      </c>
      <c r="C687" s="6" t="s">
        <v>7</v>
      </c>
      <c r="D687" s="6" t="str">
        <f>"王裕石"</f>
        <v>王裕石</v>
      </c>
      <c r="E687" s="6" t="str">
        <f>"1991.08"</f>
        <v>1991.08</v>
      </c>
      <c r="F687" s="6"/>
    </row>
    <row r="688" spans="1:6" ht="30" customHeight="1">
      <c r="A688" s="6">
        <v>686</v>
      </c>
      <c r="B688" s="6" t="str">
        <f>"272820201121232138976"</f>
        <v>272820201121232138976</v>
      </c>
      <c r="C688" s="6" t="s">
        <v>7</v>
      </c>
      <c r="D688" s="6" t="str">
        <f>"李环媚"</f>
        <v>李环媚</v>
      </c>
      <c r="E688" s="6" t="str">
        <f>"1991-04-07"</f>
        <v>1991-04-07</v>
      </c>
      <c r="F688" s="6"/>
    </row>
    <row r="689" spans="1:6" ht="30" customHeight="1">
      <c r="A689" s="6">
        <v>687</v>
      </c>
      <c r="B689" s="6" t="str">
        <f>"272820201121232421978"</f>
        <v>272820201121232421978</v>
      </c>
      <c r="C689" s="6" t="s">
        <v>7</v>
      </c>
      <c r="D689" s="6" t="str">
        <f>"纪新岳"</f>
        <v>纪新岳</v>
      </c>
      <c r="E689" s="6" t="str">
        <f>"1996-02-27"</f>
        <v>1996-02-27</v>
      </c>
      <c r="F689" s="6"/>
    </row>
    <row r="690" spans="1:6" ht="30" customHeight="1">
      <c r="A690" s="6">
        <v>688</v>
      </c>
      <c r="B690" s="6" t="str">
        <f>"272820201121233048979"</f>
        <v>272820201121233048979</v>
      </c>
      <c r="C690" s="6" t="s">
        <v>7</v>
      </c>
      <c r="D690" s="6" t="str">
        <f>"莫茜茜"</f>
        <v>莫茜茜</v>
      </c>
      <c r="E690" s="6" t="str">
        <f>"1997-12-27"</f>
        <v>1997-12-27</v>
      </c>
      <c r="F690" s="6"/>
    </row>
    <row r="691" spans="1:6" ht="30" customHeight="1">
      <c r="A691" s="6">
        <v>689</v>
      </c>
      <c r="B691" s="6" t="str">
        <f>"272820201121234259980"</f>
        <v>272820201121234259980</v>
      </c>
      <c r="C691" s="6" t="s">
        <v>7</v>
      </c>
      <c r="D691" s="6" t="str">
        <f>"潘玉玲"</f>
        <v>潘玉玲</v>
      </c>
      <c r="E691" s="6" t="str">
        <f>"1996-06-26"</f>
        <v>1996-06-26</v>
      </c>
      <c r="F691" s="6"/>
    </row>
    <row r="692" spans="1:6" ht="30" customHeight="1">
      <c r="A692" s="6">
        <v>690</v>
      </c>
      <c r="B692" s="6" t="str">
        <f>"272820201121234336981"</f>
        <v>272820201121234336981</v>
      </c>
      <c r="C692" s="6" t="s">
        <v>7</v>
      </c>
      <c r="D692" s="6" t="str">
        <f>"刘兴"</f>
        <v>刘兴</v>
      </c>
      <c r="E692" s="6" t="str">
        <f>"1995-08-02"</f>
        <v>1995-08-02</v>
      </c>
      <c r="F692" s="6"/>
    </row>
    <row r="693" spans="1:6" ht="30" customHeight="1">
      <c r="A693" s="6">
        <v>691</v>
      </c>
      <c r="B693" s="6" t="str">
        <f>"272820201121234836982"</f>
        <v>272820201121234836982</v>
      </c>
      <c r="C693" s="6" t="s">
        <v>7</v>
      </c>
      <c r="D693" s="6" t="str">
        <f>"彭仁豪"</f>
        <v>彭仁豪</v>
      </c>
      <c r="E693" s="6" t="str">
        <f>"1996-04-17"</f>
        <v>1996-04-17</v>
      </c>
      <c r="F693" s="6"/>
    </row>
    <row r="694" spans="1:6" ht="30" customHeight="1">
      <c r="A694" s="6">
        <v>692</v>
      </c>
      <c r="B694" s="6" t="str">
        <f>"272820201121235005983"</f>
        <v>272820201121235005983</v>
      </c>
      <c r="C694" s="6" t="s">
        <v>7</v>
      </c>
      <c r="D694" s="6" t="str">
        <f>"曾云婷"</f>
        <v>曾云婷</v>
      </c>
      <c r="E694" s="6" t="str">
        <f>"1992-11-15"</f>
        <v>1992-11-15</v>
      </c>
      <c r="F694" s="6"/>
    </row>
    <row r="695" spans="1:6" ht="30" customHeight="1">
      <c r="A695" s="6">
        <v>693</v>
      </c>
      <c r="B695" s="6" t="str">
        <f>"272820201121235354984"</f>
        <v>272820201121235354984</v>
      </c>
      <c r="C695" s="6" t="s">
        <v>7</v>
      </c>
      <c r="D695" s="6" t="str">
        <f>"曹翠萍"</f>
        <v>曹翠萍</v>
      </c>
      <c r="E695" s="6" t="str">
        <f>"1996-06-27"</f>
        <v>1996-06-27</v>
      </c>
      <c r="F695" s="6"/>
    </row>
    <row r="696" spans="1:6" ht="30" customHeight="1">
      <c r="A696" s="6">
        <v>694</v>
      </c>
      <c r="B696" s="6" t="str">
        <f>"272820201122000115985"</f>
        <v>272820201122000115985</v>
      </c>
      <c r="C696" s="6" t="s">
        <v>7</v>
      </c>
      <c r="D696" s="6" t="str">
        <f>"唐少鹏"</f>
        <v>唐少鹏</v>
      </c>
      <c r="E696" s="6" t="str">
        <f>"1992-05-08"</f>
        <v>1992-05-08</v>
      </c>
      <c r="F696" s="6"/>
    </row>
    <row r="697" spans="1:6" ht="30" customHeight="1">
      <c r="A697" s="6">
        <v>695</v>
      </c>
      <c r="B697" s="6" t="str">
        <f>"272820201122001729988"</f>
        <v>272820201122001729988</v>
      </c>
      <c r="C697" s="6" t="s">
        <v>7</v>
      </c>
      <c r="D697" s="6" t="str">
        <f>"周世琪"</f>
        <v>周世琪</v>
      </c>
      <c r="E697" s="6" t="str">
        <f>"1996-04-17"</f>
        <v>1996-04-17</v>
      </c>
      <c r="F697" s="6"/>
    </row>
    <row r="698" spans="1:6" ht="30" customHeight="1">
      <c r="A698" s="6">
        <v>696</v>
      </c>
      <c r="B698" s="6" t="str">
        <f>"272820201122010126991"</f>
        <v>272820201122010126991</v>
      </c>
      <c r="C698" s="6" t="s">
        <v>7</v>
      </c>
      <c r="D698" s="6" t="str">
        <f>"何德超"</f>
        <v>何德超</v>
      </c>
      <c r="E698" s="6" t="str">
        <f>"1993-11-18"</f>
        <v>1993-11-18</v>
      </c>
      <c r="F698" s="6"/>
    </row>
    <row r="699" spans="1:6" ht="30" customHeight="1">
      <c r="A699" s="6">
        <v>697</v>
      </c>
      <c r="B699" s="6" t="str">
        <f>"272820201122010408992"</f>
        <v>272820201122010408992</v>
      </c>
      <c r="C699" s="6" t="s">
        <v>7</v>
      </c>
      <c r="D699" s="6" t="str">
        <f>"黄堂健"</f>
        <v>黄堂健</v>
      </c>
      <c r="E699" s="6" t="str">
        <f>"1994-10-11"</f>
        <v>1994-10-11</v>
      </c>
      <c r="F699" s="6"/>
    </row>
    <row r="700" spans="1:6" ht="30" customHeight="1">
      <c r="A700" s="6">
        <v>698</v>
      </c>
      <c r="B700" s="6" t="str">
        <f>"272820201122012626993"</f>
        <v>272820201122012626993</v>
      </c>
      <c r="C700" s="6" t="s">
        <v>7</v>
      </c>
      <c r="D700" s="6" t="str">
        <f>"尹丹琪"</f>
        <v>尹丹琪</v>
      </c>
      <c r="E700" s="6" t="str">
        <f>"1997-12-30"</f>
        <v>1997-12-30</v>
      </c>
      <c r="F700" s="6"/>
    </row>
    <row r="701" spans="1:6" ht="30" customHeight="1">
      <c r="A701" s="6">
        <v>699</v>
      </c>
      <c r="B701" s="6" t="str">
        <f>"272820201122021350994"</f>
        <v>272820201122021350994</v>
      </c>
      <c r="C701" s="6" t="s">
        <v>7</v>
      </c>
      <c r="D701" s="6" t="str">
        <f>"常英鹏"</f>
        <v>常英鹏</v>
      </c>
      <c r="E701" s="6" t="str">
        <f>"1990-11-13"</f>
        <v>1990-11-13</v>
      </c>
      <c r="F701" s="6"/>
    </row>
    <row r="702" spans="1:6" ht="30" customHeight="1">
      <c r="A702" s="6">
        <v>700</v>
      </c>
      <c r="B702" s="6" t="str">
        <f>"272820201122072144996"</f>
        <v>272820201122072144996</v>
      </c>
      <c r="C702" s="6" t="s">
        <v>7</v>
      </c>
      <c r="D702" s="6" t="str">
        <f>"钟富"</f>
        <v>钟富</v>
      </c>
      <c r="E702" s="6" t="str">
        <f>"1993-02-05"</f>
        <v>1993-02-05</v>
      </c>
      <c r="F702" s="6"/>
    </row>
    <row r="703" spans="1:6" ht="30" customHeight="1">
      <c r="A703" s="6">
        <v>701</v>
      </c>
      <c r="B703" s="6" t="str">
        <f>"272820201122073738997"</f>
        <v>272820201122073738997</v>
      </c>
      <c r="C703" s="6" t="s">
        <v>7</v>
      </c>
      <c r="D703" s="6" t="str">
        <f>"杨顶鹤"</f>
        <v>杨顶鹤</v>
      </c>
      <c r="E703" s="6" t="str">
        <f>"1995-01-20"</f>
        <v>1995-01-20</v>
      </c>
      <c r="F703" s="6"/>
    </row>
    <row r="704" spans="1:6" ht="30" customHeight="1">
      <c r="A704" s="6">
        <v>702</v>
      </c>
      <c r="B704" s="6" t="str">
        <f>"272820201122075523999"</f>
        <v>272820201122075523999</v>
      </c>
      <c r="C704" s="6" t="s">
        <v>7</v>
      </c>
      <c r="D704" s="6" t="str">
        <f>"邓海燕"</f>
        <v>邓海燕</v>
      </c>
      <c r="E704" s="6" t="str">
        <f>"1994-08-05"</f>
        <v>1994-08-05</v>
      </c>
      <c r="F704" s="6"/>
    </row>
    <row r="705" spans="1:6" ht="30" customHeight="1">
      <c r="A705" s="6">
        <v>703</v>
      </c>
      <c r="B705" s="6" t="str">
        <f>"2728202011220756131000"</f>
        <v>2728202011220756131000</v>
      </c>
      <c r="C705" s="6" t="s">
        <v>7</v>
      </c>
      <c r="D705" s="6" t="str">
        <f>"陈柏羽"</f>
        <v>陈柏羽</v>
      </c>
      <c r="E705" s="6" t="str">
        <f>"1992-02-11"</f>
        <v>1992-02-11</v>
      </c>
      <c r="F705" s="6"/>
    </row>
    <row r="706" spans="1:6" ht="30" customHeight="1">
      <c r="A706" s="6">
        <v>704</v>
      </c>
      <c r="B706" s="6" t="str">
        <f>"2728202011220832361001"</f>
        <v>2728202011220832361001</v>
      </c>
      <c r="C706" s="6" t="s">
        <v>7</v>
      </c>
      <c r="D706" s="6" t="str">
        <f>"王程"</f>
        <v>王程</v>
      </c>
      <c r="E706" s="6" t="str">
        <f>"1996-09-16"</f>
        <v>1996-09-16</v>
      </c>
      <c r="F706" s="6"/>
    </row>
    <row r="707" spans="1:6" ht="30" customHeight="1">
      <c r="A707" s="6">
        <v>705</v>
      </c>
      <c r="B707" s="6" t="str">
        <f>"2728202011220848271003"</f>
        <v>2728202011220848271003</v>
      </c>
      <c r="C707" s="6" t="s">
        <v>7</v>
      </c>
      <c r="D707" s="6" t="str">
        <f>"李月妮"</f>
        <v>李月妮</v>
      </c>
      <c r="E707" s="6" t="str">
        <f>"1994-05-21"</f>
        <v>1994-05-21</v>
      </c>
      <c r="F707" s="6"/>
    </row>
    <row r="708" spans="1:6" ht="30" customHeight="1">
      <c r="A708" s="6">
        <v>706</v>
      </c>
      <c r="B708" s="6" t="str">
        <f>"2728202011220858441005"</f>
        <v>2728202011220858441005</v>
      </c>
      <c r="C708" s="6" t="s">
        <v>7</v>
      </c>
      <c r="D708" s="6" t="str">
        <f>"陈春英"</f>
        <v>陈春英</v>
      </c>
      <c r="E708" s="6" t="str">
        <f>"1995-01-04"</f>
        <v>1995-01-04</v>
      </c>
      <c r="F708" s="6"/>
    </row>
    <row r="709" spans="1:6" ht="30" customHeight="1">
      <c r="A709" s="6">
        <v>707</v>
      </c>
      <c r="B709" s="6" t="str">
        <f>"2728202011220900121006"</f>
        <v>2728202011220900121006</v>
      </c>
      <c r="C709" s="6" t="s">
        <v>7</v>
      </c>
      <c r="D709" s="6" t="str">
        <f>"符玉青"</f>
        <v>符玉青</v>
      </c>
      <c r="E709" s="6" t="str">
        <f>"1996-02-04"</f>
        <v>1996-02-04</v>
      </c>
      <c r="F709" s="6"/>
    </row>
    <row r="710" spans="1:6" ht="30" customHeight="1">
      <c r="A710" s="6">
        <v>708</v>
      </c>
      <c r="B710" s="6" t="str">
        <f>"2728202011220909111007"</f>
        <v>2728202011220909111007</v>
      </c>
      <c r="C710" s="6" t="s">
        <v>7</v>
      </c>
      <c r="D710" s="6" t="str">
        <f>"兰蕾"</f>
        <v>兰蕾</v>
      </c>
      <c r="E710" s="6" t="str">
        <f>"1993-01-04"</f>
        <v>1993-01-04</v>
      </c>
      <c r="F710" s="6"/>
    </row>
    <row r="711" spans="1:6" ht="30" customHeight="1">
      <c r="A711" s="6">
        <v>709</v>
      </c>
      <c r="B711" s="6" t="str">
        <f>"2728202011220909581008"</f>
        <v>2728202011220909581008</v>
      </c>
      <c r="C711" s="6" t="s">
        <v>7</v>
      </c>
      <c r="D711" s="6" t="str">
        <f>"傅浩荣"</f>
        <v>傅浩荣</v>
      </c>
      <c r="E711" s="6" t="str">
        <f>"1992-11-04"</f>
        <v>1992-11-04</v>
      </c>
      <c r="F711" s="6"/>
    </row>
    <row r="712" spans="1:6" ht="30" customHeight="1">
      <c r="A712" s="6">
        <v>710</v>
      </c>
      <c r="B712" s="6" t="str">
        <f>"2728202011220919221010"</f>
        <v>2728202011220919221010</v>
      </c>
      <c r="C712" s="6" t="s">
        <v>7</v>
      </c>
      <c r="D712" s="6" t="str">
        <f>"陈巧灵"</f>
        <v>陈巧灵</v>
      </c>
      <c r="E712" s="6" t="str">
        <f>"1992-09-23"</f>
        <v>1992-09-23</v>
      </c>
      <c r="F712" s="6"/>
    </row>
    <row r="713" spans="1:6" ht="30" customHeight="1">
      <c r="A713" s="6">
        <v>711</v>
      </c>
      <c r="B713" s="6" t="str">
        <f>"2728202011220919381012"</f>
        <v>2728202011220919381012</v>
      </c>
      <c r="C713" s="6" t="s">
        <v>7</v>
      </c>
      <c r="D713" s="6" t="str">
        <f>"李亚龙"</f>
        <v>李亚龙</v>
      </c>
      <c r="E713" s="6" t="str">
        <f>"1991-09-10"</f>
        <v>1991-09-10</v>
      </c>
      <c r="F713" s="6"/>
    </row>
    <row r="714" spans="1:6" ht="30" customHeight="1">
      <c r="A714" s="6">
        <v>712</v>
      </c>
      <c r="B714" s="6" t="str">
        <f>"2728202011220922101013"</f>
        <v>2728202011220922101013</v>
      </c>
      <c r="C714" s="6" t="s">
        <v>7</v>
      </c>
      <c r="D714" s="6" t="str">
        <f>"白璟"</f>
        <v>白璟</v>
      </c>
      <c r="E714" s="6" t="str">
        <f>"1994-11-01"</f>
        <v>1994-11-01</v>
      </c>
      <c r="F714" s="6"/>
    </row>
    <row r="715" spans="1:6" ht="30" customHeight="1">
      <c r="A715" s="6">
        <v>713</v>
      </c>
      <c r="B715" s="6" t="str">
        <f>"2728202011220939371016"</f>
        <v>2728202011220939371016</v>
      </c>
      <c r="C715" s="6" t="s">
        <v>7</v>
      </c>
      <c r="D715" s="6" t="str">
        <f>"谭帝辉"</f>
        <v>谭帝辉</v>
      </c>
      <c r="E715" s="6" t="str">
        <f>"1996-02-11"</f>
        <v>1996-02-11</v>
      </c>
      <c r="F715" s="6"/>
    </row>
    <row r="716" spans="1:6" ht="30" customHeight="1">
      <c r="A716" s="6">
        <v>714</v>
      </c>
      <c r="B716" s="6" t="str">
        <f>"2728202011220954561018"</f>
        <v>2728202011220954561018</v>
      </c>
      <c r="C716" s="6" t="s">
        <v>7</v>
      </c>
      <c r="D716" s="6" t="str">
        <f>"孙显旺"</f>
        <v>孙显旺</v>
      </c>
      <c r="E716" s="6" t="str">
        <f>"1994-05-20"</f>
        <v>1994-05-20</v>
      </c>
      <c r="F716" s="6"/>
    </row>
    <row r="717" spans="1:6" ht="30" customHeight="1">
      <c r="A717" s="6">
        <v>715</v>
      </c>
      <c r="B717" s="6" t="str">
        <f>"2728202011221002441020"</f>
        <v>2728202011221002441020</v>
      </c>
      <c r="C717" s="6" t="s">
        <v>7</v>
      </c>
      <c r="D717" s="6" t="str">
        <f>"陈泽"</f>
        <v>陈泽</v>
      </c>
      <c r="E717" s="6" t="str">
        <f>"1996-07-17"</f>
        <v>1996-07-17</v>
      </c>
      <c r="F717" s="6"/>
    </row>
    <row r="718" spans="1:6" ht="30" customHeight="1">
      <c r="A718" s="6">
        <v>716</v>
      </c>
      <c r="B718" s="6" t="str">
        <f>"2728202011221011471023"</f>
        <v>2728202011221011471023</v>
      </c>
      <c r="C718" s="6" t="s">
        <v>7</v>
      </c>
      <c r="D718" s="6" t="str">
        <f>"麦富庆"</f>
        <v>麦富庆</v>
      </c>
      <c r="E718" s="6" t="str">
        <f>"1985-08-15"</f>
        <v>1985-08-15</v>
      </c>
      <c r="F718" s="6"/>
    </row>
    <row r="719" spans="1:6" ht="30" customHeight="1">
      <c r="A719" s="6">
        <v>717</v>
      </c>
      <c r="B719" s="6" t="str">
        <f>"2728202011221017471024"</f>
        <v>2728202011221017471024</v>
      </c>
      <c r="C719" s="6" t="s">
        <v>7</v>
      </c>
      <c r="D719" s="6" t="str">
        <f>"王波"</f>
        <v>王波</v>
      </c>
      <c r="E719" s="6" t="str">
        <f>"1995-09-10"</f>
        <v>1995-09-10</v>
      </c>
      <c r="F719" s="6"/>
    </row>
    <row r="720" spans="1:6" ht="30" customHeight="1">
      <c r="A720" s="6">
        <v>718</v>
      </c>
      <c r="B720" s="6" t="str">
        <f>"2728202011221021591026"</f>
        <v>2728202011221021591026</v>
      </c>
      <c r="C720" s="6" t="s">
        <v>7</v>
      </c>
      <c r="D720" s="6" t="str">
        <f>"黄振威"</f>
        <v>黄振威</v>
      </c>
      <c r="E720" s="6" t="str">
        <f>"1998-08-20"</f>
        <v>1998-08-20</v>
      </c>
      <c r="F720" s="6"/>
    </row>
    <row r="721" spans="1:6" ht="30" customHeight="1">
      <c r="A721" s="6">
        <v>719</v>
      </c>
      <c r="B721" s="6" t="str">
        <f>"2728202011221035261029"</f>
        <v>2728202011221035261029</v>
      </c>
      <c r="C721" s="6" t="s">
        <v>7</v>
      </c>
      <c r="D721" s="6" t="str">
        <f>"徐键"</f>
        <v>徐键</v>
      </c>
      <c r="E721" s="6" t="str">
        <f>"1997-12-26"</f>
        <v>1997-12-26</v>
      </c>
      <c r="F721" s="6"/>
    </row>
    <row r="722" spans="1:6" ht="30" customHeight="1">
      <c r="A722" s="6">
        <v>720</v>
      </c>
      <c r="B722" s="6" t="str">
        <f>"2728202011221036201030"</f>
        <v>2728202011221036201030</v>
      </c>
      <c r="C722" s="6" t="s">
        <v>7</v>
      </c>
      <c r="D722" s="6" t="str">
        <f>"王子弘"</f>
        <v>王子弘</v>
      </c>
      <c r="E722" s="6" t="str">
        <f>"1997-09-20"</f>
        <v>1997-09-20</v>
      </c>
      <c r="F722" s="6"/>
    </row>
    <row r="723" spans="1:6" ht="30" customHeight="1">
      <c r="A723" s="6">
        <v>721</v>
      </c>
      <c r="B723" s="6" t="str">
        <f>"2728202011221039211031"</f>
        <v>2728202011221039211031</v>
      </c>
      <c r="C723" s="6" t="s">
        <v>7</v>
      </c>
      <c r="D723" s="6" t="str">
        <f>"郑艳清"</f>
        <v>郑艳清</v>
      </c>
      <c r="E723" s="6" t="str">
        <f>"1994-02-03"</f>
        <v>1994-02-03</v>
      </c>
      <c r="F723" s="6"/>
    </row>
    <row r="724" spans="1:6" ht="30" customHeight="1">
      <c r="A724" s="6">
        <v>722</v>
      </c>
      <c r="B724" s="6" t="str">
        <f>"2728202011221040041033"</f>
        <v>2728202011221040041033</v>
      </c>
      <c r="C724" s="6" t="s">
        <v>7</v>
      </c>
      <c r="D724" s="6" t="str">
        <f>"王辽"</f>
        <v>王辽</v>
      </c>
      <c r="E724" s="6" t="str">
        <f>"1998-01-20"</f>
        <v>1998-01-20</v>
      </c>
      <c r="F724" s="6"/>
    </row>
    <row r="725" spans="1:6" ht="30" customHeight="1">
      <c r="A725" s="6">
        <v>723</v>
      </c>
      <c r="B725" s="6" t="str">
        <f>"2728202011221041531034"</f>
        <v>2728202011221041531034</v>
      </c>
      <c r="C725" s="6" t="s">
        <v>7</v>
      </c>
      <c r="D725" s="6" t="str">
        <f>"孙家宁"</f>
        <v>孙家宁</v>
      </c>
      <c r="E725" s="6" t="str">
        <f>"1993-03-15"</f>
        <v>1993-03-15</v>
      </c>
      <c r="F725" s="6"/>
    </row>
    <row r="726" spans="1:6" ht="30" customHeight="1">
      <c r="A726" s="6">
        <v>724</v>
      </c>
      <c r="B726" s="6" t="str">
        <f>"2728202011221042531035"</f>
        <v>2728202011221042531035</v>
      </c>
      <c r="C726" s="6" t="s">
        <v>7</v>
      </c>
      <c r="D726" s="6" t="str">
        <f>"许淳冰"</f>
        <v>许淳冰</v>
      </c>
      <c r="E726" s="6" t="str">
        <f>"1995-09-09"</f>
        <v>1995-09-09</v>
      </c>
      <c r="F726" s="6"/>
    </row>
    <row r="727" spans="1:6" ht="30" customHeight="1">
      <c r="A727" s="6">
        <v>725</v>
      </c>
      <c r="B727" s="6" t="str">
        <f>"2728202011221046041036"</f>
        <v>2728202011221046041036</v>
      </c>
      <c r="C727" s="6" t="s">
        <v>7</v>
      </c>
      <c r="D727" s="6" t="str">
        <f>"周淑娴"</f>
        <v>周淑娴</v>
      </c>
      <c r="E727" s="6" t="str">
        <f>"1994-06-08"</f>
        <v>1994-06-08</v>
      </c>
      <c r="F727" s="6"/>
    </row>
    <row r="728" spans="1:6" ht="30" customHeight="1">
      <c r="A728" s="6">
        <v>726</v>
      </c>
      <c r="B728" s="6" t="str">
        <f>"2728202011221046411037"</f>
        <v>2728202011221046411037</v>
      </c>
      <c r="C728" s="6" t="s">
        <v>7</v>
      </c>
      <c r="D728" s="6" t="str">
        <f>"陈培杰"</f>
        <v>陈培杰</v>
      </c>
      <c r="E728" s="6" t="str">
        <f>"1993-12-21"</f>
        <v>1993-12-21</v>
      </c>
      <c r="F728" s="6"/>
    </row>
    <row r="729" spans="1:6" ht="30" customHeight="1">
      <c r="A729" s="6">
        <v>727</v>
      </c>
      <c r="B729" s="6" t="str">
        <f>"2728202011221050071039"</f>
        <v>2728202011221050071039</v>
      </c>
      <c r="C729" s="6" t="s">
        <v>7</v>
      </c>
      <c r="D729" s="6" t="str">
        <f>"郭腾"</f>
        <v>郭腾</v>
      </c>
      <c r="E729" s="6" t="str">
        <f>"1997-09-01"</f>
        <v>1997-09-01</v>
      </c>
      <c r="F729" s="6"/>
    </row>
    <row r="730" spans="1:6" ht="30" customHeight="1">
      <c r="A730" s="6">
        <v>728</v>
      </c>
      <c r="B730" s="6" t="str">
        <f>"2728202011221054111043"</f>
        <v>2728202011221054111043</v>
      </c>
      <c r="C730" s="6" t="s">
        <v>7</v>
      </c>
      <c r="D730" s="6" t="str">
        <f>"黄超颖"</f>
        <v>黄超颖</v>
      </c>
      <c r="E730" s="6" t="str">
        <f>"1996-05-23"</f>
        <v>1996-05-23</v>
      </c>
      <c r="F730" s="6"/>
    </row>
    <row r="731" spans="1:6" ht="30" customHeight="1">
      <c r="A731" s="6">
        <v>729</v>
      </c>
      <c r="B731" s="6" t="str">
        <f>"2728202011221056111044"</f>
        <v>2728202011221056111044</v>
      </c>
      <c r="C731" s="6" t="s">
        <v>7</v>
      </c>
      <c r="D731" s="6" t="str">
        <f>"罗世鸣"</f>
        <v>罗世鸣</v>
      </c>
      <c r="E731" s="6" t="str">
        <f>"1988-04-26"</f>
        <v>1988-04-26</v>
      </c>
      <c r="F731" s="6"/>
    </row>
    <row r="732" spans="1:6" ht="30" customHeight="1">
      <c r="A732" s="6">
        <v>730</v>
      </c>
      <c r="B732" s="6" t="str">
        <f>"2728202011221103341045"</f>
        <v>2728202011221103341045</v>
      </c>
      <c r="C732" s="6" t="s">
        <v>7</v>
      </c>
      <c r="D732" s="6" t="str">
        <f>"胡正汝"</f>
        <v>胡正汝</v>
      </c>
      <c r="E732" s="6" t="str">
        <f>"1996-06-21"</f>
        <v>1996-06-21</v>
      </c>
      <c r="F732" s="6"/>
    </row>
    <row r="733" spans="1:6" ht="30" customHeight="1">
      <c r="A733" s="6">
        <v>731</v>
      </c>
      <c r="B733" s="6" t="str">
        <f>"2728202011221108481046"</f>
        <v>2728202011221108481046</v>
      </c>
      <c r="C733" s="6" t="s">
        <v>7</v>
      </c>
      <c r="D733" s="6" t="str">
        <f>"苏丽霞"</f>
        <v>苏丽霞</v>
      </c>
      <c r="E733" s="6" t="str">
        <f>"1994-10-12"</f>
        <v>1994-10-12</v>
      </c>
      <c r="F733" s="6"/>
    </row>
    <row r="734" spans="1:6" ht="30" customHeight="1">
      <c r="A734" s="6">
        <v>732</v>
      </c>
      <c r="B734" s="6" t="str">
        <f>"2728202011221117241048"</f>
        <v>2728202011221117241048</v>
      </c>
      <c r="C734" s="6" t="s">
        <v>7</v>
      </c>
      <c r="D734" s="6" t="str">
        <f>"谢益斌"</f>
        <v>谢益斌</v>
      </c>
      <c r="E734" s="6" t="str">
        <f>"1993-04-11"</f>
        <v>1993-04-11</v>
      </c>
      <c r="F734" s="6"/>
    </row>
    <row r="735" spans="1:6" ht="30" customHeight="1">
      <c r="A735" s="6">
        <v>733</v>
      </c>
      <c r="B735" s="6" t="str">
        <f>"2728202011221118431049"</f>
        <v>2728202011221118431049</v>
      </c>
      <c r="C735" s="6" t="s">
        <v>7</v>
      </c>
      <c r="D735" s="6" t="str">
        <f>"符春燕"</f>
        <v>符春燕</v>
      </c>
      <c r="E735" s="6" t="str">
        <f>"1992-11-30"</f>
        <v>1992-11-30</v>
      </c>
      <c r="F735" s="6"/>
    </row>
    <row r="736" spans="1:6" ht="30" customHeight="1">
      <c r="A736" s="6">
        <v>734</v>
      </c>
      <c r="B736" s="6" t="str">
        <f>"2728202011221118461050"</f>
        <v>2728202011221118461050</v>
      </c>
      <c r="C736" s="6" t="s">
        <v>7</v>
      </c>
      <c r="D736" s="6" t="str">
        <f>"王海珍"</f>
        <v>王海珍</v>
      </c>
      <c r="E736" s="6" t="str">
        <f>"1995-09-13"</f>
        <v>1995-09-13</v>
      </c>
      <c r="F736" s="6"/>
    </row>
    <row r="737" spans="1:6" ht="30" customHeight="1">
      <c r="A737" s="6">
        <v>735</v>
      </c>
      <c r="B737" s="6" t="str">
        <f>"2728202011221126101051"</f>
        <v>2728202011221126101051</v>
      </c>
      <c r="C737" s="6" t="s">
        <v>7</v>
      </c>
      <c r="D737" s="6" t="str">
        <f>"黄志程"</f>
        <v>黄志程</v>
      </c>
      <c r="E737" s="6" t="str">
        <f>"1994-10-03"</f>
        <v>1994-10-03</v>
      </c>
      <c r="F737" s="6"/>
    </row>
    <row r="738" spans="1:6" ht="30" customHeight="1">
      <c r="A738" s="6">
        <v>736</v>
      </c>
      <c r="B738" s="6" t="str">
        <f>"2728202011221126371052"</f>
        <v>2728202011221126371052</v>
      </c>
      <c r="C738" s="6" t="s">
        <v>7</v>
      </c>
      <c r="D738" s="6" t="str">
        <f>"罗盈盈"</f>
        <v>罗盈盈</v>
      </c>
      <c r="E738" s="6" t="str">
        <f>"1999-09-17"</f>
        <v>1999-09-17</v>
      </c>
      <c r="F738" s="6"/>
    </row>
    <row r="739" spans="1:6" ht="30" customHeight="1">
      <c r="A739" s="6">
        <v>737</v>
      </c>
      <c r="B739" s="6" t="str">
        <f>"2728202011221126471053"</f>
        <v>2728202011221126471053</v>
      </c>
      <c r="C739" s="6" t="s">
        <v>7</v>
      </c>
      <c r="D739" s="6" t="str">
        <f>"吴淑鹏"</f>
        <v>吴淑鹏</v>
      </c>
      <c r="E739" s="6" t="str">
        <f>"1995-09-10"</f>
        <v>1995-09-10</v>
      </c>
      <c r="F739" s="6"/>
    </row>
    <row r="740" spans="1:6" ht="30" customHeight="1">
      <c r="A740" s="6">
        <v>738</v>
      </c>
      <c r="B740" s="6" t="str">
        <f>"2728202011221127031054"</f>
        <v>2728202011221127031054</v>
      </c>
      <c r="C740" s="6" t="s">
        <v>7</v>
      </c>
      <c r="D740" s="6" t="str">
        <f>"万静"</f>
        <v>万静</v>
      </c>
      <c r="E740" s="6" t="str">
        <f>"1995-12-05"</f>
        <v>1995-12-05</v>
      </c>
      <c r="F740" s="6"/>
    </row>
    <row r="741" spans="1:6" ht="30" customHeight="1">
      <c r="A741" s="6">
        <v>739</v>
      </c>
      <c r="B741" s="6" t="str">
        <f>"2728202011221140461059"</f>
        <v>2728202011221140461059</v>
      </c>
      <c r="C741" s="6" t="s">
        <v>7</v>
      </c>
      <c r="D741" s="6" t="str">
        <f>"曹迪"</f>
        <v>曹迪</v>
      </c>
      <c r="E741" s="6" t="str">
        <f>"1987-02-05"</f>
        <v>1987-02-05</v>
      </c>
      <c r="F741" s="6"/>
    </row>
    <row r="742" spans="1:6" ht="30" customHeight="1">
      <c r="A742" s="6">
        <v>740</v>
      </c>
      <c r="B742" s="6" t="str">
        <f>"2728202011221144121060"</f>
        <v>2728202011221144121060</v>
      </c>
      <c r="C742" s="6" t="s">
        <v>7</v>
      </c>
      <c r="D742" s="6" t="str">
        <f>"董德群"</f>
        <v>董德群</v>
      </c>
      <c r="E742" s="6" t="str">
        <f>"1995-10-20"</f>
        <v>1995-10-20</v>
      </c>
      <c r="F742" s="6"/>
    </row>
    <row r="743" spans="1:6" ht="30" customHeight="1">
      <c r="A743" s="6">
        <v>741</v>
      </c>
      <c r="B743" s="6" t="str">
        <f>"2728202011221145331061"</f>
        <v>2728202011221145331061</v>
      </c>
      <c r="C743" s="6" t="s">
        <v>7</v>
      </c>
      <c r="D743" s="6" t="str">
        <f>"王子樱"</f>
        <v>王子樱</v>
      </c>
      <c r="E743" s="6" t="str">
        <f>"1995-12-11"</f>
        <v>1995-12-11</v>
      </c>
      <c r="F743" s="6"/>
    </row>
    <row r="744" spans="1:6" ht="30" customHeight="1">
      <c r="A744" s="6">
        <v>742</v>
      </c>
      <c r="B744" s="6" t="str">
        <f>"2728202011221146001062"</f>
        <v>2728202011221146001062</v>
      </c>
      <c r="C744" s="6" t="s">
        <v>7</v>
      </c>
      <c r="D744" s="6" t="str">
        <f>"苻兴城"</f>
        <v>苻兴城</v>
      </c>
      <c r="E744" s="6" t="str">
        <f>"1996-12-04"</f>
        <v>1996-12-04</v>
      </c>
      <c r="F744" s="6"/>
    </row>
    <row r="745" spans="1:6" ht="30" customHeight="1">
      <c r="A745" s="6">
        <v>743</v>
      </c>
      <c r="B745" s="6" t="str">
        <f>"2728202011221154021063"</f>
        <v>2728202011221154021063</v>
      </c>
      <c r="C745" s="6" t="s">
        <v>7</v>
      </c>
      <c r="D745" s="6" t="str">
        <f>"胥林帅"</f>
        <v>胥林帅</v>
      </c>
      <c r="E745" s="6" t="str">
        <f>"1998-10-17"</f>
        <v>1998-10-17</v>
      </c>
      <c r="F745" s="6"/>
    </row>
    <row r="746" spans="1:6" ht="30" customHeight="1">
      <c r="A746" s="6">
        <v>744</v>
      </c>
      <c r="B746" s="6" t="str">
        <f>"2728202011221201151065"</f>
        <v>2728202011221201151065</v>
      </c>
      <c r="C746" s="6" t="s">
        <v>7</v>
      </c>
      <c r="D746" s="6" t="str">
        <f>"高权"</f>
        <v>高权</v>
      </c>
      <c r="E746" s="6" t="str">
        <f>"1991-08-06"</f>
        <v>1991-08-06</v>
      </c>
      <c r="F746" s="6"/>
    </row>
    <row r="747" spans="1:6" ht="30" customHeight="1">
      <c r="A747" s="6">
        <v>745</v>
      </c>
      <c r="B747" s="6" t="str">
        <f>"2728202011221202541066"</f>
        <v>2728202011221202541066</v>
      </c>
      <c r="C747" s="6" t="s">
        <v>7</v>
      </c>
      <c r="D747" s="6" t="str">
        <f>"刘晓宁"</f>
        <v>刘晓宁</v>
      </c>
      <c r="E747" s="6" t="str">
        <f>"1992-01-24"</f>
        <v>1992-01-24</v>
      </c>
      <c r="F747" s="6"/>
    </row>
    <row r="748" spans="1:6" ht="30" customHeight="1">
      <c r="A748" s="6">
        <v>746</v>
      </c>
      <c r="B748" s="6" t="str">
        <f>"2728202011221214131068"</f>
        <v>2728202011221214131068</v>
      </c>
      <c r="C748" s="6" t="s">
        <v>7</v>
      </c>
      <c r="D748" s="6" t="str">
        <f>"李宏龙"</f>
        <v>李宏龙</v>
      </c>
      <c r="E748" s="6" t="str">
        <f>"1995-11-04"</f>
        <v>1995-11-04</v>
      </c>
      <c r="F748" s="6"/>
    </row>
    <row r="749" spans="1:6" ht="30" customHeight="1">
      <c r="A749" s="6">
        <v>747</v>
      </c>
      <c r="B749" s="6" t="str">
        <f>"2728202011221219121069"</f>
        <v>2728202011221219121069</v>
      </c>
      <c r="C749" s="6" t="s">
        <v>7</v>
      </c>
      <c r="D749" s="6" t="str">
        <f>"廖顺淇"</f>
        <v>廖顺淇</v>
      </c>
      <c r="E749" s="6" t="str">
        <f>"1998-09-27"</f>
        <v>1998-09-27</v>
      </c>
      <c r="F749" s="6"/>
    </row>
    <row r="750" spans="1:6" ht="30" customHeight="1">
      <c r="A750" s="6">
        <v>748</v>
      </c>
      <c r="B750" s="6" t="str">
        <f>"2728202011221221051071"</f>
        <v>2728202011221221051071</v>
      </c>
      <c r="C750" s="6" t="s">
        <v>7</v>
      </c>
      <c r="D750" s="6" t="str">
        <f>"许冬菁"</f>
        <v>许冬菁</v>
      </c>
      <c r="E750" s="6" t="str">
        <f>"1994-12-28"</f>
        <v>1994-12-28</v>
      </c>
      <c r="F750" s="6"/>
    </row>
    <row r="751" spans="1:6" ht="30" customHeight="1">
      <c r="A751" s="6">
        <v>749</v>
      </c>
      <c r="B751" s="6" t="str">
        <f>"2728202011221243381075"</f>
        <v>2728202011221243381075</v>
      </c>
      <c r="C751" s="6" t="s">
        <v>7</v>
      </c>
      <c r="D751" s="6" t="str">
        <f>"陈燕"</f>
        <v>陈燕</v>
      </c>
      <c r="E751" s="6" t="str">
        <f>"1991-12-30"</f>
        <v>1991-12-30</v>
      </c>
      <c r="F751" s="6"/>
    </row>
    <row r="752" spans="1:6" ht="30" customHeight="1">
      <c r="A752" s="6">
        <v>750</v>
      </c>
      <c r="B752" s="6" t="str">
        <f>"2728202011221248341076"</f>
        <v>2728202011221248341076</v>
      </c>
      <c r="C752" s="6" t="s">
        <v>7</v>
      </c>
      <c r="D752" s="6" t="str">
        <f>"卢伟"</f>
        <v>卢伟</v>
      </c>
      <c r="E752" s="6" t="str">
        <f>"1998-09-21"</f>
        <v>1998-09-21</v>
      </c>
      <c r="F752" s="6"/>
    </row>
    <row r="753" spans="1:6" ht="30" customHeight="1">
      <c r="A753" s="6">
        <v>751</v>
      </c>
      <c r="B753" s="6" t="str">
        <f>"2728202011221251411078"</f>
        <v>2728202011221251411078</v>
      </c>
      <c r="C753" s="6" t="s">
        <v>7</v>
      </c>
      <c r="D753" s="6" t="str">
        <f>"唐丽平"</f>
        <v>唐丽平</v>
      </c>
      <c r="E753" s="6" t="str">
        <f>"1991-10-22"</f>
        <v>1991-10-22</v>
      </c>
      <c r="F753" s="6"/>
    </row>
    <row r="754" spans="1:6" ht="30" customHeight="1">
      <c r="A754" s="6">
        <v>752</v>
      </c>
      <c r="B754" s="6" t="str">
        <f>"2728202011221252371079"</f>
        <v>2728202011221252371079</v>
      </c>
      <c r="C754" s="6" t="s">
        <v>7</v>
      </c>
      <c r="D754" s="6" t="str">
        <f>"赵雪妃"</f>
        <v>赵雪妃</v>
      </c>
      <c r="E754" s="6" t="str">
        <f>"1999-01-25"</f>
        <v>1999-01-25</v>
      </c>
      <c r="F754" s="6"/>
    </row>
    <row r="755" spans="1:6" ht="30" customHeight="1">
      <c r="A755" s="6">
        <v>753</v>
      </c>
      <c r="B755" s="6" t="str">
        <f>"2728202011221259281080"</f>
        <v>2728202011221259281080</v>
      </c>
      <c r="C755" s="6" t="s">
        <v>7</v>
      </c>
      <c r="D755" s="6" t="str">
        <f>"符正一"</f>
        <v>符正一</v>
      </c>
      <c r="E755" s="6" t="str">
        <f>"1995-08-08"</f>
        <v>1995-08-08</v>
      </c>
      <c r="F755" s="6"/>
    </row>
    <row r="756" spans="1:6" ht="30" customHeight="1">
      <c r="A756" s="6">
        <v>754</v>
      </c>
      <c r="B756" s="6" t="str">
        <f>"2728202011221302181081"</f>
        <v>2728202011221302181081</v>
      </c>
      <c r="C756" s="6" t="s">
        <v>7</v>
      </c>
      <c r="D756" s="6" t="str">
        <f>"陈秀莲"</f>
        <v>陈秀莲</v>
      </c>
      <c r="E756" s="6" t="str">
        <f>"1996-07-02"</f>
        <v>1996-07-02</v>
      </c>
      <c r="F756" s="6"/>
    </row>
    <row r="757" spans="1:6" ht="30" customHeight="1">
      <c r="A757" s="6">
        <v>755</v>
      </c>
      <c r="B757" s="6" t="str">
        <f>"2728202011221303031082"</f>
        <v>2728202011221303031082</v>
      </c>
      <c r="C757" s="6" t="s">
        <v>7</v>
      </c>
      <c r="D757" s="6" t="str">
        <f>"黎冠良"</f>
        <v>黎冠良</v>
      </c>
      <c r="E757" s="6" t="str">
        <f>"1995-05-25"</f>
        <v>1995-05-25</v>
      </c>
      <c r="F757" s="6"/>
    </row>
    <row r="758" spans="1:6" ht="30" customHeight="1">
      <c r="A758" s="6">
        <v>756</v>
      </c>
      <c r="B758" s="6" t="str">
        <f>"2728202011221308251086"</f>
        <v>2728202011221308251086</v>
      </c>
      <c r="C758" s="6" t="s">
        <v>7</v>
      </c>
      <c r="D758" s="6" t="str">
        <f>"陈增燕"</f>
        <v>陈增燕</v>
      </c>
      <c r="E758" s="6" t="str">
        <f>"1997-05-27"</f>
        <v>1997-05-27</v>
      </c>
      <c r="F758" s="6"/>
    </row>
    <row r="759" spans="1:6" ht="30" customHeight="1">
      <c r="A759" s="6">
        <v>757</v>
      </c>
      <c r="B759" s="6" t="str">
        <f>"2728202011221309461087"</f>
        <v>2728202011221309461087</v>
      </c>
      <c r="C759" s="6" t="s">
        <v>7</v>
      </c>
      <c r="D759" s="6" t="str">
        <f>"陈苗"</f>
        <v>陈苗</v>
      </c>
      <c r="E759" s="6" t="str">
        <f>"1989-03-19"</f>
        <v>1989-03-19</v>
      </c>
      <c r="F759" s="6"/>
    </row>
    <row r="760" spans="1:6" ht="30" customHeight="1">
      <c r="A760" s="6">
        <v>758</v>
      </c>
      <c r="B760" s="6" t="str">
        <f>"2728202011221311511088"</f>
        <v>2728202011221311511088</v>
      </c>
      <c r="C760" s="6" t="s">
        <v>7</v>
      </c>
      <c r="D760" s="6" t="str">
        <f>"易玲"</f>
        <v>易玲</v>
      </c>
      <c r="E760" s="6" t="str">
        <f>"1995-10-03"</f>
        <v>1995-10-03</v>
      </c>
      <c r="F760" s="6"/>
    </row>
    <row r="761" spans="1:6" ht="30" customHeight="1">
      <c r="A761" s="6">
        <v>759</v>
      </c>
      <c r="B761" s="6" t="str">
        <f>"2728202011221329161092"</f>
        <v>2728202011221329161092</v>
      </c>
      <c r="C761" s="6" t="s">
        <v>7</v>
      </c>
      <c r="D761" s="6" t="str">
        <f>"吴武乾"</f>
        <v>吴武乾</v>
      </c>
      <c r="E761" s="6" t="str">
        <f>"1996-09-23"</f>
        <v>1996-09-23</v>
      </c>
      <c r="F761" s="6"/>
    </row>
    <row r="762" spans="1:6" ht="30" customHeight="1">
      <c r="A762" s="6">
        <v>760</v>
      </c>
      <c r="B762" s="6" t="str">
        <f>"2728202011221329481093"</f>
        <v>2728202011221329481093</v>
      </c>
      <c r="C762" s="6" t="s">
        <v>7</v>
      </c>
      <c r="D762" s="6" t="str">
        <f>"韦艳娜"</f>
        <v>韦艳娜</v>
      </c>
      <c r="E762" s="6" t="str">
        <f>"1996-07-02"</f>
        <v>1996-07-02</v>
      </c>
      <c r="F762" s="6"/>
    </row>
    <row r="763" spans="1:6" ht="30" customHeight="1">
      <c r="A763" s="6">
        <v>761</v>
      </c>
      <c r="B763" s="6" t="str">
        <f>"2728202011221331061094"</f>
        <v>2728202011221331061094</v>
      </c>
      <c r="C763" s="6" t="s">
        <v>7</v>
      </c>
      <c r="D763" s="6" t="str">
        <f>"谭永超"</f>
        <v>谭永超</v>
      </c>
      <c r="E763" s="6" t="str">
        <f>"1994-09-15"</f>
        <v>1994-09-15</v>
      </c>
      <c r="F763" s="6"/>
    </row>
    <row r="764" spans="1:6" ht="30" customHeight="1">
      <c r="A764" s="6">
        <v>762</v>
      </c>
      <c r="B764" s="6" t="str">
        <f>"2728202011221333501095"</f>
        <v>2728202011221333501095</v>
      </c>
      <c r="C764" s="6" t="s">
        <v>7</v>
      </c>
      <c r="D764" s="6" t="str">
        <f>"杜泽秀"</f>
        <v>杜泽秀</v>
      </c>
      <c r="E764" s="6" t="str">
        <f>"1991-06-02"</f>
        <v>1991-06-02</v>
      </c>
      <c r="F764" s="6"/>
    </row>
    <row r="765" spans="1:6" ht="30" customHeight="1">
      <c r="A765" s="6">
        <v>763</v>
      </c>
      <c r="B765" s="6" t="str">
        <f>"2728202011221341391096"</f>
        <v>2728202011221341391096</v>
      </c>
      <c r="C765" s="6" t="s">
        <v>7</v>
      </c>
      <c r="D765" s="6" t="str">
        <f>"黄宗健"</f>
        <v>黄宗健</v>
      </c>
      <c r="E765" s="6" t="str">
        <f>"1998-12-10"</f>
        <v>1998-12-10</v>
      </c>
      <c r="F765" s="6"/>
    </row>
    <row r="766" spans="1:6" ht="30" customHeight="1">
      <c r="A766" s="6">
        <v>764</v>
      </c>
      <c r="B766" s="6" t="str">
        <f>"2728202011221351001099"</f>
        <v>2728202011221351001099</v>
      </c>
      <c r="C766" s="6" t="s">
        <v>7</v>
      </c>
      <c r="D766" s="6" t="str">
        <f>"吴名聪"</f>
        <v>吴名聪</v>
      </c>
      <c r="E766" s="6" t="str">
        <f>"1994-05-06"</f>
        <v>1994-05-06</v>
      </c>
      <c r="F766" s="6"/>
    </row>
    <row r="767" spans="1:6" ht="30" customHeight="1">
      <c r="A767" s="6">
        <v>765</v>
      </c>
      <c r="B767" s="6" t="str">
        <f>"2728202011221352431100"</f>
        <v>2728202011221352431100</v>
      </c>
      <c r="C767" s="6" t="s">
        <v>7</v>
      </c>
      <c r="D767" s="6" t="str">
        <f>"徐清杨"</f>
        <v>徐清杨</v>
      </c>
      <c r="E767" s="6" t="str">
        <f>"1994-02-17"</f>
        <v>1994-02-17</v>
      </c>
      <c r="F767" s="6"/>
    </row>
    <row r="768" spans="1:6" ht="30" customHeight="1">
      <c r="A768" s="6">
        <v>766</v>
      </c>
      <c r="B768" s="6" t="str">
        <f>"2728202011221355241101"</f>
        <v>2728202011221355241101</v>
      </c>
      <c r="C768" s="6" t="s">
        <v>7</v>
      </c>
      <c r="D768" s="6" t="str">
        <f>"许兰丽"</f>
        <v>许兰丽</v>
      </c>
      <c r="E768" s="6" t="str">
        <f>"1987-04-05"</f>
        <v>1987-04-05</v>
      </c>
      <c r="F768" s="6"/>
    </row>
    <row r="769" spans="1:6" ht="30" customHeight="1">
      <c r="A769" s="6">
        <v>767</v>
      </c>
      <c r="B769" s="6" t="str">
        <f>"2728202011221404101102"</f>
        <v>2728202011221404101102</v>
      </c>
      <c r="C769" s="6" t="s">
        <v>7</v>
      </c>
      <c r="D769" s="6" t="str">
        <f>"尹晓玉"</f>
        <v>尹晓玉</v>
      </c>
      <c r="E769" s="6" t="str">
        <f>"1998-11-02"</f>
        <v>1998-11-02</v>
      </c>
      <c r="F769" s="6"/>
    </row>
    <row r="770" spans="1:6" ht="30" customHeight="1">
      <c r="A770" s="6">
        <v>768</v>
      </c>
      <c r="B770" s="6" t="str">
        <f>"2728202011221418591104"</f>
        <v>2728202011221418591104</v>
      </c>
      <c r="C770" s="6" t="s">
        <v>7</v>
      </c>
      <c r="D770" s="6" t="str">
        <f>"李海云"</f>
        <v>李海云</v>
      </c>
      <c r="E770" s="6" t="str">
        <f>"1995-11-22"</f>
        <v>1995-11-22</v>
      </c>
      <c r="F770" s="6"/>
    </row>
    <row r="771" spans="1:6" ht="30" customHeight="1">
      <c r="A771" s="6">
        <v>769</v>
      </c>
      <c r="B771" s="6" t="str">
        <f>"2728202011221422361105"</f>
        <v>2728202011221422361105</v>
      </c>
      <c r="C771" s="6" t="s">
        <v>7</v>
      </c>
      <c r="D771" s="6" t="str">
        <f>"廖小咪"</f>
        <v>廖小咪</v>
      </c>
      <c r="E771" s="6" t="str">
        <f>"1996-09-19"</f>
        <v>1996-09-19</v>
      </c>
      <c r="F771" s="6"/>
    </row>
    <row r="772" spans="1:6" ht="30" customHeight="1">
      <c r="A772" s="6">
        <v>770</v>
      </c>
      <c r="B772" s="6" t="str">
        <f>"2728202011221432071106"</f>
        <v>2728202011221432071106</v>
      </c>
      <c r="C772" s="6" t="s">
        <v>7</v>
      </c>
      <c r="D772" s="6" t="str">
        <f>"秦启超"</f>
        <v>秦启超</v>
      </c>
      <c r="E772" s="6" t="str">
        <f>"1993-10-26"</f>
        <v>1993-10-26</v>
      </c>
      <c r="F772" s="6"/>
    </row>
    <row r="773" spans="1:6" ht="30" customHeight="1">
      <c r="A773" s="6">
        <v>771</v>
      </c>
      <c r="B773" s="6" t="str">
        <f>"2728202011221444531107"</f>
        <v>2728202011221444531107</v>
      </c>
      <c r="C773" s="6" t="s">
        <v>7</v>
      </c>
      <c r="D773" s="6" t="str">
        <f>"许兰姿"</f>
        <v>许兰姿</v>
      </c>
      <c r="E773" s="6" t="str">
        <f>"1990-05-08"</f>
        <v>1990-05-08</v>
      </c>
      <c r="F773" s="6"/>
    </row>
    <row r="774" spans="1:6" ht="30" customHeight="1">
      <c r="A774" s="6">
        <v>772</v>
      </c>
      <c r="B774" s="6" t="str">
        <f>"2728202011221445271108"</f>
        <v>2728202011221445271108</v>
      </c>
      <c r="C774" s="6" t="s">
        <v>7</v>
      </c>
      <c r="D774" s="6" t="str">
        <f>"龚铭栋"</f>
        <v>龚铭栋</v>
      </c>
      <c r="E774" s="6" t="str">
        <f>"1996-10-14"</f>
        <v>1996-10-14</v>
      </c>
      <c r="F774" s="6"/>
    </row>
    <row r="775" spans="1:6" ht="30" customHeight="1">
      <c r="A775" s="6">
        <v>773</v>
      </c>
      <c r="B775" s="6" t="str">
        <f>"2728202011221446401109"</f>
        <v>2728202011221446401109</v>
      </c>
      <c r="C775" s="6" t="s">
        <v>7</v>
      </c>
      <c r="D775" s="6" t="str">
        <f>"胡小曼"</f>
        <v>胡小曼</v>
      </c>
      <c r="E775" s="6" t="str">
        <f>"1998-08-06"</f>
        <v>1998-08-06</v>
      </c>
      <c r="F775" s="6"/>
    </row>
    <row r="776" spans="1:6" ht="30" customHeight="1">
      <c r="A776" s="6">
        <v>774</v>
      </c>
      <c r="B776" s="6" t="str">
        <f>"2728202011221508131112"</f>
        <v>2728202011221508131112</v>
      </c>
      <c r="C776" s="6" t="s">
        <v>7</v>
      </c>
      <c r="D776" s="6" t="str">
        <f>"汤琦"</f>
        <v>汤琦</v>
      </c>
      <c r="E776" s="6" t="str">
        <f>"1993-09-25"</f>
        <v>1993-09-25</v>
      </c>
      <c r="F776" s="6"/>
    </row>
    <row r="777" spans="1:6" ht="30" customHeight="1">
      <c r="A777" s="6">
        <v>775</v>
      </c>
      <c r="B777" s="6" t="str">
        <f>"2728202011221519291113"</f>
        <v>2728202011221519291113</v>
      </c>
      <c r="C777" s="6" t="s">
        <v>7</v>
      </c>
      <c r="D777" s="6" t="str">
        <f>"李道年"</f>
        <v>李道年</v>
      </c>
      <c r="E777" s="6" t="str">
        <f>"1996-10-17"</f>
        <v>1996-10-17</v>
      </c>
      <c r="F777" s="6"/>
    </row>
    <row r="778" spans="1:6" ht="30" customHeight="1">
      <c r="A778" s="6">
        <v>776</v>
      </c>
      <c r="B778" s="6" t="str">
        <f>"2728202011221522141115"</f>
        <v>2728202011221522141115</v>
      </c>
      <c r="C778" s="6" t="s">
        <v>7</v>
      </c>
      <c r="D778" s="6" t="str">
        <f>"陈露"</f>
        <v>陈露</v>
      </c>
      <c r="E778" s="6" t="str">
        <f>"1996-10-28"</f>
        <v>1996-10-28</v>
      </c>
      <c r="F778" s="6"/>
    </row>
    <row r="779" spans="1:6" ht="30" customHeight="1">
      <c r="A779" s="6">
        <v>777</v>
      </c>
      <c r="B779" s="6" t="str">
        <f>"2728202011221523261117"</f>
        <v>2728202011221523261117</v>
      </c>
      <c r="C779" s="6" t="s">
        <v>7</v>
      </c>
      <c r="D779" s="6" t="str">
        <f>"陈纯"</f>
        <v>陈纯</v>
      </c>
      <c r="E779" s="6" t="str">
        <f>"1996-10-17"</f>
        <v>1996-10-17</v>
      </c>
      <c r="F779" s="6"/>
    </row>
    <row r="780" spans="1:6" ht="30" customHeight="1">
      <c r="A780" s="6">
        <v>778</v>
      </c>
      <c r="B780" s="6" t="str">
        <f>"2728202011221527151118"</f>
        <v>2728202011221527151118</v>
      </c>
      <c r="C780" s="6" t="s">
        <v>7</v>
      </c>
      <c r="D780" s="6" t="str">
        <f>"林冰心"</f>
        <v>林冰心</v>
      </c>
      <c r="E780" s="6" t="str">
        <f>"1990-02-07"</f>
        <v>1990-02-07</v>
      </c>
      <c r="F780" s="6"/>
    </row>
    <row r="781" spans="1:6" ht="30" customHeight="1">
      <c r="A781" s="6">
        <v>779</v>
      </c>
      <c r="B781" s="6" t="str">
        <f>"2728202011221534451119"</f>
        <v>2728202011221534451119</v>
      </c>
      <c r="C781" s="6" t="s">
        <v>7</v>
      </c>
      <c r="D781" s="6" t="str">
        <f>"李肖汶"</f>
        <v>李肖汶</v>
      </c>
      <c r="E781" s="6" t="str">
        <f>"1994-12-26"</f>
        <v>1994-12-26</v>
      </c>
      <c r="F781" s="6"/>
    </row>
    <row r="782" spans="1:6" ht="30" customHeight="1">
      <c r="A782" s="6">
        <v>780</v>
      </c>
      <c r="B782" s="6" t="str">
        <f>"2728202011221537161121"</f>
        <v>2728202011221537161121</v>
      </c>
      <c r="C782" s="6" t="s">
        <v>7</v>
      </c>
      <c r="D782" s="6" t="str">
        <f>"符秋爱"</f>
        <v>符秋爱</v>
      </c>
      <c r="E782" s="6" t="str">
        <f>"1995-04-05"</f>
        <v>1995-04-05</v>
      </c>
      <c r="F782" s="6"/>
    </row>
    <row r="783" spans="1:6" ht="30" customHeight="1">
      <c r="A783" s="6">
        <v>781</v>
      </c>
      <c r="B783" s="6" t="str">
        <f>"2728202011221554271124"</f>
        <v>2728202011221554271124</v>
      </c>
      <c r="C783" s="6" t="s">
        <v>7</v>
      </c>
      <c r="D783" s="6" t="str">
        <f>"郭玉妹"</f>
        <v>郭玉妹</v>
      </c>
      <c r="E783" s="6" t="str">
        <f>"1992-11-03"</f>
        <v>1992-11-03</v>
      </c>
      <c r="F783" s="6"/>
    </row>
    <row r="784" spans="1:6" ht="30" customHeight="1">
      <c r="A784" s="6">
        <v>782</v>
      </c>
      <c r="B784" s="6" t="str">
        <f>"2728202011221558031127"</f>
        <v>2728202011221558031127</v>
      </c>
      <c r="C784" s="6" t="s">
        <v>7</v>
      </c>
      <c r="D784" s="6" t="str">
        <f>"陈承琳"</f>
        <v>陈承琳</v>
      </c>
      <c r="E784" s="6" t="str">
        <f>"1989-09-14"</f>
        <v>1989-09-14</v>
      </c>
      <c r="F784" s="6"/>
    </row>
    <row r="785" spans="1:6" ht="30" customHeight="1">
      <c r="A785" s="6">
        <v>783</v>
      </c>
      <c r="B785" s="6" t="str">
        <f>"2728202011221602001129"</f>
        <v>2728202011221602001129</v>
      </c>
      <c r="C785" s="6" t="s">
        <v>7</v>
      </c>
      <c r="D785" s="6" t="str">
        <f>"王青果"</f>
        <v>王青果</v>
      </c>
      <c r="E785" s="6" t="str">
        <f>"1996-06-09"</f>
        <v>1996-06-09</v>
      </c>
      <c r="F785" s="6"/>
    </row>
    <row r="786" spans="1:6" ht="30" customHeight="1">
      <c r="A786" s="6">
        <v>784</v>
      </c>
      <c r="B786" s="6" t="str">
        <f>"2728202011221617021131"</f>
        <v>2728202011221617021131</v>
      </c>
      <c r="C786" s="6" t="s">
        <v>7</v>
      </c>
      <c r="D786" s="6" t="str">
        <f>"符冬群"</f>
        <v>符冬群</v>
      </c>
      <c r="E786" s="6" t="str">
        <f>"1999-07-10"</f>
        <v>1999-07-10</v>
      </c>
      <c r="F786" s="6"/>
    </row>
    <row r="787" spans="1:6" ht="30" customHeight="1">
      <c r="A787" s="6">
        <v>785</v>
      </c>
      <c r="B787" s="6" t="str">
        <f>"2728202011221619071133"</f>
        <v>2728202011221619071133</v>
      </c>
      <c r="C787" s="6" t="s">
        <v>7</v>
      </c>
      <c r="D787" s="6" t="str">
        <f>"许心慧"</f>
        <v>许心慧</v>
      </c>
      <c r="E787" s="6" t="str">
        <f>"1996-02-25"</f>
        <v>1996-02-25</v>
      </c>
      <c r="F787" s="6"/>
    </row>
    <row r="788" spans="1:6" ht="30" customHeight="1">
      <c r="A788" s="6">
        <v>786</v>
      </c>
      <c r="B788" s="6" t="str">
        <f>"2728202011221652101134"</f>
        <v>2728202011221652101134</v>
      </c>
      <c r="C788" s="6" t="s">
        <v>7</v>
      </c>
      <c r="D788" s="6" t="str">
        <f>"罗广萍"</f>
        <v>罗广萍</v>
      </c>
      <c r="E788" s="6" t="str">
        <f>"1995-09-05"</f>
        <v>1995-09-05</v>
      </c>
      <c r="F788" s="6"/>
    </row>
    <row r="789" spans="1:6" ht="30" customHeight="1">
      <c r="A789" s="6">
        <v>787</v>
      </c>
      <c r="B789" s="6" t="str">
        <f>"2728202011221657211135"</f>
        <v>2728202011221657211135</v>
      </c>
      <c r="C789" s="6" t="s">
        <v>7</v>
      </c>
      <c r="D789" s="6" t="str">
        <f>"曾正发"</f>
        <v>曾正发</v>
      </c>
      <c r="E789" s="6" t="str">
        <f>"1991-10-04"</f>
        <v>1991-10-04</v>
      </c>
      <c r="F789" s="6"/>
    </row>
    <row r="790" spans="1:6" ht="30" customHeight="1">
      <c r="A790" s="6">
        <v>788</v>
      </c>
      <c r="B790" s="6" t="str">
        <f>"2728202011221706191137"</f>
        <v>2728202011221706191137</v>
      </c>
      <c r="C790" s="6" t="s">
        <v>7</v>
      </c>
      <c r="D790" s="6" t="str">
        <f>"陈雪婷"</f>
        <v>陈雪婷</v>
      </c>
      <c r="E790" s="6" t="str">
        <f>"1989-12-12"</f>
        <v>1989-12-12</v>
      </c>
      <c r="F790" s="6"/>
    </row>
    <row r="791" spans="1:6" ht="30" customHeight="1">
      <c r="A791" s="6">
        <v>789</v>
      </c>
      <c r="B791" s="6" t="str">
        <f>"2728202011221708031138"</f>
        <v>2728202011221708031138</v>
      </c>
      <c r="C791" s="6" t="s">
        <v>7</v>
      </c>
      <c r="D791" s="6" t="str">
        <f>"陈献泽"</f>
        <v>陈献泽</v>
      </c>
      <c r="E791" s="6" t="str">
        <f>"1997-03-28"</f>
        <v>1997-03-28</v>
      </c>
      <c r="F791" s="6"/>
    </row>
    <row r="792" spans="1:6" ht="30" customHeight="1">
      <c r="A792" s="6">
        <v>790</v>
      </c>
      <c r="B792" s="6" t="str">
        <f>"2728202011221711031140"</f>
        <v>2728202011221711031140</v>
      </c>
      <c r="C792" s="6" t="s">
        <v>7</v>
      </c>
      <c r="D792" s="6" t="str">
        <f>"林春茂"</f>
        <v>林春茂</v>
      </c>
      <c r="E792" s="6" t="str">
        <f>"1998-08-03"</f>
        <v>1998-08-03</v>
      </c>
      <c r="F792" s="6"/>
    </row>
    <row r="793" spans="1:6" ht="30" customHeight="1">
      <c r="A793" s="6">
        <v>791</v>
      </c>
      <c r="B793" s="6" t="str">
        <f>"2728202011221713121141"</f>
        <v>2728202011221713121141</v>
      </c>
      <c r="C793" s="6" t="s">
        <v>7</v>
      </c>
      <c r="D793" s="6" t="str">
        <f>"钟怡"</f>
        <v>钟怡</v>
      </c>
      <c r="E793" s="6" t="str">
        <f>"1995-01-19"</f>
        <v>1995-01-19</v>
      </c>
      <c r="F793" s="6"/>
    </row>
    <row r="794" spans="1:6" ht="30" customHeight="1">
      <c r="A794" s="6">
        <v>792</v>
      </c>
      <c r="B794" s="6" t="str">
        <f>"2728202011221717181142"</f>
        <v>2728202011221717181142</v>
      </c>
      <c r="C794" s="6" t="s">
        <v>7</v>
      </c>
      <c r="D794" s="6" t="str">
        <f>"符壮月"</f>
        <v>符壮月</v>
      </c>
      <c r="E794" s="6" t="str">
        <f>"1995-09-09"</f>
        <v>1995-09-09</v>
      </c>
      <c r="F794" s="6"/>
    </row>
    <row r="795" spans="1:6" ht="30" customHeight="1">
      <c r="A795" s="6">
        <v>793</v>
      </c>
      <c r="B795" s="6" t="str">
        <f>"2728202011221723201144"</f>
        <v>2728202011221723201144</v>
      </c>
      <c r="C795" s="6" t="s">
        <v>7</v>
      </c>
      <c r="D795" s="6" t="str">
        <f>"黎梦颖"</f>
        <v>黎梦颖</v>
      </c>
      <c r="E795" s="6" t="str">
        <f>"1996-06-14"</f>
        <v>1996-06-14</v>
      </c>
      <c r="F795" s="6"/>
    </row>
    <row r="796" spans="1:6" ht="30" customHeight="1">
      <c r="A796" s="6">
        <v>794</v>
      </c>
      <c r="B796" s="6" t="str">
        <f>"2728202011221733551146"</f>
        <v>2728202011221733551146</v>
      </c>
      <c r="C796" s="6" t="s">
        <v>7</v>
      </c>
      <c r="D796" s="6" t="str">
        <f>"陈盛区"</f>
        <v>陈盛区</v>
      </c>
      <c r="E796" s="6" t="str">
        <f>"1986-02"</f>
        <v>1986-02</v>
      </c>
      <c r="F796" s="6"/>
    </row>
    <row r="797" spans="1:6" ht="30" customHeight="1">
      <c r="A797" s="6">
        <v>795</v>
      </c>
      <c r="B797" s="6" t="str">
        <f>"2728202011221737461147"</f>
        <v>2728202011221737461147</v>
      </c>
      <c r="C797" s="6" t="s">
        <v>7</v>
      </c>
      <c r="D797" s="6" t="str">
        <f>"麦银慧"</f>
        <v>麦银慧</v>
      </c>
      <c r="E797" s="6" t="str">
        <f>"1997-12-20"</f>
        <v>1997-12-20</v>
      </c>
      <c r="F797" s="6"/>
    </row>
    <row r="798" spans="1:6" ht="30" customHeight="1">
      <c r="A798" s="6">
        <v>796</v>
      </c>
      <c r="B798" s="6" t="str">
        <f>"2728202011221739201148"</f>
        <v>2728202011221739201148</v>
      </c>
      <c r="C798" s="6" t="s">
        <v>7</v>
      </c>
      <c r="D798" s="6" t="str">
        <f>"孙涛"</f>
        <v>孙涛</v>
      </c>
      <c r="E798" s="6" t="str">
        <f>"1992-03-05"</f>
        <v>1992-03-05</v>
      </c>
      <c r="F798" s="6"/>
    </row>
    <row r="799" spans="1:6" ht="30" customHeight="1">
      <c r="A799" s="6">
        <v>797</v>
      </c>
      <c r="B799" s="6" t="str">
        <f>"2728202011221745071149"</f>
        <v>2728202011221745071149</v>
      </c>
      <c r="C799" s="6" t="s">
        <v>7</v>
      </c>
      <c r="D799" s="6" t="str">
        <f>"吴晓莹"</f>
        <v>吴晓莹</v>
      </c>
      <c r="E799" s="6" t="str">
        <f>"1997-06-24"</f>
        <v>1997-06-24</v>
      </c>
      <c r="F799" s="6"/>
    </row>
    <row r="800" spans="1:6" ht="30" customHeight="1">
      <c r="A800" s="6">
        <v>798</v>
      </c>
      <c r="B800" s="6" t="str">
        <f>"2728202011221747101150"</f>
        <v>2728202011221747101150</v>
      </c>
      <c r="C800" s="6" t="s">
        <v>7</v>
      </c>
      <c r="D800" s="6" t="str">
        <f>"张世鑫"</f>
        <v>张世鑫</v>
      </c>
      <c r="E800" s="6" t="str">
        <f>"1996-04-07"</f>
        <v>1996-04-07</v>
      </c>
      <c r="F800" s="6"/>
    </row>
    <row r="801" spans="1:6" ht="30" customHeight="1">
      <c r="A801" s="6">
        <v>799</v>
      </c>
      <c r="B801" s="6" t="str">
        <f>"2728202011221751001151"</f>
        <v>2728202011221751001151</v>
      </c>
      <c r="C801" s="6" t="s">
        <v>7</v>
      </c>
      <c r="D801" s="6" t="str">
        <f>"吴捷"</f>
        <v>吴捷</v>
      </c>
      <c r="E801" s="6" t="str">
        <f>"1998-08-02"</f>
        <v>1998-08-02</v>
      </c>
      <c r="F801" s="6"/>
    </row>
    <row r="802" spans="1:6" ht="30" customHeight="1">
      <c r="A802" s="6">
        <v>800</v>
      </c>
      <c r="B802" s="6" t="str">
        <f>"2728202011221814001155"</f>
        <v>2728202011221814001155</v>
      </c>
      <c r="C802" s="6" t="s">
        <v>7</v>
      </c>
      <c r="D802" s="6" t="str">
        <f>"周中瑞"</f>
        <v>周中瑞</v>
      </c>
      <c r="E802" s="6" t="str">
        <f>"1997-02-09"</f>
        <v>1997-02-09</v>
      </c>
      <c r="F802" s="6"/>
    </row>
    <row r="803" spans="1:6" ht="30" customHeight="1">
      <c r="A803" s="6">
        <v>801</v>
      </c>
      <c r="B803" s="6" t="str">
        <f>"2728202011221815321156"</f>
        <v>2728202011221815321156</v>
      </c>
      <c r="C803" s="6" t="s">
        <v>7</v>
      </c>
      <c r="D803" s="6" t="str">
        <f>"符天星"</f>
        <v>符天星</v>
      </c>
      <c r="E803" s="6" t="str">
        <f>"1995-03-15"</f>
        <v>1995-03-15</v>
      </c>
      <c r="F803" s="6"/>
    </row>
    <row r="804" spans="1:6" ht="30" customHeight="1">
      <c r="A804" s="6">
        <v>802</v>
      </c>
      <c r="B804" s="6" t="str">
        <f>"2728202011221825291159"</f>
        <v>2728202011221825291159</v>
      </c>
      <c r="C804" s="6" t="s">
        <v>7</v>
      </c>
      <c r="D804" s="6" t="str">
        <f>"吉家康"</f>
        <v>吉家康</v>
      </c>
      <c r="E804" s="6" t="str">
        <f>"1996-07-06"</f>
        <v>1996-07-06</v>
      </c>
      <c r="F804" s="6"/>
    </row>
    <row r="805" spans="1:6" ht="30" customHeight="1">
      <c r="A805" s="6">
        <v>803</v>
      </c>
      <c r="B805" s="6" t="str">
        <f>"2728202011221828581161"</f>
        <v>2728202011221828581161</v>
      </c>
      <c r="C805" s="6" t="s">
        <v>7</v>
      </c>
      <c r="D805" s="6" t="str">
        <f>"王玉"</f>
        <v>王玉</v>
      </c>
      <c r="E805" s="6" t="str">
        <f>"1993-01-22"</f>
        <v>1993-01-22</v>
      </c>
      <c r="F805" s="6"/>
    </row>
    <row r="806" spans="1:6" ht="30" customHeight="1">
      <c r="A806" s="6">
        <v>804</v>
      </c>
      <c r="B806" s="6" t="str">
        <f>"2728202011221829371162"</f>
        <v>2728202011221829371162</v>
      </c>
      <c r="C806" s="6" t="s">
        <v>7</v>
      </c>
      <c r="D806" s="6" t="str">
        <f>"张纵横"</f>
        <v>张纵横</v>
      </c>
      <c r="E806" s="6" t="str">
        <f>"1999-03-06"</f>
        <v>1999-03-06</v>
      </c>
      <c r="F806" s="6"/>
    </row>
    <row r="807" spans="1:6" ht="30" customHeight="1">
      <c r="A807" s="6">
        <v>805</v>
      </c>
      <c r="B807" s="6" t="str">
        <f>"2728202011221830421163"</f>
        <v>2728202011221830421163</v>
      </c>
      <c r="C807" s="6" t="s">
        <v>7</v>
      </c>
      <c r="D807" s="6" t="str">
        <f>"夏才圣"</f>
        <v>夏才圣</v>
      </c>
      <c r="E807" s="6" t="str">
        <f>"1996-09-05"</f>
        <v>1996-09-05</v>
      </c>
      <c r="F807" s="6"/>
    </row>
    <row r="808" spans="1:6" ht="30" customHeight="1">
      <c r="A808" s="6">
        <v>806</v>
      </c>
      <c r="B808" s="6" t="str">
        <f>"2728202011221834191164"</f>
        <v>2728202011221834191164</v>
      </c>
      <c r="C808" s="6" t="s">
        <v>7</v>
      </c>
      <c r="D808" s="6" t="str">
        <f>"陈健"</f>
        <v>陈健</v>
      </c>
      <c r="E808" s="6" t="str">
        <f>"1985-08-14"</f>
        <v>1985-08-14</v>
      </c>
      <c r="F808" s="6"/>
    </row>
    <row r="809" spans="1:6" ht="30" customHeight="1">
      <c r="A809" s="6">
        <v>807</v>
      </c>
      <c r="B809" s="6" t="str">
        <f>"2728202011221841591169"</f>
        <v>2728202011221841591169</v>
      </c>
      <c r="C809" s="6" t="s">
        <v>7</v>
      </c>
      <c r="D809" s="6" t="str">
        <f>"卢喜凤"</f>
        <v>卢喜凤</v>
      </c>
      <c r="E809" s="6" t="str">
        <f>"1992-05-02"</f>
        <v>1992-05-02</v>
      </c>
      <c r="F809" s="6"/>
    </row>
    <row r="810" spans="1:6" ht="30" customHeight="1">
      <c r="A810" s="6">
        <v>808</v>
      </c>
      <c r="B810" s="6" t="str">
        <f>"2728202011221846171170"</f>
        <v>2728202011221846171170</v>
      </c>
      <c r="C810" s="6" t="s">
        <v>7</v>
      </c>
      <c r="D810" s="6" t="str">
        <f>"云杏芳"</f>
        <v>云杏芳</v>
      </c>
      <c r="E810" s="6" t="str">
        <f>"1995-08-13"</f>
        <v>1995-08-13</v>
      </c>
      <c r="F810" s="6"/>
    </row>
    <row r="811" spans="1:6" ht="30" customHeight="1">
      <c r="A811" s="6">
        <v>809</v>
      </c>
      <c r="B811" s="6" t="str">
        <f>"2728202011221852171171"</f>
        <v>2728202011221852171171</v>
      </c>
      <c r="C811" s="6" t="s">
        <v>7</v>
      </c>
      <c r="D811" s="6" t="str">
        <f>"周嘉琪"</f>
        <v>周嘉琪</v>
      </c>
      <c r="E811" s="6" t="str">
        <f>"1993-11-07"</f>
        <v>1993-11-07</v>
      </c>
      <c r="F811" s="6"/>
    </row>
    <row r="812" spans="1:6" ht="30" customHeight="1">
      <c r="A812" s="6">
        <v>810</v>
      </c>
      <c r="B812" s="6" t="str">
        <f>"2728202011221856351173"</f>
        <v>2728202011221856351173</v>
      </c>
      <c r="C812" s="6" t="s">
        <v>7</v>
      </c>
      <c r="D812" s="6" t="str">
        <f>"王家君"</f>
        <v>王家君</v>
      </c>
      <c r="E812" s="6" t="str">
        <f>"1996-11-02"</f>
        <v>1996-11-02</v>
      </c>
      <c r="F812" s="6"/>
    </row>
    <row r="813" spans="1:6" ht="30" customHeight="1">
      <c r="A813" s="6">
        <v>811</v>
      </c>
      <c r="B813" s="6" t="str">
        <f>"2728202011221857351174"</f>
        <v>2728202011221857351174</v>
      </c>
      <c r="C813" s="6" t="s">
        <v>7</v>
      </c>
      <c r="D813" s="6" t="str">
        <f>"陈良"</f>
        <v>陈良</v>
      </c>
      <c r="E813" s="6" t="str">
        <f>"1994-01-23"</f>
        <v>1994-01-23</v>
      </c>
      <c r="F813" s="6"/>
    </row>
    <row r="814" spans="1:6" ht="30" customHeight="1">
      <c r="A814" s="6">
        <v>812</v>
      </c>
      <c r="B814" s="6" t="str">
        <f>"2728202011221858241175"</f>
        <v>2728202011221858241175</v>
      </c>
      <c r="C814" s="6" t="s">
        <v>7</v>
      </c>
      <c r="D814" s="6" t="str">
        <f>"张乐煌"</f>
        <v>张乐煌</v>
      </c>
      <c r="E814" s="6" t="str">
        <f>"1997-02-17"</f>
        <v>1997-02-17</v>
      </c>
      <c r="F814" s="6"/>
    </row>
    <row r="815" spans="1:6" ht="30" customHeight="1">
      <c r="A815" s="6">
        <v>813</v>
      </c>
      <c r="B815" s="6" t="str">
        <f>"2728202011221901281177"</f>
        <v>2728202011221901281177</v>
      </c>
      <c r="C815" s="6" t="s">
        <v>7</v>
      </c>
      <c r="D815" s="6" t="str">
        <f>"许创辉"</f>
        <v>许创辉</v>
      </c>
      <c r="E815" s="6" t="str">
        <f>"1991-12-13"</f>
        <v>1991-12-13</v>
      </c>
      <c r="F815" s="6"/>
    </row>
    <row r="816" spans="1:6" ht="30" customHeight="1">
      <c r="A816" s="6">
        <v>814</v>
      </c>
      <c r="B816" s="6" t="str">
        <f>"2728202011221902321178"</f>
        <v>2728202011221902321178</v>
      </c>
      <c r="C816" s="6" t="s">
        <v>7</v>
      </c>
      <c r="D816" s="6" t="str">
        <f>"周丹丹"</f>
        <v>周丹丹</v>
      </c>
      <c r="E816" s="6" t="str">
        <f>"1996-10-07"</f>
        <v>1996-10-07</v>
      </c>
      <c r="F816" s="6"/>
    </row>
    <row r="817" spans="1:6" ht="30" customHeight="1">
      <c r="A817" s="6">
        <v>815</v>
      </c>
      <c r="B817" s="6" t="str">
        <f>"2728202011221903471179"</f>
        <v>2728202011221903471179</v>
      </c>
      <c r="C817" s="6" t="s">
        <v>7</v>
      </c>
      <c r="D817" s="6" t="str">
        <f>"吉才朝"</f>
        <v>吉才朝</v>
      </c>
      <c r="E817" s="6" t="str">
        <f>"1997-02-12"</f>
        <v>1997-02-12</v>
      </c>
      <c r="F817" s="6"/>
    </row>
    <row r="818" spans="1:6" ht="30" customHeight="1">
      <c r="A818" s="6">
        <v>816</v>
      </c>
      <c r="B818" s="6" t="str">
        <f>"2728202011221914341180"</f>
        <v>2728202011221914341180</v>
      </c>
      <c r="C818" s="6" t="s">
        <v>7</v>
      </c>
      <c r="D818" s="6" t="str">
        <f>"周慧君"</f>
        <v>周慧君</v>
      </c>
      <c r="E818" s="6" t="str">
        <f>"1997-01-25"</f>
        <v>1997-01-25</v>
      </c>
      <c r="F818" s="6"/>
    </row>
    <row r="819" spans="1:6" ht="30" customHeight="1">
      <c r="A819" s="6">
        <v>817</v>
      </c>
      <c r="B819" s="6" t="str">
        <f>"2728202011221917111181"</f>
        <v>2728202011221917111181</v>
      </c>
      <c r="C819" s="6" t="s">
        <v>7</v>
      </c>
      <c r="D819" s="6" t="str">
        <f>"符抒静"</f>
        <v>符抒静</v>
      </c>
      <c r="E819" s="6" t="str">
        <f>"1998-01-15"</f>
        <v>1998-01-15</v>
      </c>
      <c r="F819" s="6"/>
    </row>
    <row r="820" spans="1:6" ht="30" customHeight="1">
      <c r="A820" s="6">
        <v>818</v>
      </c>
      <c r="B820" s="6" t="str">
        <f>"2728202011221917491182"</f>
        <v>2728202011221917491182</v>
      </c>
      <c r="C820" s="6" t="s">
        <v>7</v>
      </c>
      <c r="D820" s="6" t="str">
        <f>"黄海莲"</f>
        <v>黄海莲</v>
      </c>
      <c r="E820" s="6" t="str">
        <f>"1992-03-03"</f>
        <v>1992-03-03</v>
      </c>
      <c r="F820" s="6"/>
    </row>
    <row r="821" spans="1:6" ht="30" customHeight="1">
      <c r="A821" s="6">
        <v>819</v>
      </c>
      <c r="B821" s="6" t="str">
        <f>"2728202011221917541183"</f>
        <v>2728202011221917541183</v>
      </c>
      <c r="C821" s="6" t="s">
        <v>7</v>
      </c>
      <c r="D821" s="6" t="str">
        <f>"冯绵佳"</f>
        <v>冯绵佳</v>
      </c>
      <c r="E821" s="6" t="str">
        <f>"1996-03-31"</f>
        <v>1996-03-31</v>
      </c>
      <c r="F821" s="6"/>
    </row>
    <row r="822" spans="1:6" ht="30" customHeight="1">
      <c r="A822" s="6">
        <v>820</v>
      </c>
      <c r="B822" s="6" t="str">
        <f>"2728202011221921071184"</f>
        <v>2728202011221921071184</v>
      </c>
      <c r="C822" s="6" t="s">
        <v>7</v>
      </c>
      <c r="D822" s="6" t="str">
        <f>"王明聪"</f>
        <v>王明聪</v>
      </c>
      <c r="E822" s="6" t="str">
        <f>"1996-09-05"</f>
        <v>1996-09-05</v>
      </c>
      <c r="F822" s="6"/>
    </row>
    <row r="823" spans="1:6" ht="30" customHeight="1">
      <c r="A823" s="6">
        <v>821</v>
      </c>
      <c r="B823" s="6" t="str">
        <f>"2728202011221921111185"</f>
        <v>2728202011221921111185</v>
      </c>
      <c r="C823" s="6" t="s">
        <v>7</v>
      </c>
      <c r="D823" s="6" t="str">
        <f>"王亚亮"</f>
        <v>王亚亮</v>
      </c>
      <c r="E823" s="6" t="str">
        <f>"1994-07-29"</f>
        <v>1994-07-29</v>
      </c>
      <c r="F823" s="6"/>
    </row>
    <row r="824" spans="1:6" ht="30" customHeight="1">
      <c r="A824" s="6">
        <v>822</v>
      </c>
      <c r="B824" s="6" t="str">
        <f>"2728202011221924421187"</f>
        <v>2728202011221924421187</v>
      </c>
      <c r="C824" s="6" t="s">
        <v>7</v>
      </c>
      <c r="D824" s="6" t="str">
        <f>"张婷婷"</f>
        <v>张婷婷</v>
      </c>
      <c r="E824" s="6" t="str">
        <f>"1992-06-10"</f>
        <v>1992-06-10</v>
      </c>
      <c r="F824" s="6"/>
    </row>
    <row r="825" spans="1:6" ht="30" customHeight="1">
      <c r="A825" s="6">
        <v>823</v>
      </c>
      <c r="B825" s="6" t="str">
        <f>"2728202011221924431188"</f>
        <v>2728202011221924431188</v>
      </c>
      <c r="C825" s="6" t="s">
        <v>7</v>
      </c>
      <c r="D825" s="6" t="str">
        <f>"唐良"</f>
        <v>唐良</v>
      </c>
      <c r="E825" s="6" t="str">
        <f>"1998-02-20"</f>
        <v>1998-02-20</v>
      </c>
      <c r="F825" s="6"/>
    </row>
    <row r="826" spans="1:6" ht="30" customHeight="1">
      <c r="A826" s="6">
        <v>824</v>
      </c>
      <c r="B826" s="6" t="str">
        <f>"2728202011221926421189"</f>
        <v>2728202011221926421189</v>
      </c>
      <c r="C826" s="6" t="s">
        <v>7</v>
      </c>
      <c r="D826" s="6" t="str">
        <f>"陈太飞"</f>
        <v>陈太飞</v>
      </c>
      <c r="E826" s="6" t="str">
        <f>"1987-11-30"</f>
        <v>1987-11-30</v>
      </c>
      <c r="F826" s="6"/>
    </row>
    <row r="827" spans="1:6" ht="30" customHeight="1">
      <c r="A827" s="6">
        <v>825</v>
      </c>
      <c r="B827" s="6" t="str">
        <f>"2728202011221932121190"</f>
        <v>2728202011221932121190</v>
      </c>
      <c r="C827" s="6" t="s">
        <v>7</v>
      </c>
      <c r="D827" s="6" t="str">
        <f>"林航"</f>
        <v>林航</v>
      </c>
      <c r="E827" s="6" t="str">
        <f>"1993-10-21"</f>
        <v>1993-10-21</v>
      </c>
      <c r="F827" s="6"/>
    </row>
    <row r="828" spans="1:6" ht="30" customHeight="1">
      <c r="A828" s="6">
        <v>826</v>
      </c>
      <c r="B828" s="6" t="str">
        <f>"2728202011221932521191"</f>
        <v>2728202011221932521191</v>
      </c>
      <c r="C828" s="6" t="s">
        <v>7</v>
      </c>
      <c r="D828" s="6" t="str">
        <f>"陈智"</f>
        <v>陈智</v>
      </c>
      <c r="E828" s="6" t="str">
        <f>"1999-05-20"</f>
        <v>1999-05-20</v>
      </c>
      <c r="F828" s="6"/>
    </row>
    <row r="829" spans="1:6" ht="30" customHeight="1">
      <c r="A829" s="6">
        <v>827</v>
      </c>
      <c r="B829" s="6" t="str">
        <f>"2728202011221936251192"</f>
        <v>2728202011221936251192</v>
      </c>
      <c r="C829" s="6" t="s">
        <v>7</v>
      </c>
      <c r="D829" s="6" t="str">
        <f>"陈奕武"</f>
        <v>陈奕武</v>
      </c>
      <c r="E829" s="6" t="str">
        <f>"1996-09-06"</f>
        <v>1996-09-06</v>
      </c>
      <c r="F829" s="6"/>
    </row>
    <row r="830" spans="1:6" ht="30" customHeight="1">
      <c r="A830" s="6">
        <v>828</v>
      </c>
      <c r="B830" s="6" t="str">
        <f>"2728202011221937231193"</f>
        <v>2728202011221937231193</v>
      </c>
      <c r="C830" s="6" t="s">
        <v>7</v>
      </c>
      <c r="D830" s="6" t="str">
        <f>"林岸"</f>
        <v>林岸</v>
      </c>
      <c r="E830" s="6" t="str">
        <f>"1991-01-20"</f>
        <v>1991-01-20</v>
      </c>
      <c r="F830" s="6"/>
    </row>
    <row r="831" spans="1:6" ht="30" customHeight="1">
      <c r="A831" s="6">
        <v>829</v>
      </c>
      <c r="B831" s="6" t="str">
        <f>"2728202011221939121195"</f>
        <v>2728202011221939121195</v>
      </c>
      <c r="C831" s="6" t="s">
        <v>7</v>
      </c>
      <c r="D831" s="6" t="str">
        <f>"羊秀丽"</f>
        <v>羊秀丽</v>
      </c>
      <c r="E831" s="6" t="str">
        <f>"1996-07-02"</f>
        <v>1996-07-02</v>
      </c>
      <c r="F831" s="6"/>
    </row>
    <row r="832" spans="1:6" ht="30" customHeight="1">
      <c r="A832" s="6">
        <v>830</v>
      </c>
      <c r="B832" s="6" t="str">
        <f>"2728202011221944541197"</f>
        <v>2728202011221944541197</v>
      </c>
      <c r="C832" s="6" t="s">
        <v>7</v>
      </c>
      <c r="D832" s="6" t="str">
        <f>"吉顺洪"</f>
        <v>吉顺洪</v>
      </c>
      <c r="E832" s="6" t="str">
        <f>"1995-11-18"</f>
        <v>1995-11-18</v>
      </c>
      <c r="F832" s="6"/>
    </row>
    <row r="833" spans="1:6" ht="30" customHeight="1">
      <c r="A833" s="6">
        <v>831</v>
      </c>
      <c r="B833" s="6" t="str">
        <f>"2728202011221945081198"</f>
        <v>2728202011221945081198</v>
      </c>
      <c r="C833" s="6" t="s">
        <v>7</v>
      </c>
      <c r="D833" s="6" t="str">
        <f>"魏绎伦"</f>
        <v>魏绎伦</v>
      </c>
      <c r="E833" s="6" t="str">
        <f>"1996-09-29"</f>
        <v>1996-09-29</v>
      </c>
      <c r="F833" s="6"/>
    </row>
    <row r="834" spans="1:6" ht="30" customHeight="1">
      <c r="A834" s="6">
        <v>832</v>
      </c>
      <c r="B834" s="6" t="str">
        <f>"2728202011221951541199"</f>
        <v>2728202011221951541199</v>
      </c>
      <c r="C834" s="6" t="s">
        <v>7</v>
      </c>
      <c r="D834" s="6" t="str">
        <f>"符政芳"</f>
        <v>符政芳</v>
      </c>
      <c r="E834" s="6" t="str">
        <f>"1998-11-05"</f>
        <v>1998-11-05</v>
      </c>
      <c r="F834" s="6"/>
    </row>
    <row r="835" spans="1:6" ht="30" customHeight="1">
      <c r="A835" s="6">
        <v>833</v>
      </c>
      <c r="B835" s="6" t="str">
        <f>"2728202011221952411200"</f>
        <v>2728202011221952411200</v>
      </c>
      <c r="C835" s="6" t="s">
        <v>7</v>
      </c>
      <c r="D835" s="6" t="str">
        <f>"唐子道"</f>
        <v>唐子道</v>
      </c>
      <c r="E835" s="6" t="str">
        <f>"1998-07-27"</f>
        <v>1998-07-27</v>
      </c>
      <c r="F835" s="6"/>
    </row>
    <row r="836" spans="1:6" ht="30" customHeight="1">
      <c r="A836" s="6">
        <v>834</v>
      </c>
      <c r="B836" s="6" t="str">
        <f>"2728202011222000491201"</f>
        <v>2728202011222000491201</v>
      </c>
      <c r="C836" s="6" t="s">
        <v>7</v>
      </c>
      <c r="D836" s="6" t="str">
        <f>"何石佳"</f>
        <v>何石佳</v>
      </c>
      <c r="E836" s="6" t="str">
        <f>"1994-02-22"</f>
        <v>1994-02-22</v>
      </c>
      <c r="F836" s="6"/>
    </row>
    <row r="837" spans="1:6" ht="30" customHeight="1">
      <c r="A837" s="6">
        <v>835</v>
      </c>
      <c r="B837" s="6" t="str">
        <f>"2728202011222001191202"</f>
        <v>2728202011222001191202</v>
      </c>
      <c r="C837" s="6" t="s">
        <v>7</v>
      </c>
      <c r="D837" s="6" t="str">
        <f>"唐传毅"</f>
        <v>唐传毅</v>
      </c>
      <c r="E837" s="6" t="str">
        <f>"1997-03-21"</f>
        <v>1997-03-21</v>
      </c>
      <c r="F837" s="6"/>
    </row>
    <row r="838" spans="1:6" ht="30" customHeight="1">
      <c r="A838" s="6">
        <v>836</v>
      </c>
      <c r="B838" s="6" t="str">
        <f>"2728202011222005041203"</f>
        <v>2728202011222005041203</v>
      </c>
      <c r="C838" s="6" t="s">
        <v>7</v>
      </c>
      <c r="D838" s="6" t="str">
        <f>"翁小妹"</f>
        <v>翁小妹</v>
      </c>
      <c r="E838" s="6" t="str">
        <f>"1994-04-10"</f>
        <v>1994-04-10</v>
      </c>
      <c r="F838" s="6"/>
    </row>
    <row r="839" spans="1:6" ht="30" customHeight="1">
      <c r="A839" s="6">
        <v>837</v>
      </c>
      <c r="B839" s="6" t="str">
        <f>"2728202011222005371204"</f>
        <v>2728202011222005371204</v>
      </c>
      <c r="C839" s="6" t="s">
        <v>7</v>
      </c>
      <c r="D839" s="6" t="str">
        <f>"陈永有"</f>
        <v>陈永有</v>
      </c>
      <c r="E839" s="6" t="str">
        <f>"1992-03-23"</f>
        <v>1992-03-23</v>
      </c>
      <c r="F839" s="6"/>
    </row>
    <row r="840" spans="1:6" ht="30" customHeight="1">
      <c r="A840" s="6">
        <v>838</v>
      </c>
      <c r="B840" s="6" t="str">
        <f>"2728202011222014561206"</f>
        <v>2728202011222014561206</v>
      </c>
      <c r="C840" s="6" t="s">
        <v>7</v>
      </c>
      <c r="D840" s="6" t="str">
        <f>"陈义文"</f>
        <v>陈义文</v>
      </c>
      <c r="E840" s="6" t="str">
        <f>"1996-04-18"</f>
        <v>1996-04-18</v>
      </c>
      <c r="F840" s="6"/>
    </row>
    <row r="841" spans="1:6" ht="30" customHeight="1">
      <c r="A841" s="6">
        <v>839</v>
      </c>
      <c r="B841" s="6" t="str">
        <f>"2728202011222015411208"</f>
        <v>2728202011222015411208</v>
      </c>
      <c r="C841" s="6" t="s">
        <v>7</v>
      </c>
      <c r="D841" s="6" t="str">
        <f>"符晓红"</f>
        <v>符晓红</v>
      </c>
      <c r="E841" s="6" t="str">
        <f>"1997-02-18"</f>
        <v>1997-02-18</v>
      </c>
      <c r="F841" s="6"/>
    </row>
    <row r="842" spans="1:6" ht="30" customHeight="1">
      <c r="A842" s="6">
        <v>840</v>
      </c>
      <c r="B842" s="6" t="str">
        <f>"2728202011222020381210"</f>
        <v>2728202011222020381210</v>
      </c>
      <c r="C842" s="6" t="s">
        <v>7</v>
      </c>
      <c r="D842" s="6" t="str">
        <f>"庞斯斯"</f>
        <v>庞斯斯</v>
      </c>
      <c r="E842" s="6" t="str">
        <f>"1997-09-23"</f>
        <v>1997-09-23</v>
      </c>
      <c r="F842" s="6"/>
    </row>
    <row r="843" spans="1:6" ht="30" customHeight="1">
      <c r="A843" s="6">
        <v>841</v>
      </c>
      <c r="B843" s="6" t="str">
        <f>"2728202011222026351213"</f>
        <v>2728202011222026351213</v>
      </c>
      <c r="C843" s="6" t="s">
        <v>7</v>
      </c>
      <c r="D843" s="6" t="str">
        <f>"杨云倩"</f>
        <v>杨云倩</v>
      </c>
      <c r="E843" s="6" t="str">
        <f>"1997-04-24"</f>
        <v>1997-04-24</v>
      </c>
      <c r="F843" s="6"/>
    </row>
    <row r="844" spans="1:6" ht="30" customHeight="1">
      <c r="A844" s="6">
        <v>842</v>
      </c>
      <c r="B844" s="6" t="str">
        <f>"2728202011222027401215"</f>
        <v>2728202011222027401215</v>
      </c>
      <c r="C844" s="6" t="s">
        <v>7</v>
      </c>
      <c r="D844" s="6" t="str">
        <f>"高建玉"</f>
        <v>高建玉</v>
      </c>
      <c r="E844" s="6" t="str">
        <f>"1997-04-17"</f>
        <v>1997-04-17</v>
      </c>
      <c r="F844" s="6"/>
    </row>
    <row r="845" spans="1:6" ht="30" customHeight="1">
      <c r="A845" s="6">
        <v>843</v>
      </c>
      <c r="B845" s="6" t="str">
        <f>"2728202011222028591216"</f>
        <v>2728202011222028591216</v>
      </c>
      <c r="C845" s="6" t="s">
        <v>7</v>
      </c>
      <c r="D845" s="6" t="str">
        <f>"黄洁真"</f>
        <v>黄洁真</v>
      </c>
      <c r="E845" s="6" t="str">
        <f>"1994-01-13"</f>
        <v>1994-01-13</v>
      </c>
      <c r="F845" s="6"/>
    </row>
    <row r="846" spans="1:6" ht="30" customHeight="1">
      <c r="A846" s="6">
        <v>844</v>
      </c>
      <c r="B846" s="6" t="str">
        <f>"2728202011222036161218"</f>
        <v>2728202011222036161218</v>
      </c>
      <c r="C846" s="6" t="s">
        <v>7</v>
      </c>
      <c r="D846" s="6" t="str">
        <f>"文鸿魁"</f>
        <v>文鸿魁</v>
      </c>
      <c r="E846" s="6" t="str">
        <f>"1989-08-15"</f>
        <v>1989-08-15</v>
      </c>
      <c r="F846" s="6"/>
    </row>
    <row r="847" spans="1:6" ht="30" customHeight="1">
      <c r="A847" s="6">
        <v>845</v>
      </c>
      <c r="B847" s="6" t="str">
        <f>"2728202011222040531220"</f>
        <v>2728202011222040531220</v>
      </c>
      <c r="C847" s="6" t="s">
        <v>7</v>
      </c>
      <c r="D847" s="6" t="str">
        <f>"刘妹芳"</f>
        <v>刘妹芳</v>
      </c>
      <c r="E847" s="6" t="str">
        <f>"1992-03-18"</f>
        <v>1992-03-18</v>
      </c>
      <c r="F847" s="6"/>
    </row>
    <row r="848" spans="1:6" ht="30" customHeight="1">
      <c r="A848" s="6">
        <v>846</v>
      </c>
      <c r="B848" s="6" t="str">
        <f>"2728202011222042561221"</f>
        <v>2728202011222042561221</v>
      </c>
      <c r="C848" s="6" t="s">
        <v>7</v>
      </c>
      <c r="D848" s="6" t="str">
        <f>"胡汉超"</f>
        <v>胡汉超</v>
      </c>
      <c r="E848" s="6" t="str">
        <f>"1989-06-04"</f>
        <v>1989-06-04</v>
      </c>
      <c r="F848" s="6"/>
    </row>
    <row r="849" spans="1:6" ht="30" customHeight="1">
      <c r="A849" s="6">
        <v>847</v>
      </c>
      <c r="B849" s="6" t="str">
        <f>"2728202011222044211223"</f>
        <v>2728202011222044211223</v>
      </c>
      <c r="C849" s="6" t="s">
        <v>7</v>
      </c>
      <c r="D849" s="6" t="str">
        <f>"庞晓婷"</f>
        <v>庞晓婷</v>
      </c>
      <c r="E849" s="6" t="str">
        <f>"1999-04-30"</f>
        <v>1999-04-30</v>
      </c>
      <c r="F849" s="6"/>
    </row>
    <row r="850" spans="1:6" ht="30" customHeight="1">
      <c r="A850" s="6">
        <v>848</v>
      </c>
      <c r="B850" s="6" t="str">
        <f>"2728202011222054101224"</f>
        <v>2728202011222054101224</v>
      </c>
      <c r="C850" s="6" t="s">
        <v>7</v>
      </c>
      <c r="D850" s="6" t="str">
        <f>"符金燕"</f>
        <v>符金燕</v>
      </c>
      <c r="E850" s="6" t="str">
        <f>"1996-08-15"</f>
        <v>1996-08-15</v>
      </c>
      <c r="F850" s="6"/>
    </row>
    <row r="851" spans="1:6" ht="30" customHeight="1">
      <c r="A851" s="6">
        <v>849</v>
      </c>
      <c r="B851" s="6" t="str">
        <f>"2728202011222054591225"</f>
        <v>2728202011222054591225</v>
      </c>
      <c r="C851" s="6" t="s">
        <v>7</v>
      </c>
      <c r="D851" s="6" t="str">
        <f>"陈国栋"</f>
        <v>陈国栋</v>
      </c>
      <c r="E851" s="6" t="str">
        <f>"1997-04-29"</f>
        <v>1997-04-29</v>
      </c>
      <c r="F851" s="6"/>
    </row>
    <row r="852" spans="1:6" ht="30" customHeight="1">
      <c r="A852" s="6">
        <v>850</v>
      </c>
      <c r="B852" s="6" t="str">
        <f>"2728202011222056431226"</f>
        <v>2728202011222056431226</v>
      </c>
      <c r="C852" s="6" t="s">
        <v>7</v>
      </c>
      <c r="D852" s="6" t="str">
        <f>"尹政斌"</f>
        <v>尹政斌</v>
      </c>
      <c r="E852" s="6" t="str">
        <f>"1997-02-26"</f>
        <v>1997-02-26</v>
      </c>
      <c r="F852" s="6"/>
    </row>
    <row r="853" spans="1:6" ht="30" customHeight="1">
      <c r="A853" s="6">
        <v>851</v>
      </c>
      <c r="B853" s="6" t="str">
        <f>"2728202011222103401227"</f>
        <v>2728202011222103401227</v>
      </c>
      <c r="C853" s="6" t="s">
        <v>7</v>
      </c>
      <c r="D853" s="6" t="str">
        <f>"符增玲"</f>
        <v>符增玲</v>
      </c>
      <c r="E853" s="6" t="str">
        <f>"1988-10-01"</f>
        <v>1988-10-01</v>
      </c>
      <c r="F853" s="6"/>
    </row>
    <row r="854" spans="1:6" ht="30" customHeight="1">
      <c r="A854" s="6">
        <v>852</v>
      </c>
      <c r="B854" s="6" t="str">
        <f>"2728202011222108061228"</f>
        <v>2728202011222108061228</v>
      </c>
      <c r="C854" s="6" t="s">
        <v>7</v>
      </c>
      <c r="D854" s="6" t="str">
        <f>"林昌瑞"</f>
        <v>林昌瑞</v>
      </c>
      <c r="E854" s="6" t="str">
        <f>"1998-04-29"</f>
        <v>1998-04-29</v>
      </c>
      <c r="F854" s="6"/>
    </row>
    <row r="855" spans="1:6" ht="30" customHeight="1">
      <c r="A855" s="6">
        <v>853</v>
      </c>
      <c r="B855" s="6" t="str">
        <f>"2728202011222113041230"</f>
        <v>2728202011222113041230</v>
      </c>
      <c r="C855" s="6" t="s">
        <v>7</v>
      </c>
      <c r="D855" s="6" t="str">
        <f>"周林金"</f>
        <v>周林金</v>
      </c>
      <c r="E855" s="6" t="str">
        <f>"1997-06-10"</f>
        <v>1997-06-10</v>
      </c>
      <c r="F855" s="6"/>
    </row>
    <row r="856" spans="1:6" ht="30" customHeight="1">
      <c r="A856" s="6">
        <v>854</v>
      </c>
      <c r="B856" s="6" t="str">
        <f>"2728202011222119061232"</f>
        <v>2728202011222119061232</v>
      </c>
      <c r="C856" s="6" t="s">
        <v>7</v>
      </c>
      <c r="D856" s="6" t="str">
        <f>"符有教"</f>
        <v>符有教</v>
      </c>
      <c r="E856" s="6" t="str">
        <f>"1987-09-18"</f>
        <v>1987-09-18</v>
      </c>
      <c r="F856" s="6"/>
    </row>
    <row r="857" spans="1:6" ht="30" customHeight="1">
      <c r="A857" s="6">
        <v>855</v>
      </c>
      <c r="B857" s="6" t="str">
        <f>"2728202011222127571234"</f>
        <v>2728202011222127571234</v>
      </c>
      <c r="C857" s="6" t="s">
        <v>7</v>
      </c>
      <c r="D857" s="6" t="str">
        <f>"林水岸"</f>
        <v>林水岸</v>
      </c>
      <c r="E857" s="6" t="str">
        <f>"1997-11-25"</f>
        <v>1997-11-25</v>
      </c>
      <c r="F857" s="6"/>
    </row>
    <row r="858" spans="1:6" ht="30" customHeight="1">
      <c r="A858" s="6">
        <v>856</v>
      </c>
      <c r="B858" s="6" t="str">
        <f>"2728202011222132171237"</f>
        <v>2728202011222132171237</v>
      </c>
      <c r="C858" s="6" t="s">
        <v>7</v>
      </c>
      <c r="D858" s="6" t="str">
        <f>"罗心"</f>
        <v>罗心</v>
      </c>
      <c r="E858" s="6" t="str">
        <f>"1991-09-20"</f>
        <v>1991-09-20</v>
      </c>
      <c r="F858" s="6"/>
    </row>
    <row r="859" spans="1:6" ht="30" customHeight="1">
      <c r="A859" s="6">
        <v>857</v>
      </c>
      <c r="B859" s="6" t="str">
        <f>"2728202011222133541238"</f>
        <v>2728202011222133541238</v>
      </c>
      <c r="C859" s="6" t="s">
        <v>7</v>
      </c>
      <c r="D859" s="6" t="str">
        <f>"羊造烈"</f>
        <v>羊造烈</v>
      </c>
      <c r="E859" s="6" t="str">
        <f>"1988-08-20"</f>
        <v>1988-08-20</v>
      </c>
      <c r="F859" s="6"/>
    </row>
    <row r="860" spans="1:6" ht="30" customHeight="1">
      <c r="A860" s="6">
        <v>858</v>
      </c>
      <c r="B860" s="6" t="str">
        <f>"2728202011222134551239"</f>
        <v>2728202011222134551239</v>
      </c>
      <c r="C860" s="6" t="s">
        <v>7</v>
      </c>
      <c r="D860" s="6" t="str">
        <f>"王子津"</f>
        <v>王子津</v>
      </c>
      <c r="E860" s="6" t="str">
        <f>"1988-08-24"</f>
        <v>1988-08-24</v>
      </c>
      <c r="F860" s="6"/>
    </row>
    <row r="861" spans="1:6" ht="30" customHeight="1">
      <c r="A861" s="6">
        <v>859</v>
      </c>
      <c r="B861" s="6" t="str">
        <f>"2728202011222145391241"</f>
        <v>2728202011222145391241</v>
      </c>
      <c r="C861" s="6" t="s">
        <v>7</v>
      </c>
      <c r="D861" s="6" t="str">
        <f>"符金珠"</f>
        <v>符金珠</v>
      </c>
      <c r="E861" s="6" t="str">
        <f>"1992-08-05"</f>
        <v>1992-08-05</v>
      </c>
      <c r="F861" s="6"/>
    </row>
    <row r="862" spans="1:6" ht="30" customHeight="1">
      <c r="A862" s="6">
        <v>860</v>
      </c>
      <c r="B862" s="6" t="str">
        <f>"2728202011222148171243"</f>
        <v>2728202011222148171243</v>
      </c>
      <c r="C862" s="6" t="s">
        <v>7</v>
      </c>
      <c r="D862" s="6" t="str">
        <f>"孙才万"</f>
        <v>孙才万</v>
      </c>
      <c r="E862" s="6" t="str">
        <f>"1992-04-07"</f>
        <v>1992-04-07</v>
      </c>
      <c r="F862" s="6"/>
    </row>
    <row r="863" spans="1:6" ht="30" customHeight="1">
      <c r="A863" s="6">
        <v>861</v>
      </c>
      <c r="B863" s="6" t="str">
        <f>"2728202011222153201246"</f>
        <v>2728202011222153201246</v>
      </c>
      <c r="C863" s="6" t="s">
        <v>7</v>
      </c>
      <c r="D863" s="6" t="str">
        <f>"周丹"</f>
        <v>周丹</v>
      </c>
      <c r="E863" s="6" t="str">
        <f>"1993-04-18"</f>
        <v>1993-04-18</v>
      </c>
      <c r="F863" s="6"/>
    </row>
    <row r="864" spans="1:6" ht="30" customHeight="1">
      <c r="A864" s="6">
        <v>862</v>
      </c>
      <c r="B864" s="6" t="str">
        <f>"2728202011222206441248"</f>
        <v>2728202011222206441248</v>
      </c>
      <c r="C864" s="6" t="s">
        <v>7</v>
      </c>
      <c r="D864" s="6" t="str">
        <f>"邓清友"</f>
        <v>邓清友</v>
      </c>
      <c r="E864" s="6" t="str">
        <f>"1998-09-16"</f>
        <v>1998-09-16</v>
      </c>
      <c r="F864" s="6"/>
    </row>
    <row r="865" spans="1:6" ht="30" customHeight="1">
      <c r="A865" s="6">
        <v>863</v>
      </c>
      <c r="B865" s="6" t="str">
        <f>"2728202011222207041249"</f>
        <v>2728202011222207041249</v>
      </c>
      <c r="C865" s="6" t="s">
        <v>7</v>
      </c>
      <c r="D865" s="6" t="str">
        <f>"黄贞"</f>
        <v>黄贞</v>
      </c>
      <c r="E865" s="6" t="str">
        <f>"1998-05-25"</f>
        <v>1998-05-25</v>
      </c>
      <c r="F865" s="6"/>
    </row>
    <row r="866" spans="1:6" ht="30" customHeight="1">
      <c r="A866" s="6">
        <v>864</v>
      </c>
      <c r="B866" s="6" t="str">
        <f>"2728202011222208311250"</f>
        <v>2728202011222208311250</v>
      </c>
      <c r="C866" s="6" t="s">
        <v>7</v>
      </c>
      <c r="D866" s="6" t="str">
        <f>"郭海燕"</f>
        <v>郭海燕</v>
      </c>
      <c r="E866" s="6" t="str">
        <f>"1990-02-16"</f>
        <v>1990-02-16</v>
      </c>
      <c r="F866" s="6"/>
    </row>
    <row r="867" spans="1:6" ht="30" customHeight="1">
      <c r="A867" s="6">
        <v>865</v>
      </c>
      <c r="B867" s="6" t="str">
        <f>"2728202011222211121251"</f>
        <v>2728202011222211121251</v>
      </c>
      <c r="C867" s="6" t="s">
        <v>7</v>
      </c>
      <c r="D867" s="6" t="str">
        <f>"陈莹莹"</f>
        <v>陈莹莹</v>
      </c>
      <c r="E867" s="6" t="str">
        <f>"1996-10-03"</f>
        <v>1996-10-03</v>
      </c>
      <c r="F867" s="6"/>
    </row>
    <row r="868" spans="1:6" ht="30" customHeight="1">
      <c r="A868" s="6">
        <v>866</v>
      </c>
      <c r="B868" s="6" t="str">
        <f>"2728202011222216521252"</f>
        <v>2728202011222216521252</v>
      </c>
      <c r="C868" s="6" t="s">
        <v>7</v>
      </c>
      <c r="D868" s="6" t="str">
        <f>"陈会菊"</f>
        <v>陈会菊</v>
      </c>
      <c r="E868" s="6" t="str">
        <f>"1993-04-18"</f>
        <v>1993-04-18</v>
      </c>
      <c r="F868" s="6"/>
    </row>
    <row r="869" spans="1:6" ht="30" customHeight="1">
      <c r="A869" s="6">
        <v>867</v>
      </c>
      <c r="B869" s="6" t="str">
        <f>"2728202011222217091253"</f>
        <v>2728202011222217091253</v>
      </c>
      <c r="C869" s="6" t="s">
        <v>7</v>
      </c>
      <c r="D869" s="6" t="str">
        <f>"赖海岸"</f>
        <v>赖海岸</v>
      </c>
      <c r="E869" s="6" t="str">
        <f>"1987-09-20"</f>
        <v>1987-09-20</v>
      </c>
      <c r="F869" s="6"/>
    </row>
    <row r="870" spans="1:6" ht="30" customHeight="1">
      <c r="A870" s="6">
        <v>868</v>
      </c>
      <c r="B870" s="6" t="str">
        <f>"2728202011222219231254"</f>
        <v>2728202011222219231254</v>
      </c>
      <c r="C870" s="6" t="s">
        <v>7</v>
      </c>
      <c r="D870" s="6" t="str">
        <f>"王孟"</f>
        <v>王孟</v>
      </c>
      <c r="E870" s="6" t="str">
        <f>"1994-01-14"</f>
        <v>1994-01-14</v>
      </c>
      <c r="F870" s="6"/>
    </row>
    <row r="871" spans="1:6" ht="30" customHeight="1">
      <c r="A871" s="6">
        <v>869</v>
      </c>
      <c r="B871" s="6" t="str">
        <f>"2728202011222226551259"</f>
        <v>2728202011222226551259</v>
      </c>
      <c r="C871" s="6" t="s">
        <v>7</v>
      </c>
      <c r="D871" s="6" t="str">
        <f>"傅人吉"</f>
        <v>傅人吉</v>
      </c>
      <c r="E871" s="6" t="str">
        <f>"1993-01-24"</f>
        <v>1993-01-24</v>
      </c>
      <c r="F871" s="6"/>
    </row>
    <row r="872" spans="1:6" ht="30" customHeight="1">
      <c r="A872" s="6">
        <v>870</v>
      </c>
      <c r="B872" s="6" t="str">
        <f>"2728202011222228031260"</f>
        <v>2728202011222228031260</v>
      </c>
      <c r="C872" s="6" t="s">
        <v>7</v>
      </c>
      <c r="D872" s="6" t="str">
        <f>"韩六妹"</f>
        <v>韩六妹</v>
      </c>
      <c r="E872" s="6" t="str">
        <f>"1991-06-24"</f>
        <v>1991-06-24</v>
      </c>
      <c r="F872" s="6"/>
    </row>
    <row r="873" spans="1:6" ht="30" customHeight="1">
      <c r="A873" s="6">
        <v>871</v>
      </c>
      <c r="B873" s="6" t="str">
        <f>"2728202011222230461263"</f>
        <v>2728202011222230461263</v>
      </c>
      <c r="C873" s="6" t="s">
        <v>7</v>
      </c>
      <c r="D873" s="6" t="str">
        <f>"邓秋霞"</f>
        <v>邓秋霞</v>
      </c>
      <c r="E873" s="6" t="str">
        <f>"1996-09-05"</f>
        <v>1996-09-05</v>
      </c>
      <c r="F873" s="6"/>
    </row>
    <row r="874" spans="1:6" ht="30" customHeight="1">
      <c r="A874" s="6">
        <v>872</v>
      </c>
      <c r="B874" s="6" t="str">
        <f>"2728202011222231121264"</f>
        <v>2728202011222231121264</v>
      </c>
      <c r="C874" s="6" t="s">
        <v>7</v>
      </c>
      <c r="D874" s="6" t="str">
        <f>"梁文丽"</f>
        <v>梁文丽</v>
      </c>
      <c r="E874" s="6" t="str">
        <f>"1994-04-22"</f>
        <v>1994-04-22</v>
      </c>
      <c r="F874" s="6"/>
    </row>
    <row r="875" spans="1:6" ht="30" customHeight="1">
      <c r="A875" s="6">
        <v>873</v>
      </c>
      <c r="B875" s="6" t="str">
        <f>"2728202011222238431268"</f>
        <v>2728202011222238431268</v>
      </c>
      <c r="C875" s="6" t="s">
        <v>7</v>
      </c>
      <c r="D875" s="6" t="str">
        <f>"邢孔俏"</f>
        <v>邢孔俏</v>
      </c>
      <c r="E875" s="6" t="str">
        <f>"1997-03-02"</f>
        <v>1997-03-02</v>
      </c>
      <c r="F875" s="6"/>
    </row>
    <row r="876" spans="1:6" ht="30" customHeight="1">
      <c r="A876" s="6">
        <v>874</v>
      </c>
      <c r="B876" s="6" t="str">
        <f>"2728202011222239561269"</f>
        <v>2728202011222239561269</v>
      </c>
      <c r="C876" s="6" t="s">
        <v>7</v>
      </c>
      <c r="D876" s="6" t="str">
        <f>"顾昕"</f>
        <v>顾昕</v>
      </c>
      <c r="E876" s="6" t="str">
        <f>"1986-02-21"</f>
        <v>1986-02-21</v>
      </c>
      <c r="F876" s="6"/>
    </row>
    <row r="877" spans="1:6" ht="30" customHeight="1">
      <c r="A877" s="6">
        <v>875</v>
      </c>
      <c r="B877" s="6" t="str">
        <f>"2728202011222240211270"</f>
        <v>2728202011222240211270</v>
      </c>
      <c r="C877" s="6" t="s">
        <v>7</v>
      </c>
      <c r="D877" s="6" t="str">
        <f>"陈泽奋"</f>
        <v>陈泽奋</v>
      </c>
      <c r="E877" s="6" t="str">
        <f>"1991-05-20"</f>
        <v>1991-05-20</v>
      </c>
      <c r="F877" s="6"/>
    </row>
    <row r="878" spans="1:6" ht="30" customHeight="1">
      <c r="A878" s="6">
        <v>876</v>
      </c>
      <c r="B878" s="6" t="str">
        <f>"2728202011222246541272"</f>
        <v>2728202011222246541272</v>
      </c>
      <c r="C878" s="6" t="s">
        <v>7</v>
      </c>
      <c r="D878" s="6" t="str">
        <f>"裴森"</f>
        <v>裴森</v>
      </c>
      <c r="E878" s="6" t="str">
        <f>"1997-12-20"</f>
        <v>1997-12-20</v>
      </c>
      <c r="F878" s="6"/>
    </row>
    <row r="879" spans="1:6" ht="30" customHeight="1">
      <c r="A879" s="6">
        <v>877</v>
      </c>
      <c r="B879" s="6" t="str">
        <f>"2728202011222248161274"</f>
        <v>2728202011222248161274</v>
      </c>
      <c r="C879" s="6" t="s">
        <v>7</v>
      </c>
      <c r="D879" s="6" t="str">
        <f>"简赞泽"</f>
        <v>简赞泽</v>
      </c>
      <c r="E879" s="6" t="str">
        <f>"1997-11-09"</f>
        <v>1997-11-09</v>
      </c>
      <c r="F879" s="6"/>
    </row>
    <row r="880" spans="1:6" ht="30" customHeight="1">
      <c r="A880" s="6">
        <v>878</v>
      </c>
      <c r="B880" s="6" t="str">
        <f>"2728202011222250101275"</f>
        <v>2728202011222250101275</v>
      </c>
      <c r="C880" s="6" t="s">
        <v>7</v>
      </c>
      <c r="D880" s="6" t="str">
        <f>"王宗靖"</f>
        <v>王宗靖</v>
      </c>
      <c r="E880" s="6" t="str">
        <f>"1990-01-23"</f>
        <v>1990-01-23</v>
      </c>
      <c r="F880" s="6"/>
    </row>
    <row r="881" spans="1:6" ht="30" customHeight="1">
      <c r="A881" s="6">
        <v>879</v>
      </c>
      <c r="B881" s="6" t="str">
        <f>"2728202011222302251276"</f>
        <v>2728202011222302251276</v>
      </c>
      <c r="C881" s="6" t="s">
        <v>7</v>
      </c>
      <c r="D881" s="6" t="str">
        <f>"曾少霞"</f>
        <v>曾少霞</v>
      </c>
      <c r="E881" s="6" t="str">
        <f>"1996-01-27"</f>
        <v>1996-01-27</v>
      </c>
      <c r="F881" s="6"/>
    </row>
    <row r="882" spans="1:6" ht="30" customHeight="1">
      <c r="A882" s="6">
        <v>880</v>
      </c>
      <c r="B882" s="6" t="str">
        <f>"2728202011222302301277"</f>
        <v>2728202011222302301277</v>
      </c>
      <c r="C882" s="6" t="s">
        <v>7</v>
      </c>
      <c r="D882" s="6" t="str">
        <f>"陈永帅"</f>
        <v>陈永帅</v>
      </c>
      <c r="E882" s="6" t="str">
        <f>"1996-04-05"</f>
        <v>1996-04-05</v>
      </c>
      <c r="F882" s="6"/>
    </row>
    <row r="883" spans="1:6" ht="30" customHeight="1">
      <c r="A883" s="6">
        <v>881</v>
      </c>
      <c r="B883" s="6" t="str">
        <f>"2728202011222327441281"</f>
        <v>2728202011222327441281</v>
      </c>
      <c r="C883" s="6" t="s">
        <v>7</v>
      </c>
      <c r="D883" s="6" t="str">
        <f>"吕新超"</f>
        <v>吕新超</v>
      </c>
      <c r="E883" s="6" t="str">
        <f>"1986-07-17"</f>
        <v>1986-07-17</v>
      </c>
      <c r="F883" s="6"/>
    </row>
    <row r="884" spans="1:6" ht="30" customHeight="1">
      <c r="A884" s="6">
        <v>882</v>
      </c>
      <c r="B884" s="6" t="str">
        <f>"2728202011222328321282"</f>
        <v>2728202011222328321282</v>
      </c>
      <c r="C884" s="6" t="s">
        <v>7</v>
      </c>
      <c r="D884" s="6" t="str">
        <f>"梁玉"</f>
        <v>梁玉</v>
      </c>
      <c r="E884" s="6" t="str">
        <f>"1998-10-22"</f>
        <v>1998-10-22</v>
      </c>
      <c r="F884" s="6"/>
    </row>
    <row r="885" spans="1:6" ht="30" customHeight="1">
      <c r="A885" s="6">
        <v>883</v>
      </c>
      <c r="B885" s="6" t="str">
        <f>"2728202011222331061283"</f>
        <v>2728202011222331061283</v>
      </c>
      <c r="C885" s="6" t="s">
        <v>7</v>
      </c>
      <c r="D885" s="6" t="str">
        <f>"羊志膺"</f>
        <v>羊志膺</v>
      </c>
      <c r="E885" s="6" t="str">
        <f>"1995-08-19"</f>
        <v>1995-08-19</v>
      </c>
      <c r="F885" s="6"/>
    </row>
    <row r="886" spans="1:6" ht="30" customHeight="1">
      <c r="A886" s="6">
        <v>884</v>
      </c>
      <c r="B886" s="6" t="str">
        <f>"2728202011222335561284"</f>
        <v>2728202011222335561284</v>
      </c>
      <c r="C886" s="6" t="s">
        <v>7</v>
      </c>
      <c r="D886" s="6" t="str">
        <f>"李青炎"</f>
        <v>李青炎</v>
      </c>
      <c r="E886" s="6" t="str">
        <f>"1997-04-15"</f>
        <v>1997-04-15</v>
      </c>
      <c r="F886" s="6"/>
    </row>
    <row r="887" spans="1:6" ht="30" customHeight="1">
      <c r="A887" s="6">
        <v>885</v>
      </c>
      <c r="B887" s="6" t="str">
        <f>"2728202011222342491285"</f>
        <v>2728202011222342491285</v>
      </c>
      <c r="C887" s="6" t="s">
        <v>7</v>
      </c>
      <c r="D887" s="6" t="str">
        <f>"林琳琅"</f>
        <v>林琳琅</v>
      </c>
      <c r="E887" s="6" t="str">
        <f>"1997-06-15"</f>
        <v>1997-06-15</v>
      </c>
      <c r="F887" s="6"/>
    </row>
    <row r="888" spans="1:6" ht="30" customHeight="1">
      <c r="A888" s="6">
        <v>886</v>
      </c>
      <c r="B888" s="6" t="str">
        <f>"2728202011222345541286"</f>
        <v>2728202011222345541286</v>
      </c>
      <c r="C888" s="6" t="s">
        <v>7</v>
      </c>
      <c r="D888" s="6" t="str">
        <f>" 吴彩惠"</f>
        <v> 吴彩惠</v>
      </c>
      <c r="E888" s="6" t="str">
        <f>"1998-09-11"</f>
        <v>1998-09-11</v>
      </c>
      <c r="F888" s="6"/>
    </row>
    <row r="889" spans="1:6" ht="30" customHeight="1">
      <c r="A889" s="6">
        <v>887</v>
      </c>
      <c r="B889" s="6" t="str">
        <f>"2728202011222349011287"</f>
        <v>2728202011222349011287</v>
      </c>
      <c r="C889" s="6" t="s">
        <v>7</v>
      </c>
      <c r="D889" s="6" t="str">
        <f>"潘晓琳"</f>
        <v>潘晓琳</v>
      </c>
      <c r="E889" s="6" t="str">
        <f>"1992-07-26"</f>
        <v>1992-07-26</v>
      </c>
      <c r="F889" s="6"/>
    </row>
    <row r="890" spans="1:6" ht="30" customHeight="1">
      <c r="A890" s="6">
        <v>888</v>
      </c>
      <c r="B890" s="6" t="str">
        <f>"2728202011222349211288"</f>
        <v>2728202011222349211288</v>
      </c>
      <c r="C890" s="6" t="s">
        <v>7</v>
      </c>
      <c r="D890" s="6" t="str">
        <f>"陈凯"</f>
        <v>陈凯</v>
      </c>
      <c r="E890" s="6" t="str">
        <f>"1997-02-05"</f>
        <v>1997-02-05</v>
      </c>
      <c r="F890" s="6"/>
    </row>
    <row r="891" spans="1:6" ht="30" customHeight="1">
      <c r="A891" s="6">
        <v>889</v>
      </c>
      <c r="B891" s="6" t="str">
        <f>"2728202011222351271289"</f>
        <v>2728202011222351271289</v>
      </c>
      <c r="C891" s="6" t="s">
        <v>7</v>
      </c>
      <c r="D891" s="6" t="str">
        <f>"杨冬雪"</f>
        <v>杨冬雪</v>
      </c>
      <c r="E891" s="6" t="str">
        <f>"1993-05-22"</f>
        <v>1993-05-22</v>
      </c>
      <c r="F891" s="6"/>
    </row>
    <row r="892" spans="1:6" ht="30" customHeight="1">
      <c r="A892" s="6">
        <v>890</v>
      </c>
      <c r="B892" s="6" t="str">
        <f>"2728202011222354371290"</f>
        <v>2728202011222354371290</v>
      </c>
      <c r="C892" s="6" t="s">
        <v>7</v>
      </c>
      <c r="D892" s="6" t="str">
        <f>"郭青桂"</f>
        <v>郭青桂</v>
      </c>
      <c r="E892" s="6" t="str">
        <f>"1997-06-14"</f>
        <v>1997-06-14</v>
      </c>
      <c r="F892" s="6"/>
    </row>
    <row r="893" spans="1:6" ht="30" customHeight="1">
      <c r="A893" s="6">
        <v>891</v>
      </c>
      <c r="B893" s="6" t="str">
        <f>"2728202011222357121291"</f>
        <v>2728202011222357121291</v>
      </c>
      <c r="C893" s="6" t="s">
        <v>7</v>
      </c>
      <c r="D893" s="6" t="str">
        <f>"周彩今"</f>
        <v>周彩今</v>
      </c>
      <c r="E893" s="6" t="str">
        <f>"1993-11-29"</f>
        <v>1993-11-29</v>
      </c>
      <c r="F893" s="6"/>
    </row>
    <row r="894" spans="1:6" ht="30" customHeight="1">
      <c r="A894" s="6">
        <v>892</v>
      </c>
      <c r="B894" s="6" t="str">
        <f>"2728202011222357451292"</f>
        <v>2728202011222357451292</v>
      </c>
      <c r="C894" s="6" t="s">
        <v>7</v>
      </c>
      <c r="D894" s="6" t="str">
        <f>"林嗣丽"</f>
        <v>林嗣丽</v>
      </c>
      <c r="E894" s="6" t="str">
        <f>"1995-11-02"</f>
        <v>1995-11-02</v>
      </c>
      <c r="F894" s="6"/>
    </row>
    <row r="895" spans="1:6" ht="30" customHeight="1">
      <c r="A895" s="6">
        <v>893</v>
      </c>
      <c r="B895" s="6" t="str">
        <f>"2728202011230009061294"</f>
        <v>2728202011230009061294</v>
      </c>
      <c r="C895" s="6" t="s">
        <v>7</v>
      </c>
      <c r="D895" s="6" t="str">
        <f>"王凡"</f>
        <v>王凡</v>
      </c>
      <c r="E895" s="6" t="str">
        <f>"1992-08-15"</f>
        <v>1992-08-15</v>
      </c>
      <c r="F895" s="6"/>
    </row>
    <row r="896" spans="1:6" ht="30" customHeight="1">
      <c r="A896" s="6">
        <v>894</v>
      </c>
      <c r="B896" s="6" t="str">
        <f>"2728202011230015561295"</f>
        <v>2728202011230015561295</v>
      </c>
      <c r="C896" s="6" t="s">
        <v>7</v>
      </c>
      <c r="D896" s="6" t="str">
        <f>"刘忠洋"</f>
        <v>刘忠洋</v>
      </c>
      <c r="E896" s="6" t="str">
        <f>"1998-04-10"</f>
        <v>1998-04-10</v>
      </c>
      <c r="F896" s="6"/>
    </row>
    <row r="897" spans="1:6" ht="30" customHeight="1">
      <c r="A897" s="6">
        <v>895</v>
      </c>
      <c r="B897" s="6" t="str">
        <f>"2728202011230017521297"</f>
        <v>2728202011230017521297</v>
      </c>
      <c r="C897" s="6" t="s">
        <v>7</v>
      </c>
      <c r="D897" s="6" t="str">
        <f>"王雪娜"</f>
        <v>王雪娜</v>
      </c>
      <c r="E897" s="6" t="str">
        <f>"1997-07-28"</f>
        <v>1997-07-28</v>
      </c>
      <c r="F897" s="6"/>
    </row>
    <row r="898" spans="1:6" ht="30" customHeight="1">
      <c r="A898" s="6">
        <v>896</v>
      </c>
      <c r="B898" s="6" t="str">
        <f>"2728202011230018571298"</f>
        <v>2728202011230018571298</v>
      </c>
      <c r="C898" s="6" t="s">
        <v>7</v>
      </c>
      <c r="D898" s="6" t="str">
        <f>"姚沫"</f>
        <v>姚沫</v>
      </c>
      <c r="E898" s="6" t="str">
        <f>"1998-03-31"</f>
        <v>1998-03-31</v>
      </c>
      <c r="F898" s="6"/>
    </row>
    <row r="899" spans="1:6" ht="30" customHeight="1">
      <c r="A899" s="6">
        <v>897</v>
      </c>
      <c r="B899" s="6" t="str">
        <f>"2728202011230019151299"</f>
        <v>2728202011230019151299</v>
      </c>
      <c r="C899" s="6" t="s">
        <v>7</v>
      </c>
      <c r="D899" s="6" t="str">
        <f>"杨育矫"</f>
        <v>杨育矫</v>
      </c>
      <c r="E899" s="6" t="str">
        <f>"1998-10-06"</f>
        <v>1998-10-06</v>
      </c>
      <c r="F899" s="6"/>
    </row>
    <row r="900" spans="1:6" ht="30" customHeight="1">
      <c r="A900" s="6">
        <v>898</v>
      </c>
      <c r="B900" s="6" t="str">
        <f>"2728202011230025151301"</f>
        <v>2728202011230025151301</v>
      </c>
      <c r="C900" s="6" t="s">
        <v>7</v>
      </c>
      <c r="D900" s="6" t="str">
        <f>"王琪"</f>
        <v>王琪</v>
      </c>
      <c r="E900" s="6" t="str">
        <f>"1996-11-02"</f>
        <v>1996-11-02</v>
      </c>
      <c r="F900" s="6"/>
    </row>
    <row r="901" spans="1:6" ht="30" customHeight="1">
      <c r="A901" s="6">
        <v>899</v>
      </c>
      <c r="B901" s="6" t="str">
        <f>"2728202011230044341303"</f>
        <v>2728202011230044341303</v>
      </c>
      <c r="C901" s="6" t="s">
        <v>7</v>
      </c>
      <c r="D901" s="6" t="str">
        <f>"李海燕"</f>
        <v>李海燕</v>
      </c>
      <c r="E901" s="6" t="str">
        <f>"1999-01-05"</f>
        <v>1999-01-05</v>
      </c>
      <c r="F901" s="6"/>
    </row>
    <row r="902" spans="1:6" ht="30" customHeight="1">
      <c r="A902" s="6">
        <v>900</v>
      </c>
      <c r="B902" s="6" t="str">
        <f>"2728202011230113541306"</f>
        <v>2728202011230113541306</v>
      </c>
      <c r="C902" s="6" t="s">
        <v>7</v>
      </c>
      <c r="D902" s="6" t="str">
        <f>"林虹"</f>
        <v>林虹</v>
      </c>
      <c r="E902" s="6" t="str">
        <f>"1988-01-20"</f>
        <v>1988-01-20</v>
      </c>
      <c r="F902" s="6"/>
    </row>
    <row r="903" spans="1:6" ht="30" customHeight="1">
      <c r="A903" s="6">
        <v>901</v>
      </c>
      <c r="B903" s="6" t="str">
        <f>"2728202011230537551309"</f>
        <v>2728202011230537551309</v>
      </c>
      <c r="C903" s="6" t="s">
        <v>7</v>
      </c>
      <c r="D903" s="6" t="str">
        <f>"许彩玲"</f>
        <v>许彩玲</v>
      </c>
      <c r="E903" s="6" t="str">
        <f>"1995-12-13"</f>
        <v>1995-12-13</v>
      </c>
      <c r="F903" s="6"/>
    </row>
    <row r="904" spans="1:6" ht="30" customHeight="1">
      <c r="A904" s="6">
        <v>902</v>
      </c>
      <c r="B904" s="6" t="str">
        <f>"2728202011230733221311"</f>
        <v>2728202011230733221311</v>
      </c>
      <c r="C904" s="6" t="s">
        <v>7</v>
      </c>
      <c r="D904" s="6" t="str">
        <f>"陈赞博"</f>
        <v>陈赞博</v>
      </c>
      <c r="E904" s="6" t="str">
        <f>"1994-11-05"</f>
        <v>1994-11-05</v>
      </c>
      <c r="F904" s="6"/>
    </row>
    <row r="905" spans="1:6" ht="30" customHeight="1">
      <c r="A905" s="6">
        <v>903</v>
      </c>
      <c r="B905" s="6" t="str">
        <f>"2728202011230757131312"</f>
        <v>2728202011230757131312</v>
      </c>
      <c r="C905" s="6" t="s">
        <v>7</v>
      </c>
      <c r="D905" s="6" t="str">
        <f>"陈植娥"</f>
        <v>陈植娥</v>
      </c>
      <c r="E905" s="6" t="str">
        <f>"1991-07-26"</f>
        <v>1991-07-26</v>
      </c>
      <c r="F905" s="6"/>
    </row>
    <row r="906" spans="1:6" ht="30" customHeight="1">
      <c r="A906" s="6">
        <v>904</v>
      </c>
      <c r="B906" s="6" t="str">
        <f>"2728202011230805481314"</f>
        <v>2728202011230805481314</v>
      </c>
      <c r="C906" s="6" t="s">
        <v>7</v>
      </c>
      <c r="D906" s="6" t="str">
        <f>"林明帅"</f>
        <v>林明帅</v>
      </c>
      <c r="E906" s="6" t="str">
        <f>"1997-08-02"</f>
        <v>1997-08-02</v>
      </c>
      <c r="F906" s="6"/>
    </row>
    <row r="907" spans="1:6" ht="30" customHeight="1">
      <c r="A907" s="6">
        <v>905</v>
      </c>
      <c r="B907" s="6" t="str">
        <f>"2728202011230810371316"</f>
        <v>2728202011230810371316</v>
      </c>
      <c r="C907" s="6" t="s">
        <v>7</v>
      </c>
      <c r="D907" s="6" t="str">
        <f>"羊大寅"</f>
        <v>羊大寅</v>
      </c>
      <c r="E907" s="6" t="str">
        <f>"1998-02-19"</f>
        <v>1998-02-19</v>
      </c>
      <c r="F907" s="6"/>
    </row>
    <row r="908" spans="1:6" ht="30" customHeight="1">
      <c r="A908" s="6">
        <v>906</v>
      </c>
      <c r="B908" s="6" t="str">
        <f>"2728202011230827061318"</f>
        <v>2728202011230827061318</v>
      </c>
      <c r="C908" s="6" t="s">
        <v>7</v>
      </c>
      <c r="D908" s="6" t="str">
        <f>"陈俊源"</f>
        <v>陈俊源</v>
      </c>
      <c r="E908" s="6" t="str">
        <f>"1987-11-05"</f>
        <v>1987-11-05</v>
      </c>
      <c r="F908" s="6"/>
    </row>
    <row r="909" spans="1:6" ht="30" customHeight="1">
      <c r="A909" s="6">
        <v>907</v>
      </c>
      <c r="B909" s="6" t="str">
        <f>"2728202011230830321319"</f>
        <v>2728202011230830321319</v>
      </c>
      <c r="C909" s="6" t="s">
        <v>7</v>
      </c>
      <c r="D909" s="6" t="str">
        <f>"黎先爱"</f>
        <v>黎先爱</v>
      </c>
      <c r="E909" s="6" t="str">
        <f>"1998-10-18"</f>
        <v>1998-10-18</v>
      </c>
      <c r="F909" s="6"/>
    </row>
    <row r="910" spans="1:6" ht="30" customHeight="1">
      <c r="A910" s="6">
        <v>908</v>
      </c>
      <c r="B910" s="6" t="str">
        <f>"2728202011230843511323"</f>
        <v>2728202011230843511323</v>
      </c>
      <c r="C910" s="6" t="s">
        <v>7</v>
      </c>
      <c r="D910" s="6" t="str">
        <f>"吴天光"</f>
        <v>吴天光</v>
      </c>
      <c r="E910" s="6" t="str">
        <f>"1992-06-14"</f>
        <v>1992-06-14</v>
      </c>
      <c r="F910" s="6"/>
    </row>
    <row r="911" spans="1:6" ht="30" customHeight="1">
      <c r="A911" s="6">
        <v>909</v>
      </c>
      <c r="B911" s="6" t="str">
        <f>"2728202011230848521326"</f>
        <v>2728202011230848521326</v>
      </c>
      <c r="C911" s="6" t="s">
        <v>7</v>
      </c>
      <c r="D911" s="6" t="str">
        <f>"叶宣彤"</f>
        <v>叶宣彤</v>
      </c>
      <c r="E911" s="6" t="str">
        <f>"1998-04-25"</f>
        <v>1998-04-25</v>
      </c>
      <c r="F911" s="6"/>
    </row>
    <row r="912" spans="1:6" ht="30" customHeight="1">
      <c r="A912" s="6">
        <v>910</v>
      </c>
      <c r="B912" s="6" t="str">
        <f>"2728202011230850461327"</f>
        <v>2728202011230850461327</v>
      </c>
      <c r="C912" s="6" t="s">
        <v>7</v>
      </c>
      <c r="D912" s="6" t="str">
        <f>"孙昌巧"</f>
        <v>孙昌巧</v>
      </c>
      <c r="E912" s="6" t="str">
        <f>"1995-08-04"</f>
        <v>1995-08-04</v>
      </c>
      <c r="F912" s="6"/>
    </row>
    <row r="913" spans="1:6" ht="30" customHeight="1">
      <c r="A913" s="6">
        <v>911</v>
      </c>
      <c r="B913" s="6" t="str">
        <f>"2728202011230853021329"</f>
        <v>2728202011230853021329</v>
      </c>
      <c r="C913" s="6" t="s">
        <v>7</v>
      </c>
      <c r="D913" s="6" t="str">
        <f>"郑圣娟"</f>
        <v>郑圣娟</v>
      </c>
      <c r="E913" s="6" t="str">
        <f>"1994-12-19"</f>
        <v>1994-12-19</v>
      </c>
      <c r="F913" s="6"/>
    </row>
    <row r="914" spans="1:6" ht="30" customHeight="1">
      <c r="A914" s="6">
        <v>912</v>
      </c>
      <c r="B914" s="6" t="str">
        <f>"2728202011230853551330"</f>
        <v>2728202011230853551330</v>
      </c>
      <c r="C914" s="6" t="s">
        <v>7</v>
      </c>
      <c r="D914" s="6" t="str">
        <f>"邓小兰"</f>
        <v>邓小兰</v>
      </c>
      <c r="E914" s="6" t="str">
        <f>"1996-09-24"</f>
        <v>1996-09-24</v>
      </c>
      <c r="F914" s="6"/>
    </row>
    <row r="915" spans="1:6" ht="30" customHeight="1">
      <c r="A915" s="6">
        <v>913</v>
      </c>
      <c r="B915" s="6" t="str">
        <f>"2728202011230857511332"</f>
        <v>2728202011230857511332</v>
      </c>
      <c r="C915" s="6" t="s">
        <v>7</v>
      </c>
      <c r="D915" s="6" t="str">
        <f>"石晶"</f>
        <v>石晶</v>
      </c>
      <c r="E915" s="6" t="str">
        <f>"1995-02-23"</f>
        <v>1995-02-23</v>
      </c>
      <c r="F915" s="6"/>
    </row>
    <row r="916" spans="1:6" ht="30" customHeight="1">
      <c r="A916" s="6">
        <v>914</v>
      </c>
      <c r="B916" s="6" t="str">
        <f>"2728202011230858391333"</f>
        <v>2728202011230858391333</v>
      </c>
      <c r="C916" s="6" t="s">
        <v>7</v>
      </c>
      <c r="D916" s="6" t="str">
        <f>"何小娜"</f>
        <v>何小娜</v>
      </c>
      <c r="E916" s="6" t="str">
        <f>"1997-08-15"</f>
        <v>1997-08-15</v>
      </c>
      <c r="F916" s="6"/>
    </row>
    <row r="917" spans="1:6" ht="30" customHeight="1">
      <c r="A917" s="6">
        <v>915</v>
      </c>
      <c r="B917" s="6" t="str">
        <f>"2728202011230900021334"</f>
        <v>2728202011230900021334</v>
      </c>
      <c r="C917" s="6" t="s">
        <v>7</v>
      </c>
      <c r="D917" s="6" t="str">
        <f>"李哈"</f>
        <v>李哈</v>
      </c>
      <c r="E917" s="6" t="str">
        <f>"1993-07-07"</f>
        <v>1993-07-07</v>
      </c>
      <c r="F917" s="6"/>
    </row>
    <row r="918" spans="1:6" ht="30" customHeight="1">
      <c r="A918" s="6">
        <v>916</v>
      </c>
      <c r="B918" s="6" t="str">
        <f>"2728202011230902491335"</f>
        <v>2728202011230902491335</v>
      </c>
      <c r="C918" s="6" t="s">
        <v>7</v>
      </c>
      <c r="D918" s="6" t="str">
        <f>"莫翠妃"</f>
        <v>莫翠妃</v>
      </c>
      <c r="E918" s="6" t="str">
        <f>"1998-12-23"</f>
        <v>1998-12-23</v>
      </c>
      <c r="F918" s="6"/>
    </row>
    <row r="919" spans="1:6" ht="30" customHeight="1">
      <c r="A919" s="6">
        <v>917</v>
      </c>
      <c r="B919" s="6" t="str">
        <f>"2728202011230902561336"</f>
        <v>2728202011230902561336</v>
      </c>
      <c r="C919" s="6" t="s">
        <v>7</v>
      </c>
      <c r="D919" s="6" t="str">
        <f>"王家华"</f>
        <v>王家华</v>
      </c>
      <c r="E919" s="6" t="str">
        <f>"1995-02-18"</f>
        <v>1995-02-18</v>
      </c>
      <c r="F919" s="6"/>
    </row>
    <row r="920" spans="1:6" ht="30" customHeight="1">
      <c r="A920" s="6">
        <v>918</v>
      </c>
      <c r="B920" s="6" t="str">
        <f>"2728202011230904391337"</f>
        <v>2728202011230904391337</v>
      </c>
      <c r="C920" s="6" t="s">
        <v>7</v>
      </c>
      <c r="D920" s="6" t="str">
        <f>"黄泽禄"</f>
        <v>黄泽禄</v>
      </c>
      <c r="E920" s="6" t="str">
        <f>"1996-02-18"</f>
        <v>1996-02-18</v>
      </c>
      <c r="F920" s="6"/>
    </row>
    <row r="921" spans="1:6" ht="30" customHeight="1">
      <c r="A921" s="6">
        <v>919</v>
      </c>
      <c r="B921" s="6" t="str">
        <f>"2728202011230907201338"</f>
        <v>2728202011230907201338</v>
      </c>
      <c r="C921" s="6" t="s">
        <v>7</v>
      </c>
      <c r="D921" s="6" t="str">
        <f>"曾其赀"</f>
        <v>曾其赀</v>
      </c>
      <c r="E921" s="6" t="str">
        <f>"1991-06-02"</f>
        <v>1991-06-02</v>
      </c>
      <c r="F921" s="6"/>
    </row>
    <row r="922" spans="1:6" ht="30" customHeight="1">
      <c r="A922" s="6">
        <v>920</v>
      </c>
      <c r="B922" s="6" t="str">
        <f>"2728202011230907321339"</f>
        <v>2728202011230907321339</v>
      </c>
      <c r="C922" s="6" t="s">
        <v>7</v>
      </c>
      <c r="D922" s="6" t="str">
        <f>"陈仁军"</f>
        <v>陈仁军</v>
      </c>
      <c r="E922" s="6" t="str">
        <f>"1997-08-02"</f>
        <v>1997-08-02</v>
      </c>
      <c r="F922" s="6"/>
    </row>
    <row r="923" spans="1:6" ht="30" customHeight="1">
      <c r="A923" s="6">
        <v>921</v>
      </c>
      <c r="B923" s="6" t="str">
        <f>"2728202011230907521340"</f>
        <v>2728202011230907521340</v>
      </c>
      <c r="C923" s="6" t="s">
        <v>7</v>
      </c>
      <c r="D923" s="6" t="str">
        <f>"王艺谚"</f>
        <v>王艺谚</v>
      </c>
      <c r="E923" s="6" t="str">
        <f>"1997-06-10"</f>
        <v>1997-06-10</v>
      </c>
      <c r="F923" s="6"/>
    </row>
    <row r="924" spans="1:6" ht="30" customHeight="1">
      <c r="A924" s="6">
        <v>922</v>
      </c>
      <c r="B924" s="6" t="str">
        <f>"2728202011230909181341"</f>
        <v>2728202011230909181341</v>
      </c>
      <c r="C924" s="6" t="s">
        <v>7</v>
      </c>
      <c r="D924" s="6" t="str">
        <f>"吴松霖"</f>
        <v>吴松霖</v>
      </c>
      <c r="E924" s="6" t="str">
        <f>"1995-10-31"</f>
        <v>1995-10-31</v>
      </c>
      <c r="F924" s="6"/>
    </row>
    <row r="925" spans="1:6" ht="30" customHeight="1">
      <c r="A925" s="6">
        <v>923</v>
      </c>
      <c r="B925" s="6" t="str">
        <f>"2728202011230909481342"</f>
        <v>2728202011230909481342</v>
      </c>
      <c r="C925" s="6" t="s">
        <v>7</v>
      </c>
      <c r="D925" s="6" t="str">
        <f>"林进"</f>
        <v>林进</v>
      </c>
      <c r="E925" s="6" t="str">
        <f>"1992-07-14"</f>
        <v>1992-07-14</v>
      </c>
      <c r="F925" s="6"/>
    </row>
    <row r="926" spans="1:6" ht="30" customHeight="1">
      <c r="A926" s="6">
        <v>924</v>
      </c>
      <c r="B926" s="6" t="str">
        <f>"2728202011230912351344"</f>
        <v>2728202011230912351344</v>
      </c>
      <c r="C926" s="6" t="s">
        <v>7</v>
      </c>
      <c r="D926" s="6" t="str">
        <f>"乔泽方"</f>
        <v>乔泽方</v>
      </c>
      <c r="E926" s="6" t="str">
        <f>"1998-10-12"</f>
        <v>1998-10-12</v>
      </c>
      <c r="F926" s="6"/>
    </row>
    <row r="927" spans="1:6" ht="30" customHeight="1">
      <c r="A927" s="6">
        <v>925</v>
      </c>
      <c r="B927" s="6" t="str">
        <f>"2728202011230922041347"</f>
        <v>2728202011230922041347</v>
      </c>
      <c r="C927" s="6" t="s">
        <v>7</v>
      </c>
      <c r="D927" s="6" t="str">
        <f>"彭婷"</f>
        <v>彭婷</v>
      </c>
      <c r="E927" s="6" t="str">
        <f>"1988-08-16"</f>
        <v>1988-08-16</v>
      </c>
      <c r="F927" s="6"/>
    </row>
    <row r="928" spans="1:6" ht="30" customHeight="1">
      <c r="A928" s="6">
        <v>926</v>
      </c>
      <c r="B928" s="6" t="str">
        <f>"2728202011230923291348"</f>
        <v>2728202011230923291348</v>
      </c>
      <c r="C928" s="6" t="s">
        <v>7</v>
      </c>
      <c r="D928" s="6" t="str">
        <f>"霍聪"</f>
        <v>霍聪</v>
      </c>
      <c r="E928" s="6" t="str">
        <f>"1998-09-11"</f>
        <v>1998-09-11</v>
      </c>
      <c r="F928" s="6"/>
    </row>
    <row r="929" spans="1:6" ht="30" customHeight="1">
      <c r="A929" s="6">
        <v>927</v>
      </c>
      <c r="B929" s="6" t="str">
        <f>"2728202011230924281350"</f>
        <v>2728202011230924281350</v>
      </c>
      <c r="C929" s="6" t="s">
        <v>7</v>
      </c>
      <c r="D929" s="6" t="str">
        <f>"蔡小娜"</f>
        <v>蔡小娜</v>
      </c>
      <c r="E929" s="6" t="str">
        <f>"1994-07-15"</f>
        <v>1994-07-15</v>
      </c>
      <c r="F929" s="6"/>
    </row>
    <row r="930" spans="1:6" ht="30" customHeight="1">
      <c r="A930" s="6">
        <v>928</v>
      </c>
      <c r="B930" s="6" t="str">
        <f>"2728202011230925211351"</f>
        <v>2728202011230925211351</v>
      </c>
      <c r="C930" s="6" t="s">
        <v>7</v>
      </c>
      <c r="D930" s="6" t="str">
        <f>"许学飞"</f>
        <v>许学飞</v>
      </c>
      <c r="E930" s="6" t="str">
        <f>"1988-08-01"</f>
        <v>1988-08-01</v>
      </c>
      <c r="F930" s="6"/>
    </row>
    <row r="931" spans="1:6" ht="30" customHeight="1">
      <c r="A931" s="6">
        <v>929</v>
      </c>
      <c r="B931" s="6" t="str">
        <f>"2728202011230931271352"</f>
        <v>2728202011230931271352</v>
      </c>
      <c r="C931" s="6" t="s">
        <v>7</v>
      </c>
      <c r="D931" s="6" t="str">
        <f>"黎俊宇"</f>
        <v>黎俊宇</v>
      </c>
      <c r="E931" s="6" t="str">
        <f>"1993-04-16"</f>
        <v>1993-04-16</v>
      </c>
      <c r="F931" s="6"/>
    </row>
    <row r="932" spans="1:6" ht="30" customHeight="1">
      <c r="A932" s="6">
        <v>930</v>
      </c>
      <c r="B932" s="6" t="str">
        <f>"2728202011230937281353"</f>
        <v>2728202011230937281353</v>
      </c>
      <c r="C932" s="6" t="s">
        <v>7</v>
      </c>
      <c r="D932" s="6" t="str">
        <f>"王燕舞"</f>
        <v>王燕舞</v>
      </c>
      <c r="E932" s="6" t="str">
        <f>"1995-02-18"</f>
        <v>1995-02-18</v>
      </c>
      <c r="F932" s="6"/>
    </row>
    <row r="933" spans="1:6" ht="30" customHeight="1">
      <c r="A933" s="6">
        <v>931</v>
      </c>
      <c r="B933" s="6" t="str">
        <f>"2728202011230942461357"</f>
        <v>2728202011230942461357</v>
      </c>
      <c r="C933" s="6" t="s">
        <v>7</v>
      </c>
      <c r="D933" s="6" t="str">
        <f>"苏琼珠"</f>
        <v>苏琼珠</v>
      </c>
      <c r="E933" s="6" t="str">
        <f>"1990-11-23"</f>
        <v>1990-11-23</v>
      </c>
      <c r="F933" s="6"/>
    </row>
    <row r="934" spans="1:6" ht="30" customHeight="1">
      <c r="A934" s="6">
        <v>932</v>
      </c>
      <c r="B934" s="6" t="str">
        <f>"2728202011230950161359"</f>
        <v>2728202011230950161359</v>
      </c>
      <c r="C934" s="6" t="s">
        <v>7</v>
      </c>
      <c r="D934" s="6" t="str">
        <f>"符少艳"</f>
        <v>符少艳</v>
      </c>
      <c r="E934" s="6" t="str">
        <f>"1995-11-24"</f>
        <v>1995-11-24</v>
      </c>
      <c r="F934" s="6"/>
    </row>
    <row r="935" spans="1:6" ht="30" customHeight="1">
      <c r="A935" s="6">
        <v>933</v>
      </c>
      <c r="B935" s="6" t="str">
        <f>"2728202011230951011360"</f>
        <v>2728202011230951011360</v>
      </c>
      <c r="C935" s="6" t="s">
        <v>7</v>
      </c>
      <c r="D935" s="6" t="str">
        <f>"陈廷金"</f>
        <v>陈廷金</v>
      </c>
      <c r="E935" s="6" t="str">
        <f>"1996-05-12"</f>
        <v>1996-05-12</v>
      </c>
      <c r="F935" s="6"/>
    </row>
    <row r="936" spans="1:6" ht="30" customHeight="1">
      <c r="A936" s="6">
        <v>934</v>
      </c>
      <c r="B936" s="6" t="str">
        <f>"2728202011230952291362"</f>
        <v>2728202011230952291362</v>
      </c>
      <c r="C936" s="6" t="s">
        <v>7</v>
      </c>
      <c r="D936" s="6" t="str">
        <f>"张海涛"</f>
        <v>张海涛</v>
      </c>
      <c r="E936" s="6" t="str">
        <f>"1992-04-25"</f>
        <v>1992-04-25</v>
      </c>
      <c r="F936" s="6"/>
    </row>
    <row r="937" spans="1:6" ht="30" customHeight="1">
      <c r="A937" s="6">
        <v>935</v>
      </c>
      <c r="B937" s="6" t="str">
        <f>"2728202011230955081363"</f>
        <v>2728202011230955081363</v>
      </c>
      <c r="C937" s="6" t="s">
        <v>7</v>
      </c>
      <c r="D937" s="6" t="str">
        <f>"王人杰"</f>
        <v>王人杰</v>
      </c>
      <c r="E937" s="6" t="str">
        <f>"1987-04-20"</f>
        <v>1987-04-20</v>
      </c>
      <c r="F937" s="6"/>
    </row>
    <row r="938" spans="1:6" ht="30" customHeight="1">
      <c r="A938" s="6">
        <v>936</v>
      </c>
      <c r="B938" s="6" t="str">
        <f>"2728202011231000541366"</f>
        <v>2728202011231000541366</v>
      </c>
      <c r="C938" s="6" t="s">
        <v>7</v>
      </c>
      <c r="D938" s="6" t="str">
        <f>"黄少芳"</f>
        <v>黄少芳</v>
      </c>
      <c r="E938" s="6" t="str">
        <f>"1995-07-20"</f>
        <v>1995-07-20</v>
      </c>
      <c r="F938" s="6"/>
    </row>
    <row r="939" spans="1:6" ht="30" customHeight="1">
      <c r="A939" s="6">
        <v>937</v>
      </c>
      <c r="B939" s="6" t="str">
        <f>"2728202011231008051367"</f>
        <v>2728202011231008051367</v>
      </c>
      <c r="C939" s="6" t="s">
        <v>7</v>
      </c>
      <c r="D939" s="6" t="str">
        <f>"刘长攀"</f>
        <v>刘长攀</v>
      </c>
      <c r="E939" s="6" t="str">
        <f>"1986-10-12"</f>
        <v>1986-10-12</v>
      </c>
      <c r="F939" s="6"/>
    </row>
    <row r="940" spans="1:6" ht="30" customHeight="1">
      <c r="A940" s="6">
        <v>938</v>
      </c>
      <c r="B940" s="6" t="str">
        <f>"2728202011231014101370"</f>
        <v>2728202011231014101370</v>
      </c>
      <c r="C940" s="6" t="s">
        <v>7</v>
      </c>
      <c r="D940" s="6" t="str">
        <f>"郭芬菲"</f>
        <v>郭芬菲</v>
      </c>
      <c r="E940" s="6" t="str">
        <f>"1998-01-05"</f>
        <v>1998-01-05</v>
      </c>
      <c r="F940" s="6"/>
    </row>
    <row r="941" spans="1:6" ht="30" customHeight="1">
      <c r="A941" s="6">
        <v>939</v>
      </c>
      <c r="B941" s="6" t="str">
        <f>"2728202011231014571372"</f>
        <v>2728202011231014571372</v>
      </c>
      <c r="C941" s="6" t="s">
        <v>7</v>
      </c>
      <c r="D941" s="6" t="str">
        <f>"林升敏"</f>
        <v>林升敏</v>
      </c>
      <c r="E941" s="6" t="str">
        <f>"1998-02-24"</f>
        <v>1998-02-24</v>
      </c>
      <c r="F941" s="6"/>
    </row>
    <row r="942" spans="1:6" ht="30" customHeight="1">
      <c r="A942" s="6">
        <v>940</v>
      </c>
      <c r="B942" s="6" t="str">
        <f>"2728202011231015251373"</f>
        <v>2728202011231015251373</v>
      </c>
      <c r="C942" s="6" t="s">
        <v>7</v>
      </c>
      <c r="D942" s="6" t="str">
        <f>"曾海泉"</f>
        <v>曾海泉</v>
      </c>
      <c r="E942" s="6" t="str">
        <f>"1990-03-29"</f>
        <v>1990-03-29</v>
      </c>
      <c r="F942" s="6"/>
    </row>
    <row r="943" spans="1:6" ht="30" customHeight="1">
      <c r="A943" s="6">
        <v>941</v>
      </c>
      <c r="B943" s="6" t="str">
        <f>"2728202011231016341374"</f>
        <v>2728202011231016341374</v>
      </c>
      <c r="C943" s="6" t="s">
        <v>7</v>
      </c>
      <c r="D943" s="6" t="str">
        <f>"卓雅莉"</f>
        <v>卓雅莉</v>
      </c>
      <c r="E943" s="6" t="str">
        <f>"1994-05-16"</f>
        <v>1994-05-16</v>
      </c>
      <c r="F943" s="6"/>
    </row>
    <row r="944" spans="1:6" ht="30" customHeight="1">
      <c r="A944" s="6">
        <v>942</v>
      </c>
      <c r="B944" s="6" t="str">
        <f>"2728202011231019531376"</f>
        <v>2728202011231019531376</v>
      </c>
      <c r="C944" s="6" t="s">
        <v>7</v>
      </c>
      <c r="D944" s="6" t="str">
        <f>"吴棉"</f>
        <v>吴棉</v>
      </c>
      <c r="E944" s="6" t="str">
        <f>"1993-06-20"</f>
        <v>1993-06-20</v>
      </c>
      <c r="F944" s="6"/>
    </row>
    <row r="945" spans="1:6" ht="30" customHeight="1">
      <c r="A945" s="6">
        <v>943</v>
      </c>
      <c r="B945" s="6" t="str">
        <f>"2728202011231024261377"</f>
        <v>2728202011231024261377</v>
      </c>
      <c r="C945" s="6" t="s">
        <v>7</v>
      </c>
      <c r="D945" s="6" t="str">
        <f>"胡其鸿"</f>
        <v>胡其鸿</v>
      </c>
      <c r="E945" s="6" t="str">
        <f>"1997-05-13"</f>
        <v>1997-05-13</v>
      </c>
      <c r="F945" s="6"/>
    </row>
    <row r="946" spans="1:6" ht="30" customHeight="1">
      <c r="A946" s="6">
        <v>944</v>
      </c>
      <c r="B946" s="6" t="str">
        <f>"2728202011231025561379"</f>
        <v>2728202011231025561379</v>
      </c>
      <c r="C946" s="6" t="s">
        <v>7</v>
      </c>
      <c r="D946" s="6" t="str">
        <f>"王路文"</f>
        <v>王路文</v>
      </c>
      <c r="E946" s="6" t="str">
        <f>"1994-05-10"</f>
        <v>1994-05-10</v>
      </c>
      <c r="F946" s="6"/>
    </row>
    <row r="947" spans="1:6" ht="30" customHeight="1">
      <c r="A947" s="6">
        <v>945</v>
      </c>
      <c r="B947" s="6" t="str">
        <f>"2728202011231031511382"</f>
        <v>2728202011231031511382</v>
      </c>
      <c r="C947" s="6" t="s">
        <v>7</v>
      </c>
      <c r="D947" s="6" t="str">
        <f>"陈益晟"</f>
        <v>陈益晟</v>
      </c>
      <c r="E947" s="6" t="str">
        <f>"1995-08-09"</f>
        <v>1995-08-09</v>
      </c>
      <c r="F947" s="6"/>
    </row>
    <row r="948" spans="1:6" ht="30" customHeight="1">
      <c r="A948" s="6">
        <v>946</v>
      </c>
      <c r="B948" s="6" t="str">
        <f>"2728202011231033181383"</f>
        <v>2728202011231033181383</v>
      </c>
      <c r="C948" s="6" t="s">
        <v>7</v>
      </c>
      <c r="D948" s="6" t="str">
        <f>"钟佳倩"</f>
        <v>钟佳倩</v>
      </c>
      <c r="E948" s="6" t="str">
        <f>"1995-01-19"</f>
        <v>1995-01-19</v>
      </c>
      <c r="F948" s="6"/>
    </row>
    <row r="949" spans="1:6" ht="30" customHeight="1">
      <c r="A949" s="6">
        <v>947</v>
      </c>
      <c r="B949" s="6" t="str">
        <f>"2728202011231035291384"</f>
        <v>2728202011231035291384</v>
      </c>
      <c r="C949" s="6" t="s">
        <v>7</v>
      </c>
      <c r="D949" s="6" t="str">
        <f>"杨程"</f>
        <v>杨程</v>
      </c>
      <c r="E949" s="6" t="str">
        <f>"1991-12-01"</f>
        <v>1991-12-01</v>
      </c>
      <c r="F949" s="6"/>
    </row>
    <row r="950" spans="1:6" ht="30" customHeight="1">
      <c r="A950" s="6">
        <v>948</v>
      </c>
      <c r="B950" s="6" t="str">
        <f>"2728202011231035451385"</f>
        <v>2728202011231035451385</v>
      </c>
      <c r="C950" s="6" t="s">
        <v>7</v>
      </c>
      <c r="D950" s="6" t="str">
        <f>"潘浪桃"</f>
        <v>潘浪桃</v>
      </c>
      <c r="E950" s="6" t="str">
        <f>"1997-03-20"</f>
        <v>1997-03-20</v>
      </c>
      <c r="F950" s="6"/>
    </row>
    <row r="951" spans="1:6" ht="30" customHeight="1">
      <c r="A951" s="6">
        <v>949</v>
      </c>
      <c r="B951" s="6" t="str">
        <f>"2728202011231038351386"</f>
        <v>2728202011231038351386</v>
      </c>
      <c r="C951" s="6" t="s">
        <v>7</v>
      </c>
      <c r="D951" s="6" t="str">
        <f>"周小渝"</f>
        <v>周小渝</v>
      </c>
      <c r="E951" s="6" t="str">
        <f>"1994-09-11"</f>
        <v>1994-09-11</v>
      </c>
      <c r="F951" s="6"/>
    </row>
    <row r="952" spans="1:6" ht="30" customHeight="1">
      <c r="A952" s="6">
        <v>950</v>
      </c>
      <c r="B952" s="6" t="str">
        <f>"2728202011231039381387"</f>
        <v>2728202011231039381387</v>
      </c>
      <c r="C952" s="6" t="s">
        <v>7</v>
      </c>
      <c r="D952" s="6" t="str">
        <f>"陈凤珠"</f>
        <v>陈凤珠</v>
      </c>
      <c r="E952" s="6" t="str">
        <f>"1995-07-17"</f>
        <v>1995-07-17</v>
      </c>
      <c r="F952" s="6"/>
    </row>
    <row r="953" spans="1:6" ht="30" customHeight="1">
      <c r="A953" s="6">
        <v>951</v>
      </c>
      <c r="B953" s="6" t="str">
        <f>"2728202011231050121390"</f>
        <v>2728202011231050121390</v>
      </c>
      <c r="C953" s="6" t="s">
        <v>7</v>
      </c>
      <c r="D953" s="6" t="str">
        <f>"董慧萍"</f>
        <v>董慧萍</v>
      </c>
      <c r="E953" s="6" t="str">
        <f>"1993-03-12"</f>
        <v>1993-03-12</v>
      </c>
      <c r="F953" s="6"/>
    </row>
    <row r="954" spans="1:6" ht="30" customHeight="1">
      <c r="A954" s="6">
        <v>952</v>
      </c>
      <c r="B954" s="6" t="str">
        <f>"2728202011231051501391"</f>
        <v>2728202011231051501391</v>
      </c>
      <c r="C954" s="6" t="s">
        <v>7</v>
      </c>
      <c r="D954" s="6" t="str">
        <f>"李道健"</f>
        <v>李道健</v>
      </c>
      <c r="E954" s="6" t="str">
        <f>"1997-05-22"</f>
        <v>1997-05-22</v>
      </c>
      <c r="F954" s="6"/>
    </row>
    <row r="955" spans="1:6" ht="30" customHeight="1">
      <c r="A955" s="6">
        <v>953</v>
      </c>
      <c r="B955" s="6" t="str">
        <f>"2728202011231057161393"</f>
        <v>2728202011231057161393</v>
      </c>
      <c r="C955" s="6" t="s">
        <v>7</v>
      </c>
      <c r="D955" s="6" t="str">
        <f>"麦绍妹"</f>
        <v>麦绍妹</v>
      </c>
      <c r="E955" s="6" t="str">
        <f>"1990-11-01"</f>
        <v>1990-11-01</v>
      </c>
      <c r="F955" s="6"/>
    </row>
    <row r="956" spans="1:6" ht="30" customHeight="1">
      <c r="A956" s="6">
        <v>954</v>
      </c>
      <c r="B956" s="6" t="str">
        <f>"2728202011231100481394"</f>
        <v>2728202011231100481394</v>
      </c>
      <c r="C956" s="6" t="s">
        <v>7</v>
      </c>
      <c r="D956" s="6" t="str">
        <f>"黄庆武"</f>
        <v>黄庆武</v>
      </c>
      <c r="E956" s="6" t="str">
        <f>"1990-03-17"</f>
        <v>1990-03-17</v>
      </c>
      <c r="F956" s="6"/>
    </row>
    <row r="957" spans="1:6" ht="30" customHeight="1">
      <c r="A957" s="6">
        <v>955</v>
      </c>
      <c r="B957" s="6" t="str">
        <f>"2728202011231101321395"</f>
        <v>2728202011231101321395</v>
      </c>
      <c r="C957" s="6" t="s">
        <v>7</v>
      </c>
      <c r="D957" s="6" t="str">
        <f>"吉才横"</f>
        <v>吉才横</v>
      </c>
      <c r="E957" s="6" t="str">
        <f>"1988-09-04"</f>
        <v>1988-09-04</v>
      </c>
      <c r="F957" s="6"/>
    </row>
    <row r="958" spans="1:6" ht="30" customHeight="1">
      <c r="A958" s="6">
        <v>956</v>
      </c>
      <c r="B958" s="6" t="str">
        <f>"2728202011231104151397"</f>
        <v>2728202011231104151397</v>
      </c>
      <c r="C958" s="6" t="s">
        <v>7</v>
      </c>
      <c r="D958" s="6" t="str">
        <f>"杨欣"</f>
        <v>杨欣</v>
      </c>
      <c r="E958" s="6" t="str">
        <f>"1997-01-20"</f>
        <v>1997-01-20</v>
      </c>
      <c r="F958" s="6"/>
    </row>
    <row r="959" spans="1:6" ht="30" customHeight="1">
      <c r="A959" s="6">
        <v>957</v>
      </c>
      <c r="B959" s="6" t="str">
        <f>"2728202011231105181398"</f>
        <v>2728202011231105181398</v>
      </c>
      <c r="C959" s="6" t="s">
        <v>7</v>
      </c>
      <c r="D959" s="6" t="str">
        <f>"林树帅"</f>
        <v>林树帅</v>
      </c>
      <c r="E959" s="6" t="str">
        <f>"1992-08-29"</f>
        <v>1992-08-29</v>
      </c>
      <c r="F959" s="6"/>
    </row>
    <row r="960" spans="1:6" ht="30" customHeight="1">
      <c r="A960" s="6">
        <v>958</v>
      </c>
      <c r="B960" s="6" t="str">
        <f>"2728202011231105451399"</f>
        <v>2728202011231105451399</v>
      </c>
      <c r="C960" s="6" t="s">
        <v>7</v>
      </c>
      <c r="D960" s="6" t="str">
        <f>"李小川"</f>
        <v>李小川</v>
      </c>
      <c r="E960" s="6" t="str">
        <f>"1995-03-02"</f>
        <v>1995-03-02</v>
      </c>
      <c r="F960" s="6"/>
    </row>
    <row r="961" spans="1:6" ht="30" customHeight="1">
      <c r="A961" s="6">
        <v>959</v>
      </c>
      <c r="B961" s="6" t="str">
        <f>"2728202011231107361400"</f>
        <v>2728202011231107361400</v>
      </c>
      <c r="C961" s="6" t="s">
        <v>7</v>
      </c>
      <c r="D961" s="6" t="str">
        <f>"吴江浩"</f>
        <v>吴江浩</v>
      </c>
      <c r="E961" s="6" t="str">
        <f>"1995-03-05"</f>
        <v>1995-03-05</v>
      </c>
      <c r="F961" s="6"/>
    </row>
    <row r="962" spans="1:6" ht="30" customHeight="1">
      <c r="A962" s="6">
        <v>960</v>
      </c>
      <c r="B962" s="6" t="str">
        <f>"2728202011231107561401"</f>
        <v>2728202011231107561401</v>
      </c>
      <c r="C962" s="6" t="s">
        <v>7</v>
      </c>
      <c r="D962" s="6" t="str">
        <f>"蓝桧"</f>
        <v>蓝桧</v>
      </c>
      <c r="E962" s="6" t="str">
        <f>"1992-01-05"</f>
        <v>1992-01-05</v>
      </c>
      <c r="F962" s="6"/>
    </row>
    <row r="963" spans="1:6" ht="30" customHeight="1">
      <c r="A963" s="6">
        <v>961</v>
      </c>
      <c r="B963" s="6" t="str">
        <f>"2728202011231108091402"</f>
        <v>2728202011231108091402</v>
      </c>
      <c r="C963" s="6" t="s">
        <v>7</v>
      </c>
      <c r="D963" s="6" t="str">
        <f>"罗文月"</f>
        <v>罗文月</v>
      </c>
      <c r="E963" s="6" t="str">
        <f>"1991-09-06"</f>
        <v>1991-09-06</v>
      </c>
      <c r="F963" s="6"/>
    </row>
    <row r="964" spans="1:6" ht="30" customHeight="1">
      <c r="A964" s="6">
        <v>962</v>
      </c>
      <c r="B964" s="6" t="str">
        <f>"2728202011231108311403"</f>
        <v>2728202011231108311403</v>
      </c>
      <c r="C964" s="6" t="s">
        <v>7</v>
      </c>
      <c r="D964" s="6" t="str">
        <f>"李静"</f>
        <v>李静</v>
      </c>
      <c r="E964" s="6" t="str">
        <f>"1995-11-04"</f>
        <v>1995-11-04</v>
      </c>
      <c r="F964" s="6"/>
    </row>
    <row r="965" spans="1:6" ht="30" customHeight="1">
      <c r="A965" s="6">
        <v>963</v>
      </c>
      <c r="B965" s="6" t="str">
        <f>"2728202011231112061406"</f>
        <v>2728202011231112061406</v>
      </c>
      <c r="C965" s="6" t="s">
        <v>7</v>
      </c>
      <c r="D965" s="6" t="str">
        <f>"周啟导"</f>
        <v>周啟导</v>
      </c>
      <c r="E965" s="6" t="str">
        <f>"1991-07-17"</f>
        <v>1991-07-17</v>
      </c>
      <c r="F965" s="6"/>
    </row>
    <row r="966" spans="1:6" ht="30" customHeight="1">
      <c r="A966" s="6">
        <v>964</v>
      </c>
      <c r="B966" s="6" t="str">
        <f>"2728202011231112101407"</f>
        <v>2728202011231112101407</v>
      </c>
      <c r="C966" s="6" t="s">
        <v>7</v>
      </c>
      <c r="D966" s="6" t="str">
        <f>"杜丽敏"</f>
        <v>杜丽敏</v>
      </c>
      <c r="E966" s="6" t="str">
        <f>"1997-06-17"</f>
        <v>1997-06-17</v>
      </c>
      <c r="F966" s="6"/>
    </row>
    <row r="967" spans="1:6" ht="30" customHeight="1">
      <c r="A967" s="6">
        <v>965</v>
      </c>
      <c r="B967" s="6" t="str">
        <f>"2728202011231122221411"</f>
        <v>2728202011231122221411</v>
      </c>
      <c r="C967" s="6" t="s">
        <v>7</v>
      </c>
      <c r="D967" s="6" t="str">
        <f>"刘梦捷"</f>
        <v>刘梦捷</v>
      </c>
      <c r="E967" s="6" t="str">
        <f>"1996-11-11"</f>
        <v>1996-11-11</v>
      </c>
      <c r="F967" s="6"/>
    </row>
    <row r="968" spans="1:6" ht="30" customHeight="1">
      <c r="A968" s="6">
        <v>966</v>
      </c>
      <c r="B968" s="6" t="str">
        <f>"2728202011231122551412"</f>
        <v>2728202011231122551412</v>
      </c>
      <c r="C968" s="6" t="s">
        <v>7</v>
      </c>
      <c r="D968" s="6" t="str">
        <f>"苏立珊"</f>
        <v>苏立珊</v>
      </c>
      <c r="E968" s="6" t="str">
        <f>"1993-12-10"</f>
        <v>1993-12-10</v>
      </c>
      <c r="F968" s="6"/>
    </row>
    <row r="969" spans="1:6" ht="30" customHeight="1">
      <c r="A969" s="6">
        <v>967</v>
      </c>
      <c r="B969" s="6" t="str">
        <f>"2728202011231123011413"</f>
        <v>2728202011231123011413</v>
      </c>
      <c r="C969" s="6" t="s">
        <v>7</v>
      </c>
      <c r="D969" s="6" t="str">
        <f>"曾伍乐"</f>
        <v>曾伍乐</v>
      </c>
      <c r="E969" s="6" t="str">
        <f>"1993-06-06"</f>
        <v>1993-06-06</v>
      </c>
      <c r="F969" s="6"/>
    </row>
    <row r="970" spans="1:6" ht="30" customHeight="1">
      <c r="A970" s="6">
        <v>968</v>
      </c>
      <c r="B970" s="6" t="str">
        <f>"2728202011231123381414"</f>
        <v>2728202011231123381414</v>
      </c>
      <c r="C970" s="6" t="s">
        <v>7</v>
      </c>
      <c r="D970" s="6" t="str">
        <f>"符气刚"</f>
        <v>符气刚</v>
      </c>
      <c r="E970" s="6" t="str">
        <f>"1989-06-03"</f>
        <v>1989-06-03</v>
      </c>
      <c r="F970" s="6"/>
    </row>
    <row r="971" spans="1:6" ht="30" customHeight="1">
      <c r="A971" s="6">
        <v>969</v>
      </c>
      <c r="B971" s="6" t="str">
        <f>"2728202011231125021415"</f>
        <v>2728202011231125021415</v>
      </c>
      <c r="C971" s="6" t="s">
        <v>7</v>
      </c>
      <c r="D971" s="6" t="str">
        <f>"陈苏"</f>
        <v>陈苏</v>
      </c>
      <c r="E971" s="6" t="str">
        <f>"1990-12-12"</f>
        <v>1990-12-12</v>
      </c>
      <c r="F971" s="6"/>
    </row>
    <row r="972" spans="1:6" ht="30" customHeight="1">
      <c r="A972" s="6">
        <v>970</v>
      </c>
      <c r="B972" s="6" t="str">
        <f>"2728202011231126121416"</f>
        <v>2728202011231126121416</v>
      </c>
      <c r="C972" s="6" t="s">
        <v>7</v>
      </c>
      <c r="D972" s="6" t="str">
        <f>"羊桂芳"</f>
        <v>羊桂芳</v>
      </c>
      <c r="E972" s="6" t="str">
        <f>"1992-01-12"</f>
        <v>1992-01-12</v>
      </c>
      <c r="F972" s="6"/>
    </row>
    <row r="973" spans="1:6" ht="30" customHeight="1">
      <c r="A973" s="6">
        <v>971</v>
      </c>
      <c r="B973" s="6" t="str">
        <f>"2728202011231128371417"</f>
        <v>2728202011231128371417</v>
      </c>
      <c r="C973" s="6" t="s">
        <v>7</v>
      </c>
      <c r="D973" s="6" t="str">
        <f>"刘洋"</f>
        <v>刘洋</v>
      </c>
      <c r="E973" s="6" t="str">
        <f>"1992-11-06"</f>
        <v>1992-11-06</v>
      </c>
      <c r="F973" s="6"/>
    </row>
    <row r="974" spans="1:6" ht="30" customHeight="1">
      <c r="A974" s="6">
        <v>972</v>
      </c>
      <c r="B974" s="6" t="str">
        <f>"2728202011231133121418"</f>
        <v>2728202011231133121418</v>
      </c>
      <c r="C974" s="6" t="s">
        <v>7</v>
      </c>
      <c r="D974" s="6" t="str">
        <f>"符宇振"</f>
        <v>符宇振</v>
      </c>
      <c r="E974" s="6" t="str">
        <f>"1996-01-03"</f>
        <v>1996-01-03</v>
      </c>
      <c r="F974" s="6"/>
    </row>
    <row r="975" spans="1:6" ht="30" customHeight="1">
      <c r="A975" s="6">
        <v>973</v>
      </c>
      <c r="B975" s="6" t="str">
        <f>"2728202011231134151419"</f>
        <v>2728202011231134151419</v>
      </c>
      <c r="C975" s="6" t="s">
        <v>7</v>
      </c>
      <c r="D975" s="6" t="str">
        <f>"范烟龙"</f>
        <v>范烟龙</v>
      </c>
      <c r="E975" s="6" t="str">
        <f>"1995-10-13"</f>
        <v>1995-10-13</v>
      </c>
      <c r="F975" s="6"/>
    </row>
    <row r="976" spans="1:6" ht="30" customHeight="1">
      <c r="A976" s="6">
        <v>974</v>
      </c>
      <c r="B976" s="6" t="str">
        <f>"2728202011231134251420"</f>
        <v>2728202011231134251420</v>
      </c>
      <c r="C976" s="6" t="s">
        <v>7</v>
      </c>
      <c r="D976" s="6" t="str">
        <f>"赵环"</f>
        <v>赵环</v>
      </c>
      <c r="E976" s="6" t="str">
        <f>"1990-02-26"</f>
        <v>1990-02-26</v>
      </c>
      <c r="F976" s="6"/>
    </row>
    <row r="977" spans="1:6" ht="30" customHeight="1">
      <c r="A977" s="6">
        <v>975</v>
      </c>
      <c r="B977" s="6" t="str">
        <f>"2728202011231135151421"</f>
        <v>2728202011231135151421</v>
      </c>
      <c r="C977" s="6" t="s">
        <v>7</v>
      </c>
      <c r="D977" s="6" t="str">
        <f>"兰朵朵"</f>
        <v>兰朵朵</v>
      </c>
      <c r="E977" s="6" t="str">
        <f>"1996-08-04"</f>
        <v>1996-08-04</v>
      </c>
      <c r="F977" s="6"/>
    </row>
    <row r="978" spans="1:6" ht="30" customHeight="1">
      <c r="A978" s="6">
        <v>976</v>
      </c>
      <c r="B978" s="6" t="str">
        <f>"2728202011231136311422"</f>
        <v>2728202011231136311422</v>
      </c>
      <c r="C978" s="6" t="s">
        <v>7</v>
      </c>
      <c r="D978" s="6" t="str">
        <f>"石慧雅"</f>
        <v>石慧雅</v>
      </c>
      <c r="E978" s="6" t="str">
        <f>"1996-05-15"</f>
        <v>1996-05-15</v>
      </c>
      <c r="F978" s="6"/>
    </row>
    <row r="979" spans="1:6" ht="30" customHeight="1">
      <c r="A979" s="6">
        <v>977</v>
      </c>
      <c r="B979" s="6" t="str">
        <f>"2728202011231137261424"</f>
        <v>2728202011231137261424</v>
      </c>
      <c r="C979" s="6" t="s">
        <v>7</v>
      </c>
      <c r="D979" s="6" t="str">
        <f>"李衍济"</f>
        <v>李衍济</v>
      </c>
      <c r="E979" s="6" t="str">
        <f>"1996-07-13"</f>
        <v>1996-07-13</v>
      </c>
      <c r="F979" s="6"/>
    </row>
    <row r="980" spans="1:6" ht="30" customHeight="1">
      <c r="A980" s="6">
        <v>978</v>
      </c>
      <c r="B980" s="6" t="str">
        <f>"2728202011231139591426"</f>
        <v>2728202011231139591426</v>
      </c>
      <c r="C980" s="6" t="s">
        <v>7</v>
      </c>
      <c r="D980" s="6" t="str">
        <f>"何芳芳"</f>
        <v>何芳芳</v>
      </c>
      <c r="E980" s="6" t="str">
        <f>"1996-10-10"</f>
        <v>1996-10-10</v>
      </c>
      <c r="F980" s="6"/>
    </row>
    <row r="981" spans="1:6" ht="30" customHeight="1">
      <c r="A981" s="6">
        <v>979</v>
      </c>
      <c r="B981" s="6" t="str">
        <f>"2728202011231142031427"</f>
        <v>2728202011231142031427</v>
      </c>
      <c r="C981" s="6" t="s">
        <v>7</v>
      </c>
      <c r="D981" s="6" t="str">
        <f>"郑潘子"</f>
        <v>郑潘子</v>
      </c>
      <c r="E981" s="6" t="str">
        <f>"1993-10-10"</f>
        <v>1993-10-10</v>
      </c>
      <c r="F981" s="6"/>
    </row>
    <row r="982" spans="1:6" ht="30" customHeight="1">
      <c r="A982" s="6">
        <v>980</v>
      </c>
      <c r="B982" s="6" t="str">
        <f>"2728202011231144441429"</f>
        <v>2728202011231144441429</v>
      </c>
      <c r="C982" s="6" t="s">
        <v>7</v>
      </c>
      <c r="D982" s="6" t="str">
        <f>"李欣桐"</f>
        <v>李欣桐</v>
      </c>
      <c r="E982" s="6" t="str">
        <f>"1996-06-06"</f>
        <v>1996-06-06</v>
      </c>
      <c r="F982" s="6"/>
    </row>
    <row r="983" spans="1:6" ht="30" customHeight="1">
      <c r="A983" s="6">
        <v>981</v>
      </c>
      <c r="B983" s="6" t="str">
        <f>"2728202011231149461431"</f>
        <v>2728202011231149461431</v>
      </c>
      <c r="C983" s="6" t="s">
        <v>7</v>
      </c>
      <c r="D983" s="6" t="str">
        <f>"陈学燕"</f>
        <v>陈学燕</v>
      </c>
      <c r="E983" s="6" t="str">
        <f>"1998-08-06"</f>
        <v>1998-08-06</v>
      </c>
      <c r="F983" s="6"/>
    </row>
    <row r="984" spans="1:6" ht="30" customHeight="1">
      <c r="A984" s="6">
        <v>982</v>
      </c>
      <c r="B984" s="6" t="str">
        <f>"2728202011231149571432"</f>
        <v>2728202011231149571432</v>
      </c>
      <c r="C984" s="6" t="s">
        <v>7</v>
      </c>
      <c r="D984" s="6" t="str">
        <f>"王身旅"</f>
        <v>王身旅</v>
      </c>
      <c r="E984" s="6" t="str">
        <f>"1989-07-17"</f>
        <v>1989-07-17</v>
      </c>
      <c r="F984" s="6"/>
    </row>
    <row r="985" spans="1:6" ht="30" customHeight="1">
      <c r="A985" s="6">
        <v>983</v>
      </c>
      <c r="B985" s="6" t="str">
        <f>"2728202011231150081433"</f>
        <v>2728202011231150081433</v>
      </c>
      <c r="C985" s="6" t="s">
        <v>7</v>
      </c>
      <c r="D985" s="6" t="str">
        <f>"陈志员"</f>
        <v>陈志员</v>
      </c>
      <c r="E985" s="6" t="str">
        <f>"1992-09-11"</f>
        <v>1992-09-11</v>
      </c>
      <c r="F985" s="6"/>
    </row>
    <row r="986" spans="1:6" ht="30" customHeight="1">
      <c r="A986" s="6">
        <v>984</v>
      </c>
      <c r="B986" s="6" t="str">
        <f>"2728202011231152521434"</f>
        <v>2728202011231152521434</v>
      </c>
      <c r="C986" s="6" t="s">
        <v>7</v>
      </c>
      <c r="D986" s="6" t="str">
        <f>"王星予"</f>
        <v>王星予</v>
      </c>
      <c r="E986" s="6" t="str">
        <f>"1997-07-19"</f>
        <v>1997-07-19</v>
      </c>
      <c r="F986" s="6"/>
    </row>
    <row r="987" spans="1:6" ht="30" customHeight="1">
      <c r="A987" s="6">
        <v>985</v>
      </c>
      <c r="B987" s="6" t="str">
        <f>"2728202011231157371435"</f>
        <v>2728202011231157371435</v>
      </c>
      <c r="C987" s="6" t="s">
        <v>7</v>
      </c>
      <c r="D987" s="6" t="str">
        <f>"胡朝妮"</f>
        <v>胡朝妮</v>
      </c>
      <c r="E987" s="6" t="str">
        <f>"1992-03-30"</f>
        <v>1992-03-30</v>
      </c>
      <c r="F987" s="6"/>
    </row>
    <row r="988" spans="1:6" ht="30" customHeight="1">
      <c r="A988" s="6">
        <v>986</v>
      </c>
      <c r="B988" s="6" t="str">
        <f>"2728202011231203351437"</f>
        <v>2728202011231203351437</v>
      </c>
      <c r="C988" s="6" t="s">
        <v>7</v>
      </c>
      <c r="D988" s="6" t="str">
        <f>"张雪京"</f>
        <v>张雪京</v>
      </c>
      <c r="E988" s="6" t="str">
        <f>"1987-09-08"</f>
        <v>1987-09-08</v>
      </c>
      <c r="F988" s="6"/>
    </row>
    <row r="989" spans="1:6" ht="30" customHeight="1">
      <c r="A989" s="6">
        <v>987</v>
      </c>
      <c r="B989" s="6" t="str">
        <f>"2728202011231216001439"</f>
        <v>2728202011231216001439</v>
      </c>
      <c r="C989" s="6" t="s">
        <v>7</v>
      </c>
      <c r="D989" s="6" t="str">
        <f>"唐首徽"</f>
        <v>唐首徽</v>
      </c>
      <c r="E989" s="6" t="str">
        <f>"1986-07-15"</f>
        <v>1986-07-15</v>
      </c>
      <c r="F989" s="6"/>
    </row>
    <row r="990" spans="1:6" ht="30" customHeight="1">
      <c r="A990" s="6">
        <v>988</v>
      </c>
      <c r="B990" s="6" t="str">
        <f>"2728202011231223521443"</f>
        <v>2728202011231223521443</v>
      </c>
      <c r="C990" s="6" t="s">
        <v>7</v>
      </c>
      <c r="D990" s="6" t="str">
        <f>"卓琳皓"</f>
        <v>卓琳皓</v>
      </c>
      <c r="E990" s="6" t="str">
        <f>"1989-01-24"</f>
        <v>1989-01-24</v>
      </c>
      <c r="F990" s="6"/>
    </row>
    <row r="991" spans="1:6" ht="30" customHeight="1">
      <c r="A991" s="6">
        <v>989</v>
      </c>
      <c r="B991" s="6" t="str">
        <f>"2728202011231228501445"</f>
        <v>2728202011231228501445</v>
      </c>
      <c r="C991" s="6" t="s">
        <v>7</v>
      </c>
      <c r="D991" s="6" t="str">
        <f>"钱瑞"</f>
        <v>钱瑞</v>
      </c>
      <c r="E991" s="6" t="str">
        <f>"1991-02-10"</f>
        <v>1991-02-10</v>
      </c>
      <c r="F991" s="6"/>
    </row>
    <row r="992" spans="1:6" ht="30" customHeight="1">
      <c r="A992" s="6">
        <v>990</v>
      </c>
      <c r="B992" s="6" t="str">
        <f>"2728202011231230181446"</f>
        <v>2728202011231230181446</v>
      </c>
      <c r="C992" s="6" t="s">
        <v>7</v>
      </c>
      <c r="D992" s="6" t="str">
        <f>"钟子芬"</f>
        <v>钟子芬</v>
      </c>
      <c r="E992" s="6" t="str">
        <f>"1993-11-22"</f>
        <v>1993-11-22</v>
      </c>
      <c r="F992" s="6"/>
    </row>
    <row r="993" spans="1:6" ht="30" customHeight="1">
      <c r="A993" s="6">
        <v>991</v>
      </c>
      <c r="B993" s="6" t="str">
        <f>"2728202011231235041447"</f>
        <v>2728202011231235041447</v>
      </c>
      <c r="C993" s="6" t="s">
        <v>7</v>
      </c>
      <c r="D993" s="6" t="str">
        <f>"代岳"</f>
        <v>代岳</v>
      </c>
      <c r="E993" s="6" t="str">
        <f>"1988-11-02"</f>
        <v>1988-11-02</v>
      </c>
      <c r="F993" s="6"/>
    </row>
    <row r="994" spans="1:6" ht="30" customHeight="1">
      <c r="A994" s="6">
        <v>992</v>
      </c>
      <c r="B994" s="6" t="str">
        <f>"2728202011231237081448"</f>
        <v>2728202011231237081448</v>
      </c>
      <c r="C994" s="6" t="s">
        <v>7</v>
      </c>
      <c r="D994" s="6" t="str">
        <f>"王雪旻"</f>
        <v>王雪旻</v>
      </c>
      <c r="E994" s="6" t="str">
        <f>"1999-08-10"</f>
        <v>1999-08-10</v>
      </c>
      <c r="F994" s="6"/>
    </row>
    <row r="995" spans="1:6" ht="30" customHeight="1">
      <c r="A995" s="6">
        <v>993</v>
      </c>
      <c r="B995" s="6" t="str">
        <f>"2728202011231242511450"</f>
        <v>2728202011231242511450</v>
      </c>
      <c r="C995" s="6" t="s">
        <v>7</v>
      </c>
      <c r="D995" s="6" t="str">
        <f>"韦洁华"</f>
        <v>韦洁华</v>
      </c>
      <c r="E995" s="6" t="str">
        <f>"1992-07-12"</f>
        <v>1992-07-12</v>
      </c>
      <c r="F995" s="6"/>
    </row>
    <row r="996" spans="1:6" ht="30" customHeight="1">
      <c r="A996" s="6">
        <v>994</v>
      </c>
      <c r="B996" s="6" t="str">
        <f>"2728202011231244191451"</f>
        <v>2728202011231244191451</v>
      </c>
      <c r="C996" s="6" t="s">
        <v>7</v>
      </c>
      <c r="D996" s="6" t="str">
        <f>"赵若飏"</f>
        <v>赵若飏</v>
      </c>
      <c r="E996" s="6" t="str">
        <f>"1987-11-12"</f>
        <v>1987-11-12</v>
      </c>
      <c r="F996" s="6"/>
    </row>
    <row r="997" spans="1:6" ht="30" customHeight="1">
      <c r="A997" s="6">
        <v>995</v>
      </c>
      <c r="B997" s="6" t="str">
        <f>"2728202011231250301453"</f>
        <v>2728202011231250301453</v>
      </c>
      <c r="C997" s="6" t="s">
        <v>7</v>
      </c>
      <c r="D997" s="6" t="str">
        <f>"孙令逸"</f>
        <v>孙令逸</v>
      </c>
      <c r="E997" s="6" t="str">
        <f>"1991-04-28"</f>
        <v>1991-04-28</v>
      </c>
      <c r="F997" s="6"/>
    </row>
    <row r="998" spans="1:6" ht="30" customHeight="1">
      <c r="A998" s="6">
        <v>996</v>
      </c>
      <c r="B998" s="6" t="str">
        <f>"2728202011231255271454"</f>
        <v>2728202011231255271454</v>
      </c>
      <c r="C998" s="6" t="s">
        <v>7</v>
      </c>
      <c r="D998" s="6" t="str">
        <f>"曾令荞"</f>
        <v>曾令荞</v>
      </c>
      <c r="E998" s="6" t="str">
        <f>"1997-03-23"</f>
        <v>1997-03-23</v>
      </c>
      <c r="F998" s="6"/>
    </row>
    <row r="999" spans="1:6" ht="30" customHeight="1">
      <c r="A999" s="6">
        <v>997</v>
      </c>
      <c r="B999" s="6" t="str">
        <f>"2728202011231256371455"</f>
        <v>2728202011231256371455</v>
      </c>
      <c r="C999" s="6" t="s">
        <v>7</v>
      </c>
      <c r="D999" s="6" t="str">
        <f>"林嫣嫣"</f>
        <v>林嫣嫣</v>
      </c>
      <c r="E999" s="6" t="str">
        <f>"1996-03-05"</f>
        <v>1996-03-05</v>
      </c>
      <c r="F999" s="6"/>
    </row>
    <row r="1000" spans="1:6" ht="30" customHeight="1">
      <c r="A1000" s="6">
        <v>998</v>
      </c>
      <c r="B1000" s="6" t="str">
        <f>"2728202011231301211457"</f>
        <v>2728202011231301211457</v>
      </c>
      <c r="C1000" s="6" t="s">
        <v>7</v>
      </c>
      <c r="D1000" s="6" t="str">
        <f>"杨大宏"</f>
        <v>杨大宏</v>
      </c>
      <c r="E1000" s="6" t="str">
        <f>"1994-09-12"</f>
        <v>1994-09-12</v>
      </c>
      <c r="F1000" s="6"/>
    </row>
    <row r="1001" spans="1:6" ht="30" customHeight="1">
      <c r="A1001" s="6">
        <v>999</v>
      </c>
      <c r="B1001" s="6" t="str">
        <f>"2728202011231302291458"</f>
        <v>2728202011231302291458</v>
      </c>
      <c r="C1001" s="6" t="s">
        <v>7</v>
      </c>
      <c r="D1001" s="6" t="str">
        <f>"陈定豪"</f>
        <v>陈定豪</v>
      </c>
      <c r="E1001" s="6" t="str">
        <f>"1993-04-30"</f>
        <v>1993-04-30</v>
      </c>
      <c r="F1001" s="6"/>
    </row>
    <row r="1002" spans="1:6" ht="30" customHeight="1">
      <c r="A1002" s="6">
        <v>1000</v>
      </c>
      <c r="B1002" s="6" t="str">
        <f>"2728202011231315081460"</f>
        <v>2728202011231315081460</v>
      </c>
      <c r="C1002" s="6" t="s">
        <v>7</v>
      </c>
      <c r="D1002" s="6" t="str">
        <f>"朱冉"</f>
        <v>朱冉</v>
      </c>
      <c r="E1002" s="6" t="str">
        <f>"1989-04-15"</f>
        <v>1989-04-15</v>
      </c>
      <c r="F1002" s="6"/>
    </row>
    <row r="1003" spans="1:6" ht="30" customHeight="1">
      <c r="A1003" s="6">
        <v>1001</v>
      </c>
      <c r="B1003" s="6" t="str">
        <f>"2728202011231332091463"</f>
        <v>2728202011231332091463</v>
      </c>
      <c r="C1003" s="6" t="s">
        <v>7</v>
      </c>
      <c r="D1003" s="6" t="str">
        <f>"李玲"</f>
        <v>李玲</v>
      </c>
      <c r="E1003" s="6" t="str">
        <f>"1997-04-07"</f>
        <v>1997-04-07</v>
      </c>
      <c r="F1003" s="6"/>
    </row>
    <row r="1004" spans="1:6" ht="30" customHeight="1">
      <c r="A1004" s="6">
        <v>1002</v>
      </c>
      <c r="B1004" s="6" t="str">
        <f>"2728202011231333211464"</f>
        <v>2728202011231333211464</v>
      </c>
      <c r="C1004" s="6" t="s">
        <v>7</v>
      </c>
      <c r="D1004" s="6" t="str">
        <f>"欧阳奕"</f>
        <v>欧阳奕</v>
      </c>
      <c r="E1004" s="6" t="str">
        <f>"1996-10-15"</f>
        <v>1996-10-15</v>
      </c>
      <c r="F1004" s="6"/>
    </row>
    <row r="1005" spans="1:6" ht="30" customHeight="1">
      <c r="A1005" s="6">
        <v>1003</v>
      </c>
      <c r="B1005" s="6" t="str">
        <f>"2728202011231334591465"</f>
        <v>2728202011231334591465</v>
      </c>
      <c r="C1005" s="6" t="s">
        <v>7</v>
      </c>
      <c r="D1005" s="6" t="str">
        <f>"张坤"</f>
        <v>张坤</v>
      </c>
      <c r="E1005" s="6" t="str">
        <f>"1996-08-12"</f>
        <v>1996-08-12</v>
      </c>
      <c r="F1005" s="6"/>
    </row>
    <row r="1006" spans="1:6" ht="30" customHeight="1">
      <c r="A1006" s="6">
        <v>1004</v>
      </c>
      <c r="B1006" s="6" t="str">
        <f>"2728202011231344191467"</f>
        <v>2728202011231344191467</v>
      </c>
      <c r="C1006" s="6" t="s">
        <v>7</v>
      </c>
      <c r="D1006" s="6" t="str">
        <f>"王明志"</f>
        <v>王明志</v>
      </c>
      <c r="E1006" s="6" t="str">
        <f>"1989-10-16"</f>
        <v>1989-10-16</v>
      </c>
      <c r="F1006" s="6"/>
    </row>
    <row r="1007" spans="1:6" ht="30" customHeight="1">
      <c r="A1007" s="6">
        <v>1005</v>
      </c>
      <c r="B1007" s="6" t="str">
        <f>"2728202011231347271468"</f>
        <v>2728202011231347271468</v>
      </c>
      <c r="C1007" s="6" t="s">
        <v>7</v>
      </c>
      <c r="D1007" s="6" t="str">
        <f>"王剑里"</f>
        <v>王剑里</v>
      </c>
      <c r="E1007" s="6" t="str">
        <f>"1994-12-20"</f>
        <v>1994-12-20</v>
      </c>
      <c r="F1007" s="6"/>
    </row>
    <row r="1008" spans="1:6" ht="30" customHeight="1">
      <c r="A1008" s="6">
        <v>1006</v>
      </c>
      <c r="B1008" s="6" t="str">
        <f>"2728202011231405081471"</f>
        <v>2728202011231405081471</v>
      </c>
      <c r="C1008" s="6" t="s">
        <v>7</v>
      </c>
      <c r="D1008" s="6" t="str">
        <f>"王小慧"</f>
        <v>王小慧</v>
      </c>
      <c r="E1008" s="6" t="str">
        <f>"1994-10-23"</f>
        <v>1994-10-23</v>
      </c>
      <c r="F1008" s="6"/>
    </row>
    <row r="1009" spans="1:6" ht="30" customHeight="1">
      <c r="A1009" s="6">
        <v>1007</v>
      </c>
      <c r="B1009" s="6" t="str">
        <f>"2728202011231405591472"</f>
        <v>2728202011231405591472</v>
      </c>
      <c r="C1009" s="6" t="s">
        <v>7</v>
      </c>
      <c r="D1009" s="6" t="str">
        <f>" 刘建锋"</f>
        <v> 刘建锋</v>
      </c>
      <c r="E1009" s="6" t="str">
        <f>"1990-06-26"</f>
        <v>1990-06-26</v>
      </c>
      <c r="F1009" s="6"/>
    </row>
    <row r="1010" spans="1:6" ht="30" customHeight="1">
      <c r="A1010" s="6">
        <v>1008</v>
      </c>
      <c r="B1010" s="6" t="str">
        <f>"2728202011231415481474"</f>
        <v>2728202011231415481474</v>
      </c>
      <c r="C1010" s="6" t="s">
        <v>7</v>
      </c>
      <c r="D1010" s="6" t="str">
        <f>"吴苏燕"</f>
        <v>吴苏燕</v>
      </c>
      <c r="E1010" s="6" t="str">
        <f>"1990-05-09"</f>
        <v>1990-05-09</v>
      </c>
      <c r="F1010" s="6"/>
    </row>
    <row r="1011" spans="1:6" ht="30" customHeight="1">
      <c r="A1011" s="6">
        <v>1009</v>
      </c>
      <c r="B1011" s="6" t="str">
        <f>"2728202011231416451475"</f>
        <v>2728202011231416451475</v>
      </c>
      <c r="C1011" s="6" t="s">
        <v>7</v>
      </c>
      <c r="D1011" s="6" t="str">
        <f>"刘晶"</f>
        <v>刘晶</v>
      </c>
      <c r="E1011" s="6" t="str">
        <f>"1992-09-20"</f>
        <v>1992-09-20</v>
      </c>
      <c r="F1011" s="6"/>
    </row>
    <row r="1012" spans="1:6" ht="30" customHeight="1">
      <c r="A1012" s="6">
        <v>1010</v>
      </c>
      <c r="B1012" s="6" t="str">
        <f>"2728202011231425341476"</f>
        <v>2728202011231425341476</v>
      </c>
      <c r="C1012" s="6" t="s">
        <v>7</v>
      </c>
      <c r="D1012" s="6" t="str">
        <f>"黄萱"</f>
        <v>黄萱</v>
      </c>
      <c r="E1012" s="6" t="str">
        <f>"1998-10-06"</f>
        <v>1998-10-06</v>
      </c>
      <c r="F1012" s="6"/>
    </row>
    <row r="1013" spans="1:6" ht="30" customHeight="1">
      <c r="A1013" s="6">
        <v>1011</v>
      </c>
      <c r="B1013" s="6" t="str">
        <f>"2728202011231433361478"</f>
        <v>2728202011231433361478</v>
      </c>
      <c r="C1013" s="6" t="s">
        <v>7</v>
      </c>
      <c r="D1013" s="6" t="str">
        <f>"唐芬"</f>
        <v>唐芬</v>
      </c>
      <c r="E1013" s="6" t="str">
        <f>"1997-09-21"</f>
        <v>1997-09-21</v>
      </c>
      <c r="F1013" s="6"/>
    </row>
    <row r="1014" spans="1:6" ht="30" customHeight="1">
      <c r="A1014" s="6">
        <v>1012</v>
      </c>
      <c r="B1014" s="6" t="str">
        <f>"2728202011231447041479"</f>
        <v>2728202011231447041479</v>
      </c>
      <c r="C1014" s="6" t="s">
        <v>7</v>
      </c>
      <c r="D1014" s="6" t="str">
        <f>"孟云月"</f>
        <v>孟云月</v>
      </c>
      <c r="E1014" s="6" t="str">
        <f>"1997-07-08"</f>
        <v>1997-07-08</v>
      </c>
      <c r="F1014" s="6"/>
    </row>
    <row r="1015" spans="1:6" ht="30" customHeight="1">
      <c r="A1015" s="6">
        <v>1013</v>
      </c>
      <c r="B1015" s="6" t="str">
        <f>"2728202011231457071482"</f>
        <v>2728202011231457071482</v>
      </c>
      <c r="C1015" s="6" t="s">
        <v>7</v>
      </c>
      <c r="D1015" s="6" t="str">
        <f>"谢良玺"</f>
        <v>谢良玺</v>
      </c>
      <c r="E1015" s="6" t="str">
        <f>"1994-06-18"</f>
        <v>1994-06-18</v>
      </c>
      <c r="F1015" s="6"/>
    </row>
    <row r="1016" spans="1:6" ht="30" customHeight="1">
      <c r="A1016" s="6">
        <v>1014</v>
      </c>
      <c r="B1016" s="6" t="str">
        <f>"2728202011231459431484"</f>
        <v>2728202011231459431484</v>
      </c>
      <c r="C1016" s="6" t="s">
        <v>7</v>
      </c>
      <c r="D1016" s="6" t="str">
        <f>"陈聪"</f>
        <v>陈聪</v>
      </c>
      <c r="E1016" s="6" t="str">
        <f>"1997-08-02"</f>
        <v>1997-08-02</v>
      </c>
      <c r="F1016" s="6"/>
    </row>
    <row r="1017" spans="1:6" ht="30" customHeight="1">
      <c r="A1017" s="6">
        <v>1015</v>
      </c>
      <c r="B1017" s="6" t="str">
        <f>"2728202011231504121487"</f>
        <v>2728202011231504121487</v>
      </c>
      <c r="C1017" s="6" t="s">
        <v>7</v>
      </c>
      <c r="D1017" s="6" t="str">
        <f>"李静书"</f>
        <v>李静书</v>
      </c>
      <c r="E1017" s="6" t="str">
        <f>"1990-03-07"</f>
        <v>1990-03-07</v>
      </c>
      <c r="F1017" s="6"/>
    </row>
    <row r="1018" spans="1:6" ht="30" customHeight="1">
      <c r="A1018" s="6">
        <v>1016</v>
      </c>
      <c r="B1018" s="6" t="str">
        <f>"2728202011231505221489"</f>
        <v>2728202011231505221489</v>
      </c>
      <c r="C1018" s="6" t="s">
        <v>7</v>
      </c>
      <c r="D1018" s="6" t="str">
        <f>"黄婷婷"</f>
        <v>黄婷婷</v>
      </c>
      <c r="E1018" s="6" t="str">
        <f>"1995-10-21"</f>
        <v>1995-10-21</v>
      </c>
      <c r="F1018" s="6"/>
    </row>
    <row r="1019" spans="1:6" ht="30" customHeight="1">
      <c r="A1019" s="6">
        <v>1017</v>
      </c>
      <c r="B1019" s="6" t="str">
        <f>"2728202011231505261490"</f>
        <v>2728202011231505261490</v>
      </c>
      <c r="C1019" s="6" t="s">
        <v>7</v>
      </c>
      <c r="D1019" s="6" t="str">
        <f>"陈万见"</f>
        <v>陈万见</v>
      </c>
      <c r="E1019" s="6" t="str">
        <f>"1998-10-08"</f>
        <v>1998-10-08</v>
      </c>
      <c r="F1019" s="6"/>
    </row>
    <row r="1020" spans="1:6" ht="30" customHeight="1">
      <c r="A1020" s="6">
        <v>1018</v>
      </c>
      <c r="B1020" s="6" t="str">
        <f>"2728202011231508011491"</f>
        <v>2728202011231508011491</v>
      </c>
      <c r="C1020" s="6" t="s">
        <v>7</v>
      </c>
      <c r="D1020" s="6" t="str">
        <f>"林亚少"</f>
        <v>林亚少</v>
      </c>
      <c r="E1020" s="6" t="str">
        <f>"1998-10-25"</f>
        <v>1998-10-25</v>
      </c>
      <c r="F1020" s="6"/>
    </row>
    <row r="1021" spans="1:6" ht="30" customHeight="1">
      <c r="A1021" s="6">
        <v>1019</v>
      </c>
      <c r="B1021" s="6" t="str">
        <f>"2728202011231512341494"</f>
        <v>2728202011231512341494</v>
      </c>
      <c r="C1021" s="6" t="s">
        <v>7</v>
      </c>
      <c r="D1021" s="6" t="str">
        <f>"容伟"</f>
        <v>容伟</v>
      </c>
      <c r="E1021" s="6" t="str">
        <f>"1997-08-24"</f>
        <v>1997-08-24</v>
      </c>
      <c r="F1021" s="6"/>
    </row>
    <row r="1022" spans="1:6" ht="30" customHeight="1">
      <c r="A1022" s="6">
        <v>1020</v>
      </c>
      <c r="B1022" s="6" t="str">
        <f>"2728202011231514041496"</f>
        <v>2728202011231514041496</v>
      </c>
      <c r="C1022" s="6" t="s">
        <v>7</v>
      </c>
      <c r="D1022" s="6" t="str">
        <f>"海纳"</f>
        <v>海纳</v>
      </c>
      <c r="E1022" s="6" t="str">
        <f>"1995-09-01"</f>
        <v>1995-09-01</v>
      </c>
      <c r="F1022" s="6"/>
    </row>
    <row r="1023" spans="1:6" ht="30" customHeight="1">
      <c r="A1023" s="6">
        <v>1021</v>
      </c>
      <c r="B1023" s="6" t="str">
        <f>"2728202011231514151497"</f>
        <v>2728202011231514151497</v>
      </c>
      <c r="C1023" s="6" t="s">
        <v>7</v>
      </c>
      <c r="D1023" s="6" t="str">
        <f>"周垂政"</f>
        <v>周垂政</v>
      </c>
      <c r="E1023" s="6" t="str">
        <f>"1994-08-12"</f>
        <v>1994-08-12</v>
      </c>
      <c r="F1023" s="6"/>
    </row>
    <row r="1024" spans="1:6" ht="30" customHeight="1">
      <c r="A1024" s="6">
        <v>1022</v>
      </c>
      <c r="B1024" s="6" t="str">
        <f>"2728202011231514451498"</f>
        <v>2728202011231514451498</v>
      </c>
      <c r="C1024" s="6" t="s">
        <v>7</v>
      </c>
      <c r="D1024" s="6" t="str">
        <f>"陈玉"</f>
        <v>陈玉</v>
      </c>
      <c r="E1024" s="6" t="str">
        <f>"1998-11-26"</f>
        <v>1998-11-26</v>
      </c>
      <c r="F1024" s="6"/>
    </row>
    <row r="1025" spans="1:6" ht="30" customHeight="1">
      <c r="A1025" s="6">
        <v>1023</v>
      </c>
      <c r="B1025" s="6" t="str">
        <f>"2728202011231522241499"</f>
        <v>2728202011231522241499</v>
      </c>
      <c r="C1025" s="6" t="s">
        <v>7</v>
      </c>
      <c r="D1025" s="6" t="str">
        <f>"杨家诚"</f>
        <v>杨家诚</v>
      </c>
      <c r="E1025" s="6" t="str">
        <f>"1997-03-01"</f>
        <v>1997-03-01</v>
      </c>
      <c r="F1025" s="6"/>
    </row>
    <row r="1026" spans="1:6" ht="30" customHeight="1">
      <c r="A1026" s="6">
        <v>1024</v>
      </c>
      <c r="B1026" s="6" t="str">
        <f>"2728202011231522371500"</f>
        <v>2728202011231522371500</v>
      </c>
      <c r="C1026" s="6" t="s">
        <v>7</v>
      </c>
      <c r="D1026" s="6" t="str">
        <f>"林文瑶"</f>
        <v>林文瑶</v>
      </c>
      <c r="E1026" s="6" t="str">
        <f>"1997-04-22"</f>
        <v>1997-04-22</v>
      </c>
      <c r="F1026" s="6"/>
    </row>
    <row r="1027" spans="1:6" ht="30" customHeight="1">
      <c r="A1027" s="6">
        <v>1025</v>
      </c>
      <c r="B1027" s="6" t="str">
        <f>"2728202011231530351504"</f>
        <v>2728202011231530351504</v>
      </c>
      <c r="C1027" s="6" t="s">
        <v>7</v>
      </c>
      <c r="D1027" s="6" t="str">
        <f>"王传皓"</f>
        <v>王传皓</v>
      </c>
      <c r="E1027" s="6" t="str">
        <f>"1995-11-29"</f>
        <v>1995-11-29</v>
      </c>
      <c r="F1027" s="6"/>
    </row>
    <row r="1028" spans="1:6" ht="30" customHeight="1">
      <c r="A1028" s="6">
        <v>1026</v>
      </c>
      <c r="B1028" s="6" t="str">
        <f>"2728202011231535471505"</f>
        <v>2728202011231535471505</v>
      </c>
      <c r="C1028" s="6" t="s">
        <v>7</v>
      </c>
      <c r="D1028" s="6" t="str">
        <f>"符秀坤"</f>
        <v>符秀坤</v>
      </c>
      <c r="E1028" s="6" t="str">
        <f>"1993.10"</f>
        <v>1993.10</v>
      </c>
      <c r="F1028" s="6"/>
    </row>
    <row r="1029" spans="1:6" ht="30" customHeight="1">
      <c r="A1029" s="6">
        <v>1027</v>
      </c>
      <c r="B1029" s="6" t="str">
        <f>"2728202011231536111506"</f>
        <v>2728202011231536111506</v>
      </c>
      <c r="C1029" s="6" t="s">
        <v>7</v>
      </c>
      <c r="D1029" s="6" t="str">
        <f>"黎启思"</f>
        <v>黎启思</v>
      </c>
      <c r="E1029" s="6" t="str">
        <f>"1991-07-13"</f>
        <v>1991-07-13</v>
      </c>
      <c r="F1029" s="6"/>
    </row>
    <row r="1030" spans="1:6" ht="30" customHeight="1">
      <c r="A1030" s="6">
        <v>1028</v>
      </c>
      <c r="B1030" s="6" t="str">
        <f>"2728202011231539591507"</f>
        <v>2728202011231539591507</v>
      </c>
      <c r="C1030" s="6" t="s">
        <v>7</v>
      </c>
      <c r="D1030" s="6" t="str">
        <f>"程莹"</f>
        <v>程莹</v>
      </c>
      <c r="E1030" s="6" t="str">
        <f>"1999-04-27"</f>
        <v>1999-04-27</v>
      </c>
      <c r="F1030" s="6"/>
    </row>
    <row r="1031" spans="1:6" ht="30" customHeight="1">
      <c r="A1031" s="6">
        <v>1029</v>
      </c>
      <c r="B1031" s="6" t="str">
        <f>"2728202011231543301509"</f>
        <v>2728202011231543301509</v>
      </c>
      <c r="C1031" s="6" t="s">
        <v>7</v>
      </c>
      <c r="D1031" s="6" t="str">
        <f>"颜尉攀"</f>
        <v>颜尉攀</v>
      </c>
      <c r="E1031" s="6" t="str">
        <f>"1996-05-01"</f>
        <v>1996-05-01</v>
      </c>
      <c r="F1031" s="6"/>
    </row>
    <row r="1032" spans="1:6" ht="30" customHeight="1">
      <c r="A1032" s="6">
        <v>1030</v>
      </c>
      <c r="B1032" s="6" t="str">
        <f>"2728202011231544111510"</f>
        <v>2728202011231544111510</v>
      </c>
      <c r="C1032" s="6" t="s">
        <v>7</v>
      </c>
      <c r="D1032" s="6" t="str">
        <f>"李梦珍"</f>
        <v>李梦珍</v>
      </c>
      <c r="E1032" s="6" t="str">
        <f>"1993-08-15"</f>
        <v>1993-08-15</v>
      </c>
      <c r="F1032" s="6"/>
    </row>
    <row r="1033" spans="1:6" ht="30" customHeight="1">
      <c r="A1033" s="6">
        <v>1031</v>
      </c>
      <c r="B1033" s="6" t="str">
        <f>"2728202011231548431511"</f>
        <v>2728202011231548431511</v>
      </c>
      <c r="C1033" s="6" t="s">
        <v>7</v>
      </c>
      <c r="D1033" s="6" t="str">
        <f>"王江玉"</f>
        <v>王江玉</v>
      </c>
      <c r="E1033" s="6" t="str">
        <f>"1986-07-30"</f>
        <v>1986-07-30</v>
      </c>
      <c r="F1033" s="6"/>
    </row>
    <row r="1034" spans="1:6" ht="30" customHeight="1">
      <c r="A1034" s="6">
        <v>1032</v>
      </c>
      <c r="B1034" s="6" t="str">
        <f>"2728202011231557311516"</f>
        <v>2728202011231557311516</v>
      </c>
      <c r="C1034" s="6" t="s">
        <v>7</v>
      </c>
      <c r="D1034" s="6" t="str">
        <f>"逄博"</f>
        <v>逄博</v>
      </c>
      <c r="E1034" s="6" t="str">
        <f>"1996-02-08"</f>
        <v>1996-02-08</v>
      </c>
      <c r="F1034" s="6"/>
    </row>
    <row r="1035" spans="1:6" ht="30" customHeight="1">
      <c r="A1035" s="6">
        <v>1033</v>
      </c>
      <c r="B1035" s="6" t="str">
        <f>"2728202011231601561517"</f>
        <v>2728202011231601561517</v>
      </c>
      <c r="C1035" s="6" t="s">
        <v>7</v>
      </c>
      <c r="D1035" s="6" t="str">
        <f>"符彩蝶"</f>
        <v>符彩蝶</v>
      </c>
      <c r="E1035" s="6" t="str">
        <f>"1997-08-04"</f>
        <v>1997-08-04</v>
      </c>
      <c r="F1035" s="6"/>
    </row>
    <row r="1036" spans="1:6" ht="30" customHeight="1">
      <c r="A1036" s="6">
        <v>1034</v>
      </c>
      <c r="B1036" s="6" t="str">
        <f>"2728202011231606091520"</f>
        <v>2728202011231606091520</v>
      </c>
      <c r="C1036" s="6" t="s">
        <v>7</v>
      </c>
      <c r="D1036" s="6" t="str">
        <f>"陈颖"</f>
        <v>陈颖</v>
      </c>
      <c r="E1036" s="6" t="str">
        <f>"1999-07-25"</f>
        <v>1999-07-25</v>
      </c>
      <c r="F1036" s="6"/>
    </row>
    <row r="1037" spans="1:6" ht="30" customHeight="1">
      <c r="A1037" s="6">
        <v>1035</v>
      </c>
      <c r="B1037" s="6" t="str">
        <f>"2728202011231609141521"</f>
        <v>2728202011231609141521</v>
      </c>
      <c r="C1037" s="6" t="s">
        <v>7</v>
      </c>
      <c r="D1037" s="6" t="str">
        <f>"邱远欢"</f>
        <v>邱远欢</v>
      </c>
      <c r="E1037" s="6" t="str">
        <f>"1995-02-02"</f>
        <v>1995-02-02</v>
      </c>
      <c r="F1037" s="6"/>
    </row>
    <row r="1038" spans="1:6" ht="30" customHeight="1">
      <c r="A1038" s="6">
        <v>1036</v>
      </c>
      <c r="B1038" s="6" t="str">
        <f>"2728202011231610261522"</f>
        <v>2728202011231610261522</v>
      </c>
      <c r="C1038" s="6" t="s">
        <v>7</v>
      </c>
      <c r="D1038" s="6" t="str">
        <f>"姜美旗"</f>
        <v>姜美旗</v>
      </c>
      <c r="E1038" s="6" t="str">
        <f>"1994-06-18"</f>
        <v>1994-06-18</v>
      </c>
      <c r="F1038" s="6"/>
    </row>
    <row r="1039" spans="1:6" ht="30" customHeight="1">
      <c r="A1039" s="6">
        <v>1037</v>
      </c>
      <c r="B1039" s="6" t="str">
        <f>"2728202011231613411523"</f>
        <v>2728202011231613411523</v>
      </c>
      <c r="C1039" s="6" t="s">
        <v>7</v>
      </c>
      <c r="D1039" s="6" t="str">
        <f>"汤美玲"</f>
        <v>汤美玲</v>
      </c>
      <c r="E1039" s="6" t="str">
        <f>"1995-04-06"</f>
        <v>1995-04-06</v>
      </c>
      <c r="F1039" s="6"/>
    </row>
    <row r="1040" spans="1:6" ht="30" customHeight="1">
      <c r="A1040" s="6">
        <v>1038</v>
      </c>
      <c r="B1040" s="6" t="str">
        <f>"2728202011231617511524"</f>
        <v>2728202011231617511524</v>
      </c>
      <c r="C1040" s="6" t="s">
        <v>7</v>
      </c>
      <c r="D1040" s="6" t="str">
        <f>"梁宸"</f>
        <v>梁宸</v>
      </c>
      <c r="E1040" s="6" t="str">
        <f>"1991-12-27"</f>
        <v>1991-12-27</v>
      </c>
      <c r="F1040" s="6"/>
    </row>
    <row r="1041" spans="1:6" ht="30" customHeight="1">
      <c r="A1041" s="6">
        <v>1039</v>
      </c>
      <c r="B1041" s="6" t="str">
        <f>"2728202011231620451525"</f>
        <v>2728202011231620451525</v>
      </c>
      <c r="C1041" s="6" t="s">
        <v>7</v>
      </c>
      <c r="D1041" s="6" t="str">
        <f>"刘奕涵"</f>
        <v>刘奕涵</v>
      </c>
      <c r="E1041" s="6" t="str">
        <f>"1997-10-14"</f>
        <v>1997-10-14</v>
      </c>
      <c r="F1041" s="6"/>
    </row>
    <row r="1042" spans="1:6" ht="30" customHeight="1">
      <c r="A1042" s="6">
        <v>1040</v>
      </c>
      <c r="B1042" s="6" t="str">
        <f>"2728202011231624351528"</f>
        <v>2728202011231624351528</v>
      </c>
      <c r="C1042" s="6" t="s">
        <v>7</v>
      </c>
      <c r="D1042" s="6" t="str">
        <f>"梁靖仪"</f>
        <v>梁靖仪</v>
      </c>
      <c r="E1042" s="6" t="str">
        <f>"1995-06-07"</f>
        <v>1995-06-07</v>
      </c>
      <c r="F1042" s="6"/>
    </row>
    <row r="1043" spans="1:6" ht="30" customHeight="1">
      <c r="A1043" s="6">
        <v>1041</v>
      </c>
      <c r="B1043" s="6" t="str">
        <f>"2728202011231631481529"</f>
        <v>2728202011231631481529</v>
      </c>
      <c r="C1043" s="6" t="s">
        <v>7</v>
      </c>
      <c r="D1043" s="6" t="str">
        <f>"张秀芬"</f>
        <v>张秀芬</v>
      </c>
      <c r="E1043" s="6" t="str">
        <f>"1988-08-15"</f>
        <v>1988-08-15</v>
      </c>
      <c r="F1043" s="6"/>
    </row>
    <row r="1044" spans="1:6" ht="30" customHeight="1">
      <c r="A1044" s="6">
        <v>1042</v>
      </c>
      <c r="B1044" s="6" t="str">
        <f>"2728202011231631561530"</f>
        <v>2728202011231631561530</v>
      </c>
      <c r="C1044" s="6" t="s">
        <v>7</v>
      </c>
      <c r="D1044" s="6" t="str">
        <f>"方佳"</f>
        <v>方佳</v>
      </c>
      <c r="E1044" s="6" t="str">
        <f>"1998-05-23"</f>
        <v>1998-05-23</v>
      </c>
      <c r="F1044" s="6"/>
    </row>
    <row r="1045" spans="1:6" ht="30" customHeight="1">
      <c r="A1045" s="6">
        <v>1043</v>
      </c>
      <c r="B1045" s="6" t="str">
        <f>"2728202011231632511531"</f>
        <v>2728202011231632511531</v>
      </c>
      <c r="C1045" s="6" t="s">
        <v>7</v>
      </c>
      <c r="D1045" s="6" t="str">
        <f>"钟海花"</f>
        <v>钟海花</v>
      </c>
      <c r="E1045" s="6" t="str">
        <f>"1998-07-02"</f>
        <v>1998-07-02</v>
      </c>
      <c r="F1045" s="6"/>
    </row>
    <row r="1046" spans="1:6" ht="30" customHeight="1">
      <c r="A1046" s="6">
        <v>1044</v>
      </c>
      <c r="B1046" s="6" t="str">
        <f>"2728202011231637111533"</f>
        <v>2728202011231637111533</v>
      </c>
      <c r="C1046" s="6" t="s">
        <v>7</v>
      </c>
      <c r="D1046" s="6" t="str">
        <f>"李明珍"</f>
        <v>李明珍</v>
      </c>
      <c r="E1046" s="6" t="str">
        <f>"1997-06-27"</f>
        <v>1997-06-27</v>
      </c>
      <c r="F1046" s="6"/>
    </row>
    <row r="1047" spans="1:6" ht="30" customHeight="1">
      <c r="A1047" s="6">
        <v>1045</v>
      </c>
      <c r="B1047" s="6" t="str">
        <f>"2728202011231639341534"</f>
        <v>2728202011231639341534</v>
      </c>
      <c r="C1047" s="6" t="s">
        <v>7</v>
      </c>
      <c r="D1047" s="6" t="str">
        <f>"邢卡市"</f>
        <v>邢卡市</v>
      </c>
      <c r="E1047" s="6" t="str">
        <f>"1997-05-04"</f>
        <v>1997-05-04</v>
      </c>
      <c r="F1047" s="6"/>
    </row>
    <row r="1048" spans="1:6" ht="30" customHeight="1">
      <c r="A1048" s="6">
        <v>1046</v>
      </c>
      <c r="B1048" s="6" t="str">
        <f>"2728202011231641341535"</f>
        <v>2728202011231641341535</v>
      </c>
      <c r="C1048" s="6" t="s">
        <v>7</v>
      </c>
      <c r="D1048" s="6" t="str">
        <f>"黎琼瑶"</f>
        <v>黎琼瑶</v>
      </c>
      <c r="E1048" s="6" t="str">
        <f>"1996-12-20"</f>
        <v>1996-12-20</v>
      </c>
      <c r="F1048" s="6"/>
    </row>
    <row r="1049" spans="1:6" ht="30" customHeight="1">
      <c r="A1049" s="6">
        <v>1047</v>
      </c>
      <c r="B1049" s="6" t="str">
        <f>"2728202011231646031537"</f>
        <v>2728202011231646031537</v>
      </c>
      <c r="C1049" s="6" t="s">
        <v>7</v>
      </c>
      <c r="D1049" s="6" t="str">
        <f>"薛万维"</f>
        <v>薛万维</v>
      </c>
      <c r="E1049" s="6" t="str">
        <f>"1991-10-15"</f>
        <v>1991-10-15</v>
      </c>
      <c r="F1049" s="6"/>
    </row>
    <row r="1050" spans="1:6" ht="30" customHeight="1">
      <c r="A1050" s="6">
        <v>1048</v>
      </c>
      <c r="B1050" s="6" t="str">
        <f>"2728202011231650381539"</f>
        <v>2728202011231650381539</v>
      </c>
      <c r="C1050" s="6" t="s">
        <v>7</v>
      </c>
      <c r="D1050" s="6" t="str">
        <f>"李坤益"</f>
        <v>李坤益</v>
      </c>
      <c r="E1050" s="6" t="str">
        <f>"1995-06-07"</f>
        <v>1995-06-07</v>
      </c>
      <c r="F1050" s="6"/>
    </row>
    <row r="1051" spans="1:6" ht="30" customHeight="1">
      <c r="A1051" s="6">
        <v>1049</v>
      </c>
      <c r="B1051" s="6" t="str">
        <f>"2728202011231655091540"</f>
        <v>2728202011231655091540</v>
      </c>
      <c r="C1051" s="6" t="s">
        <v>7</v>
      </c>
      <c r="D1051" s="6" t="str">
        <f>"卢丽芳"</f>
        <v>卢丽芳</v>
      </c>
      <c r="E1051" s="6" t="str">
        <f>"1997-05-06"</f>
        <v>1997-05-06</v>
      </c>
      <c r="F1051" s="6"/>
    </row>
    <row r="1052" spans="1:6" ht="30" customHeight="1">
      <c r="A1052" s="6">
        <v>1050</v>
      </c>
      <c r="B1052" s="6" t="str">
        <f>"2728202011231658311543"</f>
        <v>2728202011231658311543</v>
      </c>
      <c r="C1052" s="6" t="s">
        <v>7</v>
      </c>
      <c r="D1052" s="6" t="str">
        <f>"林珍珍"</f>
        <v>林珍珍</v>
      </c>
      <c r="E1052" s="6" t="str">
        <f>"1997-08-12"</f>
        <v>1997-08-12</v>
      </c>
      <c r="F1052" s="6"/>
    </row>
    <row r="1053" spans="1:6" ht="30" customHeight="1">
      <c r="A1053" s="6">
        <v>1051</v>
      </c>
      <c r="B1053" s="6" t="str">
        <f>"2728202011231700061544"</f>
        <v>2728202011231700061544</v>
      </c>
      <c r="C1053" s="6" t="s">
        <v>7</v>
      </c>
      <c r="D1053" s="6" t="str">
        <f>"林林"</f>
        <v>林林</v>
      </c>
      <c r="E1053" s="6" t="str">
        <f>"1996-09-29"</f>
        <v>1996-09-29</v>
      </c>
      <c r="F1053" s="6"/>
    </row>
    <row r="1054" spans="1:6" ht="30" customHeight="1">
      <c r="A1054" s="6">
        <v>1052</v>
      </c>
      <c r="B1054" s="6" t="str">
        <f>"2728202011231700071545"</f>
        <v>2728202011231700071545</v>
      </c>
      <c r="C1054" s="6" t="s">
        <v>7</v>
      </c>
      <c r="D1054" s="6" t="str">
        <f>"洪银银"</f>
        <v>洪银银</v>
      </c>
      <c r="E1054" s="6" t="str">
        <f>"1992-10-10"</f>
        <v>1992-10-10</v>
      </c>
      <c r="F1054" s="6"/>
    </row>
    <row r="1055" spans="1:6" ht="30" customHeight="1">
      <c r="A1055" s="6">
        <v>1053</v>
      </c>
      <c r="B1055" s="6" t="str">
        <f>"2728202011231703021548"</f>
        <v>2728202011231703021548</v>
      </c>
      <c r="C1055" s="6" t="s">
        <v>7</v>
      </c>
      <c r="D1055" s="6" t="str">
        <f>"包兴义"</f>
        <v>包兴义</v>
      </c>
      <c r="E1055" s="6" t="str">
        <f>"1992-06-23"</f>
        <v>1992-06-23</v>
      </c>
      <c r="F1055" s="6"/>
    </row>
    <row r="1056" spans="1:6" ht="30" customHeight="1">
      <c r="A1056" s="6">
        <v>1054</v>
      </c>
      <c r="B1056" s="6" t="str">
        <f>"2728202011231704001549"</f>
        <v>2728202011231704001549</v>
      </c>
      <c r="C1056" s="6" t="s">
        <v>7</v>
      </c>
      <c r="D1056" s="6" t="str">
        <f>"蔡明科"</f>
        <v>蔡明科</v>
      </c>
      <c r="E1056" s="6" t="str">
        <f>"1997-04-11"</f>
        <v>1997-04-11</v>
      </c>
      <c r="F1056" s="6"/>
    </row>
    <row r="1057" spans="1:6" ht="30" customHeight="1">
      <c r="A1057" s="6">
        <v>1055</v>
      </c>
      <c r="B1057" s="6" t="str">
        <f>"2728202011231704121550"</f>
        <v>2728202011231704121550</v>
      </c>
      <c r="C1057" s="6" t="s">
        <v>7</v>
      </c>
      <c r="D1057" s="6" t="str">
        <f>"林莹"</f>
        <v>林莹</v>
      </c>
      <c r="E1057" s="6" t="str">
        <f>"1997-08-12"</f>
        <v>1997-08-12</v>
      </c>
      <c r="F1057" s="6"/>
    </row>
    <row r="1058" spans="1:6" ht="30" customHeight="1">
      <c r="A1058" s="6">
        <v>1056</v>
      </c>
      <c r="B1058" s="6" t="str">
        <f>"2728202011231712201551"</f>
        <v>2728202011231712201551</v>
      </c>
      <c r="C1058" s="6" t="s">
        <v>7</v>
      </c>
      <c r="D1058" s="6" t="str">
        <f>"王瑶璐"</f>
        <v>王瑶璐</v>
      </c>
      <c r="E1058" s="6" t="str">
        <f>"1997-01-14"</f>
        <v>1997-01-14</v>
      </c>
      <c r="F1058" s="6"/>
    </row>
    <row r="1059" spans="1:6" ht="30" customHeight="1">
      <c r="A1059" s="6">
        <v>1057</v>
      </c>
      <c r="B1059" s="6" t="str">
        <f>"2728202011231712331552"</f>
        <v>2728202011231712331552</v>
      </c>
      <c r="C1059" s="6" t="s">
        <v>7</v>
      </c>
      <c r="D1059" s="6" t="str">
        <f>"陈敏"</f>
        <v>陈敏</v>
      </c>
      <c r="E1059" s="6" t="str">
        <f>"1993-05-06"</f>
        <v>1993-05-06</v>
      </c>
      <c r="F1059" s="6"/>
    </row>
    <row r="1060" spans="1:6" ht="30" customHeight="1">
      <c r="A1060" s="6">
        <v>1058</v>
      </c>
      <c r="B1060" s="6" t="str">
        <f>"2728202011231713451553"</f>
        <v>2728202011231713451553</v>
      </c>
      <c r="C1060" s="6" t="s">
        <v>7</v>
      </c>
      <c r="D1060" s="6" t="str">
        <f>"裴小洁"</f>
        <v>裴小洁</v>
      </c>
      <c r="E1060" s="6" t="str">
        <f>"1992-09-24"</f>
        <v>1992-09-24</v>
      </c>
      <c r="F1060" s="6"/>
    </row>
    <row r="1061" spans="1:6" ht="30" customHeight="1">
      <c r="A1061" s="6">
        <v>1059</v>
      </c>
      <c r="B1061" s="6" t="str">
        <f>"2728202011231713571554"</f>
        <v>2728202011231713571554</v>
      </c>
      <c r="C1061" s="6" t="s">
        <v>7</v>
      </c>
      <c r="D1061" s="6" t="str">
        <f>"王雨琴"</f>
        <v>王雨琴</v>
      </c>
      <c r="E1061" s="6" t="str">
        <f>"1998-08-20"</f>
        <v>1998-08-20</v>
      </c>
      <c r="F1061" s="6"/>
    </row>
    <row r="1062" spans="1:6" ht="30" customHeight="1">
      <c r="A1062" s="6">
        <v>1060</v>
      </c>
      <c r="B1062" s="6" t="str">
        <f>"2728202011231714271555"</f>
        <v>2728202011231714271555</v>
      </c>
      <c r="C1062" s="6" t="s">
        <v>7</v>
      </c>
      <c r="D1062" s="6" t="str">
        <f>"刘乐梅"</f>
        <v>刘乐梅</v>
      </c>
      <c r="E1062" s="6" t="str">
        <f>"1995-11-21"</f>
        <v>1995-11-21</v>
      </c>
      <c r="F1062" s="6"/>
    </row>
    <row r="1063" spans="1:6" ht="30" customHeight="1">
      <c r="A1063" s="6">
        <v>1061</v>
      </c>
      <c r="B1063" s="6" t="str">
        <f>"2728202011231715361556"</f>
        <v>2728202011231715361556</v>
      </c>
      <c r="C1063" s="6" t="s">
        <v>7</v>
      </c>
      <c r="D1063" s="6" t="str">
        <f>"孟怡君"</f>
        <v>孟怡君</v>
      </c>
      <c r="E1063" s="6" t="str">
        <f>"1994-09-29"</f>
        <v>1994-09-29</v>
      </c>
      <c r="F1063" s="6"/>
    </row>
    <row r="1064" spans="1:6" ht="30" customHeight="1">
      <c r="A1064" s="6">
        <v>1062</v>
      </c>
      <c r="B1064" s="6" t="str">
        <f>"2728202011231716021557"</f>
        <v>2728202011231716021557</v>
      </c>
      <c r="C1064" s="6" t="s">
        <v>7</v>
      </c>
      <c r="D1064" s="6" t="str">
        <f>"赵晓晴"</f>
        <v>赵晓晴</v>
      </c>
      <c r="E1064" s="6" t="str">
        <f>"1999-03-13"</f>
        <v>1999-03-13</v>
      </c>
      <c r="F1064" s="6"/>
    </row>
    <row r="1065" spans="1:6" ht="30" customHeight="1">
      <c r="A1065" s="6">
        <v>1063</v>
      </c>
      <c r="B1065" s="6" t="str">
        <f>"2728202011231718281558"</f>
        <v>2728202011231718281558</v>
      </c>
      <c r="C1065" s="6" t="s">
        <v>7</v>
      </c>
      <c r="D1065" s="6" t="str">
        <f>"陈秀娟"</f>
        <v>陈秀娟</v>
      </c>
      <c r="E1065" s="6" t="str">
        <f>"1990-08-03"</f>
        <v>1990-08-03</v>
      </c>
      <c r="F1065" s="6"/>
    </row>
    <row r="1066" spans="1:6" ht="30" customHeight="1">
      <c r="A1066" s="6">
        <v>1064</v>
      </c>
      <c r="B1066" s="6" t="str">
        <f>"2728202011231720191559"</f>
        <v>2728202011231720191559</v>
      </c>
      <c r="C1066" s="6" t="s">
        <v>7</v>
      </c>
      <c r="D1066" s="6" t="str">
        <f>"董天乐"</f>
        <v>董天乐</v>
      </c>
      <c r="E1066" s="6" t="str">
        <f>"1997-03-08"</f>
        <v>1997-03-08</v>
      </c>
      <c r="F1066" s="6"/>
    </row>
    <row r="1067" spans="1:6" ht="30" customHeight="1">
      <c r="A1067" s="6">
        <v>1065</v>
      </c>
      <c r="B1067" s="6" t="str">
        <f>"2728202011231721001560"</f>
        <v>2728202011231721001560</v>
      </c>
      <c r="C1067" s="6" t="s">
        <v>7</v>
      </c>
      <c r="D1067" s="6" t="str">
        <f>"王春奕"</f>
        <v>王春奕</v>
      </c>
      <c r="E1067" s="6" t="str">
        <f>"1998-03-02"</f>
        <v>1998-03-02</v>
      </c>
      <c r="F1067" s="6"/>
    </row>
    <row r="1068" spans="1:6" ht="30" customHeight="1">
      <c r="A1068" s="6">
        <v>1066</v>
      </c>
      <c r="B1068" s="6" t="str">
        <f>"2728202011231724091562"</f>
        <v>2728202011231724091562</v>
      </c>
      <c r="C1068" s="6" t="s">
        <v>7</v>
      </c>
      <c r="D1068" s="6" t="str">
        <f>"林玉"</f>
        <v>林玉</v>
      </c>
      <c r="E1068" s="6" t="str">
        <f>"1998-08-05"</f>
        <v>1998-08-05</v>
      </c>
      <c r="F1068" s="6"/>
    </row>
    <row r="1069" spans="1:6" ht="30" customHeight="1">
      <c r="A1069" s="6">
        <v>1067</v>
      </c>
      <c r="B1069" s="6" t="str">
        <f>"2728202011231724431563"</f>
        <v>2728202011231724431563</v>
      </c>
      <c r="C1069" s="6" t="s">
        <v>7</v>
      </c>
      <c r="D1069" s="6" t="str">
        <f>"杨清清"</f>
        <v>杨清清</v>
      </c>
      <c r="E1069" s="6" t="str">
        <f>"1993-02-20"</f>
        <v>1993-02-20</v>
      </c>
      <c r="F1069" s="6"/>
    </row>
    <row r="1070" spans="1:6" ht="30" customHeight="1">
      <c r="A1070" s="6">
        <v>1068</v>
      </c>
      <c r="B1070" s="6" t="str">
        <f>"2728202011231728381564"</f>
        <v>2728202011231728381564</v>
      </c>
      <c r="C1070" s="6" t="s">
        <v>7</v>
      </c>
      <c r="D1070" s="6" t="str">
        <f>"吴广雅"</f>
        <v>吴广雅</v>
      </c>
      <c r="E1070" s="6" t="str">
        <f>"1993-11-18"</f>
        <v>1993-11-18</v>
      </c>
      <c r="F1070" s="6"/>
    </row>
    <row r="1071" spans="1:6" ht="30" customHeight="1">
      <c r="A1071" s="6">
        <v>1069</v>
      </c>
      <c r="B1071" s="6" t="str">
        <f>"2728202011231729011565"</f>
        <v>2728202011231729011565</v>
      </c>
      <c r="C1071" s="6" t="s">
        <v>7</v>
      </c>
      <c r="D1071" s="6" t="str">
        <f>"符玉如"</f>
        <v>符玉如</v>
      </c>
      <c r="E1071" s="6" t="str">
        <f>"1997-07-04"</f>
        <v>1997-07-04</v>
      </c>
      <c r="F1071" s="6"/>
    </row>
    <row r="1072" spans="1:6" ht="30" customHeight="1">
      <c r="A1072" s="6">
        <v>1070</v>
      </c>
      <c r="B1072" s="6" t="str">
        <f>"2728202011231729221566"</f>
        <v>2728202011231729221566</v>
      </c>
      <c r="C1072" s="6" t="s">
        <v>7</v>
      </c>
      <c r="D1072" s="6" t="str">
        <f>"罗立果"</f>
        <v>罗立果</v>
      </c>
      <c r="E1072" s="6" t="str">
        <f>"1988-08-15"</f>
        <v>1988-08-15</v>
      </c>
      <c r="F1072" s="6"/>
    </row>
    <row r="1073" spans="1:6" ht="30" customHeight="1">
      <c r="A1073" s="6">
        <v>1071</v>
      </c>
      <c r="B1073" s="6" t="str">
        <f>"2728202011231729451567"</f>
        <v>2728202011231729451567</v>
      </c>
      <c r="C1073" s="6" t="s">
        <v>7</v>
      </c>
      <c r="D1073" s="6" t="str">
        <f>"覃静"</f>
        <v>覃静</v>
      </c>
      <c r="E1073" s="6" t="str">
        <f>"1996-09-24"</f>
        <v>1996-09-24</v>
      </c>
      <c r="F1073" s="6"/>
    </row>
    <row r="1074" spans="1:6" ht="30" customHeight="1">
      <c r="A1074" s="6">
        <v>1072</v>
      </c>
      <c r="B1074" s="6" t="str">
        <f>"2728202011231730081568"</f>
        <v>2728202011231730081568</v>
      </c>
      <c r="C1074" s="6" t="s">
        <v>7</v>
      </c>
      <c r="D1074" s="6" t="str">
        <f>"甘祖微"</f>
        <v>甘祖微</v>
      </c>
      <c r="E1074" s="6" t="str">
        <f>"1996-01-31"</f>
        <v>1996-01-31</v>
      </c>
      <c r="F1074" s="6"/>
    </row>
    <row r="1075" spans="1:6" ht="30" customHeight="1">
      <c r="A1075" s="6">
        <v>1073</v>
      </c>
      <c r="B1075" s="6" t="str">
        <f>"2728202011231734291569"</f>
        <v>2728202011231734291569</v>
      </c>
      <c r="C1075" s="6" t="s">
        <v>7</v>
      </c>
      <c r="D1075" s="6" t="str">
        <f>"林宣材"</f>
        <v>林宣材</v>
      </c>
      <c r="E1075" s="6" t="str">
        <f>"1994-06-08"</f>
        <v>1994-06-08</v>
      </c>
      <c r="F1075" s="6"/>
    </row>
    <row r="1076" spans="1:6" ht="30" customHeight="1">
      <c r="A1076" s="6">
        <v>1074</v>
      </c>
      <c r="B1076" s="6" t="str">
        <f>"2728202011231735041570"</f>
        <v>2728202011231735041570</v>
      </c>
      <c r="C1076" s="6" t="s">
        <v>7</v>
      </c>
      <c r="D1076" s="6" t="str">
        <f>"艾君"</f>
        <v>艾君</v>
      </c>
      <c r="E1076" s="6" t="str">
        <f>"1988-04-20"</f>
        <v>1988-04-20</v>
      </c>
      <c r="F1076" s="6"/>
    </row>
    <row r="1077" spans="1:6" ht="30" customHeight="1">
      <c r="A1077" s="6">
        <v>1075</v>
      </c>
      <c r="B1077" s="6" t="str">
        <f>"2728202011231741281573"</f>
        <v>2728202011231741281573</v>
      </c>
      <c r="C1077" s="6" t="s">
        <v>7</v>
      </c>
      <c r="D1077" s="6" t="str">
        <f>"陈小惠"</f>
        <v>陈小惠</v>
      </c>
      <c r="E1077" s="6" t="str">
        <f>"1996-07-02"</f>
        <v>1996-07-02</v>
      </c>
      <c r="F1077" s="6"/>
    </row>
    <row r="1078" spans="1:6" ht="30" customHeight="1">
      <c r="A1078" s="6">
        <v>1076</v>
      </c>
      <c r="B1078" s="6" t="str">
        <f>"2728202011231743431574"</f>
        <v>2728202011231743431574</v>
      </c>
      <c r="C1078" s="6" t="s">
        <v>7</v>
      </c>
      <c r="D1078" s="6" t="str">
        <f>"江霞"</f>
        <v>江霞</v>
      </c>
      <c r="E1078" s="6" t="str">
        <f>"1996-03-25"</f>
        <v>1996-03-25</v>
      </c>
      <c r="F1078" s="6"/>
    </row>
    <row r="1079" spans="1:6" ht="30" customHeight="1">
      <c r="A1079" s="6">
        <v>1077</v>
      </c>
      <c r="B1079" s="6" t="str">
        <f>"2728202011231751581576"</f>
        <v>2728202011231751581576</v>
      </c>
      <c r="C1079" s="6" t="s">
        <v>7</v>
      </c>
      <c r="D1079" s="6" t="str">
        <f>"唐防"</f>
        <v>唐防</v>
      </c>
      <c r="E1079" s="6" t="str">
        <f>"1995-05-13"</f>
        <v>1995-05-13</v>
      </c>
      <c r="F1079" s="6"/>
    </row>
    <row r="1080" spans="1:6" ht="30" customHeight="1">
      <c r="A1080" s="6">
        <v>1078</v>
      </c>
      <c r="B1080" s="6" t="str">
        <f>"2728202011231814271581"</f>
        <v>2728202011231814271581</v>
      </c>
      <c r="C1080" s="6" t="s">
        <v>7</v>
      </c>
      <c r="D1080" s="6" t="str">
        <f>"石曼琦"</f>
        <v>石曼琦</v>
      </c>
      <c r="E1080" s="6" t="str">
        <f>"1997-12-22"</f>
        <v>1997-12-22</v>
      </c>
      <c r="F1080" s="6"/>
    </row>
    <row r="1081" spans="1:6" ht="30" customHeight="1">
      <c r="A1081" s="6">
        <v>1079</v>
      </c>
      <c r="B1081" s="6" t="str">
        <f>"2728202011231824451583"</f>
        <v>2728202011231824451583</v>
      </c>
      <c r="C1081" s="6" t="s">
        <v>7</v>
      </c>
      <c r="D1081" s="6" t="str">
        <f>"陈炳森"</f>
        <v>陈炳森</v>
      </c>
      <c r="E1081" s="6" t="str">
        <f>"1998-11-01"</f>
        <v>1998-11-01</v>
      </c>
      <c r="F1081" s="6"/>
    </row>
    <row r="1082" spans="1:6" ht="30" customHeight="1">
      <c r="A1082" s="6">
        <v>1080</v>
      </c>
      <c r="B1082" s="6" t="str">
        <f>"2728202011231846591586"</f>
        <v>2728202011231846591586</v>
      </c>
      <c r="C1082" s="6" t="s">
        <v>7</v>
      </c>
      <c r="D1082" s="6" t="str">
        <f>"罗文窈"</f>
        <v>罗文窈</v>
      </c>
      <c r="E1082" s="6" t="str">
        <f>"1997-06-11"</f>
        <v>1997-06-11</v>
      </c>
      <c r="F1082" s="6"/>
    </row>
    <row r="1083" spans="1:6" ht="30" customHeight="1">
      <c r="A1083" s="6">
        <v>1081</v>
      </c>
      <c r="B1083" s="6" t="str">
        <f>"2728202011231848111587"</f>
        <v>2728202011231848111587</v>
      </c>
      <c r="C1083" s="6" t="s">
        <v>7</v>
      </c>
      <c r="D1083" s="6" t="str">
        <f>"陈肖飞"</f>
        <v>陈肖飞</v>
      </c>
      <c r="E1083" s="6" t="str">
        <f>"1995-11-02"</f>
        <v>1995-11-02</v>
      </c>
      <c r="F1083" s="6"/>
    </row>
    <row r="1084" spans="1:6" ht="30" customHeight="1">
      <c r="A1084" s="6">
        <v>1082</v>
      </c>
      <c r="B1084" s="6" t="str">
        <f>"2728202011231850211589"</f>
        <v>2728202011231850211589</v>
      </c>
      <c r="C1084" s="6" t="s">
        <v>7</v>
      </c>
      <c r="D1084" s="6" t="str">
        <f>"周才雄"</f>
        <v>周才雄</v>
      </c>
      <c r="E1084" s="6" t="str">
        <f>"1994-10-17"</f>
        <v>1994-10-17</v>
      </c>
      <c r="F1084" s="6"/>
    </row>
    <row r="1085" spans="1:6" ht="30" customHeight="1">
      <c r="A1085" s="6">
        <v>1083</v>
      </c>
      <c r="B1085" s="6" t="str">
        <f>"2728202011231906111591"</f>
        <v>2728202011231906111591</v>
      </c>
      <c r="C1085" s="6" t="s">
        <v>7</v>
      </c>
      <c r="D1085" s="6" t="str">
        <f>"王咸弟"</f>
        <v>王咸弟</v>
      </c>
      <c r="E1085" s="6" t="str">
        <f>"1998-04-03"</f>
        <v>1998-04-03</v>
      </c>
      <c r="F1085" s="6"/>
    </row>
    <row r="1086" spans="1:6" ht="30" customHeight="1">
      <c r="A1086" s="6">
        <v>1084</v>
      </c>
      <c r="B1086" s="6" t="str">
        <f>"2728202011231913501592"</f>
        <v>2728202011231913501592</v>
      </c>
      <c r="C1086" s="6" t="s">
        <v>7</v>
      </c>
      <c r="D1086" s="6" t="str">
        <f>"李可书"</f>
        <v>李可书</v>
      </c>
      <c r="E1086" s="6" t="str">
        <f>"1991-05-21"</f>
        <v>1991-05-21</v>
      </c>
      <c r="F1086" s="6"/>
    </row>
    <row r="1087" spans="1:6" ht="30" customHeight="1">
      <c r="A1087" s="6">
        <v>1085</v>
      </c>
      <c r="B1087" s="6" t="str">
        <f>"2728202011231923551595"</f>
        <v>2728202011231923551595</v>
      </c>
      <c r="C1087" s="6" t="s">
        <v>7</v>
      </c>
      <c r="D1087" s="6" t="str">
        <f>"林萍"</f>
        <v>林萍</v>
      </c>
      <c r="E1087" s="6" t="str">
        <f>"1998-11-20"</f>
        <v>1998-11-20</v>
      </c>
      <c r="F1087" s="6"/>
    </row>
    <row r="1088" spans="1:6" ht="30" customHeight="1">
      <c r="A1088" s="6">
        <v>1086</v>
      </c>
      <c r="B1088" s="6" t="str">
        <f>"2728202011231925311596"</f>
        <v>2728202011231925311596</v>
      </c>
      <c r="C1088" s="6" t="s">
        <v>7</v>
      </c>
      <c r="D1088" s="6" t="str">
        <f>"吴容芳"</f>
        <v>吴容芳</v>
      </c>
      <c r="E1088" s="6" t="str">
        <f>"1994-05-16"</f>
        <v>1994-05-16</v>
      </c>
      <c r="F1088" s="6"/>
    </row>
    <row r="1089" spans="1:6" ht="30" customHeight="1">
      <c r="A1089" s="6">
        <v>1087</v>
      </c>
      <c r="B1089" s="6" t="str">
        <f>"2728202011231926361597"</f>
        <v>2728202011231926361597</v>
      </c>
      <c r="C1089" s="6" t="s">
        <v>7</v>
      </c>
      <c r="D1089" s="6" t="str">
        <f>"张泱蓥"</f>
        <v>张泱蓥</v>
      </c>
      <c r="E1089" s="6" t="str">
        <f>"1998-07-29"</f>
        <v>1998-07-29</v>
      </c>
      <c r="F1089" s="6"/>
    </row>
    <row r="1090" spans="1:6" ht="30" customHeight="1">
      <c r="A1090" s="6">
        <v>1088</v>
      </c>
      <c r="B1090" s="6" t="str">
        <f>"2728202011231928341598"</f>
        <v>2728202011231928341598</v>
      </c>
      <c r="C1090" s="6" t="s">
        <v>7</v>
      </c>
      <c r="D1090" s="6" t="str">
        <f>"陈增通"</f>
        <v>陈增通</v>
      </c>
      <c r="E1090" s="6" t="str">
        <f>"1996-08-21"</f>
        <v>1996-08-21</v>
      </c>
      <c r="F1090" s="6"/>
    </row>
    <row r="1091" spans="1:6" ht="30" customHeight="1">
      <c r="A1091" s="6">
        <v>1089</v>
      </c>
      <c r="B1091" s="6" t="str">
        <f>"2728202011231930281599"</f>
        <v>2728202011231930281599</v>
      </c>
      <c r="C1091" s="6" t="s">
        <v>7</v>
      </c>
      <c r="D1091" s="6" t="str">
        <f>"黎启晓"</f>
        <v>黎启晓</v>
      </c>
      <c r="E1091" s="6" t="str">
        <f>"1998-07-20"</f>
        <v>1998-07-20</v>
      </c>
      <c r="F1091" s="6"/>
    </row>
    <row r="1092" spans="1:6" ht="30" customHeight="1">
      <c r="A1092" s="6">
        <v>1090</v>
      </c>
      <c r="B1092" s="6" t="str">
        <f>"2728202011231931571600"</f>
        <v>2728202011231931571600</v>
      </c>
      <c r="C1092" s="6" t="s">
        <v>7</v>
      </c>
      <c r="D1092" s="6" t="str">
        <f>"麦安艺"</f>
        <v>麦安艺</v>
      </c>
      <c r="E1092" s="6" t="str">
        <f>"1998-01-22"</f>
        <v>1998-01-22</v>
      </c>
      <c r="F1092" s="6"/>
    </row>
    <row r="1093" spans="1:6" ht="30" customHeight="1">
      <c r="A1093" s="6">
        <v>1091</v>
      </c>
      <c r="B1093" s="6" t="str">
        <f>"2728202011231936041603"</f>
        <v>2728202011231936041603</v>
      </c>
      <c r="C1093" s="6" t="s">
        <v>7</v>
      </c>
      <c r="D1093" s="6" t="str">
        <f>"江祎军"</f>
        <v>江祎军</v>
      </c>
      <c r="E1093" s="6" t="str">
        <f>"1987-01-01"</f>
        <v>1987-01-01</v>
      </c>
      <c r="F1093" s="6"/>
    </row>
    <row r="1094" spans="1:6" ht="30" customHeight="1">
      <c r="A1094" s="6">
        <v>1092</v>
      </c>
      <c r="B1094" s="6" t="str">
        <f>"2728202011231941311605"</f>
        <v>2728202011231941311605</v>
      </c>
      <c r="C1094" s="6" t="s">
        <v>7</v>
      </c>
      <c r="D1094" s="6" t="str">
        <f>"孙才道"</f>
        <v>孙才道</v>
      </c>
      <c r="E1094" s="6" t="str">
        <f>"2000-03-17"</f>
        <v>2000-03-17</v>
      </c>
      <c r="F1094" s="6"/>
    </row>
    <row r="1095" spans="1:6" ht="30" customHeight="1">
      <c r="A1095" s="6">
        <v>1093</v>
      </c>
      <c r="B1095" s="6" t="str">
        <f>"2728202011231942451606"</f>
        <v>2728202011231942451606</v>
      </c>
      <c r="C1095" s="6" t="s">
        <v>7</v>
      </c>
      <c r="D1095" s="6" t="str">
        <f>"何芬珠"</f>
        <v>何芬珠</v>
      </c>
      <c r="E1095" s="6" t="str">
        <f>"1992-12-08"</f>
        <v>1992-12-08</v>
      </c>
      <c r="F1095" s="6"/>
    </row>
    <row r="1096" spans="1:6" ht="30" customHeight="1">
      <c r="A1096" s="6">
        <v>1094</v>
      </c>
      <c r="B1096" s="6" t="str">
        <f>"2728202011231948071608"</f>
        <v>2728202011231948071608</v>
      </c>
      <c r="C1096" s="6" t="s">
        <v>7</v>
      </c>
      <c r="D1096" s="6" t="str">
        <f>"冯余义"</f>
        <v>冯余义</v>
      </c>
      <c r="E1096" s="6" t="str">
        <f>"1996-09-09"</f>
        <v>1996-09-09</v>
      </c>
      <c r="F1096" s="6"/>
    </row>
    <row r="1097" spans="1:6" ht="30" customHeight="1">
      <c r="A1097" s="6">
        <v>1095</v>
      </c>
      <c r="B1097" s="6" t="str">
        <f>"2728202011231955191609"</f>
        <v>2728202011231955191609</v>
      </c>
      <c r="C1097" s="6" t="s">
        <v>7</v>
      </c>
      <c r="D1097" s="6" t="str">
        <f>"符海滨"</f>
        <v>符海滨</v>
      </c>
      <c r="E1097" s="6" t="str">
        <f>"1993-05-18"</f>
        <v>1993-05-18</v>
      </c>
      <c r="F1097" s="6"/>
    </row>
    <row r="1098" spans="1:6" ht="30" customHeight="1">
      <c r="A1098" s="6">
        <v>1096</v>
      </c>
      <c r="B1098" s="6" t="str">
        <f>"2728202011231955581610"</f>
        <v>2728202011231955581610</v>
      </c>
      <c r="C1098" s="6" t="s">
        <v>7</v>
      </c>
      <c r="D1098" s="6" t="str">
        <f>"陈益杰"</f>
        <v>陈益杰</v>
      </c>
      <c r="E1098" s="6" t="str">
        <f>"1998-02-11"</f>
        <v>1998-02-11</v>
      </c>
      <c r="F1098" s="6"/>
    </row>
    <row r="1099" spans="1:6" ht="30" customHeight="1">
      <c r="A1099" s="6">
        <v>1097</v>
      </c>
      <c r="B1099" s="6" t="str">
        <f>"2728202011231955591611"</f>
        <v>2728202011231955591611</v>
      </c>
      <c r="C1099" s="6" t="s">
        <v>7</v>
      </c>
      <c r="D1099" s="6" t="str">
        <f>"方小丽"</f>
        <v>方小丽</v>
      </c>
      <c r="E1099" s="6" t="str">
        <f>"1989-12-22"</f>
        <v>1989-12-22</v>
      </c>
      <c r="F1099" s="6"/>
    </row>
    <row r="1100" spans="1:6" ht="30" customHeight="1">
      <c r="A1100" s="6">
        <v>1098</v>
      </c>
      <c r="B1100" s="6" t="str">
        <f>"2728202011231956081612"</f>
        <v>2728202011231956081612</v>
      </c>
      <c r="C1100" s="6" t="s">
        <v>7</v>
      </c>
      <c r="D1100" s="6" t="str">
        <f>"凌慧"</f>
        <v>凌慧</v>
      </c>
      <c r="E1100" s="6" t="str">
        <f>"1997-09-04"</f>
        <v>1997-09-04</v>
      </c>
      <c r="F1100" s="6"/>
    </row>
    <row r="1101" spans="1:6" ht="30" customHeight="1">
      <c r="A1101" s="6">
        <v>1099</v>
      </c>
      <c r="B1101" s="6" t="str">
        <f>"2728202011231958071613"</f>
        <v>2728202011231958071613</v>
      </c>
      <c r="C1101" s="6" t="s">
        <v>7</v>
      </c>
      <c r="D1101" s="6" t="str">
        <f>"吴妙琳"</f>
        <v>吴妙琳</v>
      </c>
      <c r="E1101" s="6" t="str">
        <f>"1997-11-04"</f>
        <v>1997-11-04</v>
      </c>
      <c r="F1101" s="6"/>
    </row>
    <row r="1102" spans="1:6" ht="30" customHeight="1">
      <c r="A1102" s="6">
        <v>1100</v>
      </c>
      <c r="B1102" s="6" t="str">
        <f>"2728202011232008591616"</f>
        <v>2728202011232008591616</v>
      </c>
      <c r="C1102" s="6" t="s">
        <v>7</v>
      </c>
      <c r="D1102" s="6" t="str">
        <f>"董艺雅"</f>
        <v>董艺雅</v>
      </c>
      <c r="E1102" s="6" t="str">
        <f>"1997-01-22"</f>
        <v>1997-01-22</v>
      </c>
      <c r="F1102" s="6"/>
    </row>
    <row r="1103" spans="1:6" ht="30" customHeight="1">
      <c r="A1103" s="6">
        <v>1101</v>
      </c>
      <c r="B1103" s="6" t="str">
        <f>"2728202011232009401617"</f>
        <v>2728202011232009401617</v>
      </c>
      <c r="C1103" s="6" t="s">
        <v>7</v>
      </c>
      <c r="D1103" s="6" t="str">
        <f>"李光翔"</f>
        <v>李光翔</v>
      </c>
      <c r="E1103" s="6" t="str">
        <f>"1991-09-10"</f>
        <v>1991-09-10</v>
      </c>
      <c r="F1103" s="6"/>
    </row>
    <row r="1104" spans="1:6" ht="30" customHeight="1">
      <c r="A1104" s="6">
        <v>1102</v>
      </c>
      <c r="B1104" s="6" t="str">
        <f>"2728202011232016311618"</f>
        <v>2728202011232016311618</v>
      </c>
      <c r="C1104" s="6" t="s">
        <v>7</v>
      </c>
      <c r="D1104" s="6" t="str">
        <f>"刘庄子"</f>
        <v>刘庄子</v>
      </c>
      <c r="E1104" s="6" t="str">
        <f>"1999-01-20"</f>
        <v>1999-01-20</v>
      </c>
      <c r="F1104" s="6"/>
    </row>
    <row r="1105" spans="1:6" ht="30" customHeight="1">
      <c r="A1105" s="6">
        <v>1103</v>
      </c>
      <c r="B1105" s="6" t="str">
        <f>"2728202011232018221619"</f>
        <v>2728202011232018221619</v>
      </c>
      <c r="C1105" s="6" t="s">
        <v>7</v>
      </c>
      <c r="D1105" s="6" t="str">
        <f>"陈梦依"</f>
        <v>陈梦依</v>
      </c>
      <c r="E1105" s="6" t="str">
        <f>"1995-11-01"</f>
        <v>1995-11-01</v>
      </c>
      <c r="F1105" s="6"/>
    </row>
    <row r="1106" spans="1:6" ht="30" customHeight="1">
      <c r="A1106" s="6">
        <v>1104</v>
      </c>
      <c r="B1106" s="6" t="str">
        <f>"2728202011232026171620"</f>
        <v>2728202011232026171620</v>
      </c>
      <c r="C1106" s="6" t="s">
        <v>7</v>
      </c>
      <c r="D1106" s="6" t="str">
        <f>"陈妤"</f>
        <v>陈妤</v>
      </c>
      <c r="E1106" s="6" t="str">
        <f>"1998-02-04"</f>
        <v>1998-02-04</v>
      </c>
      <c r="F1106" s="6"/>
    </row>
    <row r="1107" spans="1:6" ht="30" customHeight="1">
      <c r="A1107" s="6">
        <v>1105</v>
      </c>
      <c r="B1107" s="6" t="str">
        <f>"2728202011232038361622"</f>
        <v>2728202011232038361622</v>
      </c>
      <c r="C1107" s="6" t="s">
        <v>7</v>
      </c>
      <c r="D1107" s="6" t="str">
        <f>"洪欣睿"</f>
        <v>洪欣睿</v>
      </c>
      <c r="E1107" s="6" t="str">
        <f>"1994-10-03"</f>
        <v>1994-10-03</v>
      </c>
      <c r="F1107" s="6"/>
    </row>
    <row r="1108" spans="1:6" ht="30" customHeight="1">
      <c r="A1108" s="6">
        <v>1106</v>
      </c>
      <c r="B1108" s="6" t="str">
        <f>"2728202011232041311623"</f>
        <v>2728202011232041311623</v>
      </c>
      <c r="C1108" s="6" t="s">
        <v>7</v>
      </c>
      <c r="D1108" s="6" t="str">
        <f>"陈科"</f>
        <v>陈科</v>
      </c>
      <c r="E1108" s="6" t="str">
        <f>"1990-12-29"</f>
        <v>1990-12-29</v>
      </c>
      <c r="F1108" s="6"/>
    </row>
    <row r="1109" spans="1:6" ht="30" customHeight="1">
      <c r="A1109" s="6">
        <v>1107</v>
      </c>
      <c r="B1109" s="6" t="str">
        <f>"2728202011232049321625"</f>
        <v>2728202011232049321625</v>
      </c>
      <c r="C1109" s="6" t="s">
        <v>7</v>
      </c>
      <c r="D1109" s="6" t="str">
        <f>"罗钧"</f>
        <v>罗钧</v>
      </c>
      <c r="E1109" s="6" t="str">
        <f>"1990-08-08"</f>
        <v>1990-08-08</v>
      </c>
      <c r="F1109" s="6"/>
    </row>
    <row r="1110" spans="1:6" ht="30" customHeight="1">
      <c r="A1110" s="6">
        <v>1108</v>
      </c>
      <c r="B1110" s="6" t="str">
        <f>"2728202011232049561626"</f>
        <v>2728202011232049561626</v>
      </c>
      <c r="C1110" s="6" t="s">
        <v>7</v>
      </c>
      <c r="D1110" s="6" t="str">
        <f>"邱小康"</f>
        <v>邱小康</v>
      </c>
      <c r="E1110" s="6" t="str">
        <f>"1997-05-11"</f>
        <v>1997-05-11</v>
      </c>
      <c r="F1110" s="6"/>
    </row>
    <row r="1111" spans="1:6" ht="30" customHeight="1">
      <c r="A1111" s="6">
        <v>1109</v>
      </c>
      <c r="B1111" s="6" t="str">
        <f>"2728202011232050441627"</f>
        <v>2728202011232050441627</v>
      </c>
      <c r="C1111" s="6" t="s">
        <v>7</v>
      </c>
      <c r="D1111" s="6" t="str">
        <f>"赵秋月"</f>
        <v>赵秋月</v>
      </c>
      <c r="E1111" s="6" t="str">
        <f>"1992-08-12"</f>
        <v>1992-08-12</v>
      </c>
      <c r="F1111" s="6"/>
    </row>
    <row r="1112" spans="1:6" ht="30" customHeight="1">
      <c r="A1112" s="6">
        <v>1110</v>
      </c>
      <c r="B1112" s="6" t="str">
        <f>"2728202011232051111628"</f>
        <v>2728202011232051111628</v>
      </c>
      <c r="C1112" s="6" t="s">
        <v>7</v>
      </c>
      <c r="D1112" s="6" t="str">
        <f>"盛广香"</f>
        <v>盛广香</v>
      </c>
      <c r="E1112" s="6" t="str">
        <f>"1991-08-10"</f>
        <v>1991-08-10</v>
      </c>
      <c r="F1112" s="6"/>
    </row>
    <row r="1113" spans="1:6" ht="30" customHeight="1">
      <c r="A1113" s="6">
        <v>1111</v>
      </c>
      <c r="B1113" s="6" t="str">
        <f>"2728202011232053491629"</f>
        <v>2728202011232053491629</v>
      </c>
      <c r="C1113" s="6" t="s">
        <v>7</v>
      </c>
      <c r="D1113" s="6" t="str">
        <f>"梁天河"</f>
        <v>梁天河</v>
      </c>
      <c r="E1113" s="6" t="str">
        <f>"1998-01-06"</f>
        <v>1998-01-06</v>
      </c>
      <c r="F1113" s="6"/>
    </row>
    <row r="1114" spans="1:6" ht="30" customHeight="1">
      <c r="A1114" s="6">
        <v>1112</v>
      </c>
      <c r="B1114" s="6" t="str">
        <f>"2728202011232058511630"</f>
        <v>2728202011232058511630</v>
      </c>
      <c r="C1114" s="6" t="s">
        <v>7</v>
      </c>
      <c r="D1114" s="6" t="str">
        <f>"李敏"</f>
        <v>李敏</v>
      </c>
      <c r="E1114" s="6" t="str">
        <f>"1991-05-15"</f>
        <v>1991-05-15</v>
      </c>
      <c r="F1114" s="6"/>
    </row>
    <row r="1115" spans="1:6" ht="30" customHeight="1">
      <c r="A1115" s="6">
        <v>1113</v>
      </c>
      <c r="B1115" s="6" t="str">
        <f>"2728202011232100531631"</f>
        <v>2728202011232100531631</v>
      </c>
      <c r="C1115" s="6" t="s">
        <v>7</v>
      </c>
      <c r="D1115" s="6" t="str">
        <f>"涂静"</f>
        <v>涂静</v>
      </c>
      <c r="E1115" s="6" t="str">
        <f>"1992-01-18"</f>
        <v>1992-01-18</v>
      </c>
      <c r="F1115" s="6"/>
    </row>
    <row r="1116" spans="1:6" ht="30" customHeight="1">
      <c r="A1116" s="6">
        <v>1114</v>
      </c>
      <c r="B1116" s="6" t="str">
        <f>"2728202011232105441632"</f>
        <v>2728202011232105441632</v>
      </c>
      <c r="C1116" s="6" t="s">
        <v>7</v>
      </c>
      <c r="D1116" s="6" t="str">
        <f>"林浩"</f>
        <v>林浩</v>
      </c>
      <c r="E1116" s="6" t="str">
        <f>"1996-11-09"</f>
        <v>1996-11-09</v>
      </c>
      <c r="F1116" s="6"/>
    </row>
    <row r="1117" spans="1:6" ht="30" customHeight="1">
      <c r="A1117" s="6">
        <v>1115</v>
      </c>
      <c r="B1117" s="6" t="str">
        <f>"2728202011232106361633"</f>
        <v>2728202011232106361633</v>
      </c>
      <c r="C1117" s="6" t="s">
        <v>7</v>
      </c>
      <c r="D1117" s="6" t="str">
        <f>"王堂华"</f>
        <v>王堂华</v>
      </c>
      <c r="E1117" s="6" t="str">
        <f>"1991-09-23"</f>
        <v>1991-09-23</v>
      </c>
      <c r="F1117" s="6"/>
    </row>
    <row r="1118" spans="1:6" ht="30" customHeight="1">
      <c r="A1118" s="6">
        <v>1116</v>
      </c>
      <c r="B1118" s="6" t="str">
        <f>"2728202011232107461634"</f>
        <v>2728202011232107461634</v>
      </c>
      <c r="C1118" s="6" t="s">
        <v>7</v>
      </c>
      <c r="D1118" s="6" t="str">
        <f>"卢海珠"</f>
        <v>卢海珠</v>
      </c>
      <c r="E1118" s="6" t="str">
        <f>"1997-09-10"</f>
        <v>1997-09-10</v>
      </c>
      <c r="F1118" s="6"/>
    </row>
    <row r="1119" spans="1:6" ht="30" customHeight="1">
      <c r="A1119" s="6">
        <v>1117</v>
      </c>
      <c r="B1119" s="6" t="str">
        <f>"2728202011232122461636"</f>
        <v>2728202011232122461636</v>
      </c>
      <c r="C1119" s="6" t="s">
        <v>7</v>
      </c>
      <c r="D1119" s="6" t="str">
        <f>"王和辉"</f>
        <v>王和辉</v>
      </c>
      <c r="E1119" s="6" t="str">
        <f>"1995-10-02"</f>
        <v>1995-10-02</v>
      </c>
      <c r="F1119" s="6"/>
    </row>
    <row r="1120" spans="1:6" ht="30" customHeight="1">
      <c r="A1120" s="6">
        <v>1118</v>
      </c>
      <c r="B1120" s="6" t="str">
        <f>"2728202011232125381637"</f>
        <v>2728202011232125381637</v>
      </c>
      <c r="C1120" s="6" t="s">
        <v>7</v>
      </c>
      <c r="D1120" s="6" t="str">
        <f>"陈明霞"</f>
        <v>陈明霞</v>
      </c>
      <c r="E1120" s="6" t="str">
        <f>"1989-02-03"</f>
        <v>1989-02-03</v>
      </c>
      <c r="F1120" s="6"/>
    </row>
    <row r="1121" spans="1:6" ht="30" customHeight="1">
      <c r="A1121" s="6">
        <v>1119</v>
      </c>
      <c r="B1121" s="6" t="str">
        <f>"2728202011232129051638"</f>
        <v>2728202011232129051638</v>
      </c>
      <c r="C1121" s="6" t="s">
        <v>7</v>
      </c>
      <c r="D1121" s="6" t="str">
        <f>"高敏吉"</f>
        <v>高敏吉</v>
      </c>
      <c r="E1121" s="6" t="str">
        <f>"1993-12-23"</f>
        <v>1993-12-23</v>
      </c>
      <c r="F1121" s="6"/>
    </row>
    <row r="1122" spans="1:6" ht="30" customHeight="1">
      <c r="A1122" s="6">
        <v>1120</v>
      </c>
      <c r="B1122" s="6" t="str">
        <f>"2728202011232130431640"</f>
        <v>2728202011232130431640</v>
      </c>
      <c r="C1122" s="6" t="s">
        <v>7</v>
      </c>
      <c r="D1122" s="6" t="str">
        <f>"黎瑞子"</f>
        <v>黎瑞子</v>
      </c>
      <c r="E1122" s="6" t="str">
        <f>"1989-01-20"</f>
        <v>1989-01-20</v>
      </c>
      <c r="F1122" s="6"/>
    </row>
    <row r="1123" spans="1:6" ht="30" customHeight="1">
      <c r="A1123" s="6">
        <v>1121</v>
      </c>
      <c r="B1123" s="6" t="str">
        <f>"2728202011232139181642"</f>
        <v>2728202011232139181642</v>
      </c>
      <c r="C1123" s="6" t="s">
        <v>7</v>
      </c>
      <c r="D1123" s="6" t="str">
        <f>"陈浩南"</f>
        <v>陈浩南</v>
      </c>
      <c r="E1123" s="6" t="str">
        <f>"1997-08-12"</f>
        <v>1997-08-12</v>
      </c>
      <c r="F1123" s="6"/>
    </row>
    <row r="1124" spans="1:6" ht="30" customHeight="1">
      <c r="A1124" s="6">
        <v>1122</v>
      </c>
      <c r="B1124" s="6" t="str">
        <f>"2728202011232139371643"</f>
        <v>2728202011232139371643</v>
      </c>
      <c r="C1124" s="6" t="s">
        <v>7</v>
      </c>
      <c r="D1124" s="6" t="str">
        <f>"刘鹏翚"</f>
        <v>刘鹏翚</v>
      </c>
      <c r="E1124" s="6" t="str">
        <f>"1988-08-11"</f>
        <v>1988-08-11</v>
      </c>
      <c r="F1124" s="6"/>
    </row>
    <row r="1125" spans="1:6" ht="30" customHeight="1">
      <c r="A1125" s="6">
        <v>1123</v>
      </c>
      <c r="B1125" s="6" t="str">
        <f>"2728202011232142211644"</f>
        <v>2728202011232142211644</v>
      </c>
      <c r="C1125" s="6" t="s">
        <v>7</v>
      </c>
      <c r="D1125" s="6" t="str">
        <f>"陈颖"</f>
        <v>陈颖</v>
      </c>
      <c r="E1125" s="6" t="str">
        <f>"1997-05-28"</f>
        <v>1997-05-28</v>
      </c>
      <c r="F1125" s="6"/>
    </row>
    <row r="1126" spans="1:6" ht="30" customHeight="1">
      <c r="A1126" s="6">
        <v>1124</v>
      </c>
      <c r="B1126" s="6" t="str">
        <f>"2728202011232142391645"</f>
        <v>2728202011232142391645</v>
      </c>
      <c r="C1126" s="6" t="s">
        <v>7</v>
      </c>
      <c r="D1126" s="6" t="str">
        <f>"刘妞"</f>
        <v>刘妞</v>
      </c>
      <c r="E1126" s="6" t="str">
        <f>"1996-03-29"</f>
        <v>1996-03-29</v>
      </c>
      <c r="F1126" s="6"/>
    </row>
    <row r="1127" spans="1:6" ht="30" customHeight="1">
      <c r="A1127" s="6">
        <v>1125</v>
      </c>
      <c r="B1127" s="6" t="str">
        <f>"2728202011232145321646"</f>
        <v>2728202011232145321646</v>
      </c>
      <c r="C1127" s="6" t="s">
        <v>7</v>
      </c>
      <c r="D1127" s="6" t="str">
        <f>"覃睿荣"</f>
        <v>覃睿荣</v>
      </c>
      <c r="E1127" s="6" t="str">
        <f>"1997-09-18"</f>
        <v>1997-09-18</v>
      </c>
      <c r="F1127" s="6"/>
    </row>
    <row r="1128" spans="1:6" ht="30" customHeight="1">
      <c r="A1128" s="6">
        <v>1126</v>
      </c>
      <c r="B1128" s="6" t="str">
        <f>"2728202011232148391647"</f>
        <v>2728202011232148391647</v>
      </c>
      <c r="C1128" s="6" t="s">
        <v>7</v>
      </c>
      <c r="D1128" s="6" t="str">
        <f>"林雪莹"</f>
        <v>林雪莹</v>
      </c>
      <c r="E1128" s="6" t="str">
        <f>"1995-08-28"</f>
        <v>1995-08-28</v>
      </c>
      <c r="F1128" s="6"/>
    </row>
    <row r="1129" spans="1:6" ht="30" customHeight="1">
      <c r="A1129" s="6">
        <v>1127</v>
      </c>
      <c r="B1129" s="6" t="str">
        <f>"2728202011232149471648"</f>
        <v>2728202011232149471648</v>
      </c>
      <c r="C1129" s="6" t="s">
        <v>7</v>
      </c>
      <c r="D1129" s="6" t="str">
        <f>"袁乙方"</f>
        <v>袁乙方</v>
      </c>
      <c r="E1129" s="6" t="str">
        <f>"1993-06-26"</f>
        <v>1993-06-26</v>
      </c>
      <c r="F1129" s="6"/>
    </row>
    <row r="1130" spans="1:6" ht="30" customHeight="1">
      <c r="A1130" s="6">
        <v>1128</v>
      </c>
      <c r="B1130" s="6" t="str">
        <f>"2728202011232150371649"</f>
        <v>2728202011232150371649</v>
      </c>
      <c r="C1130" s="6" t="s">
        <v>7</v>
      </c>
      <c r="D1130" s="6" t="str">
        <f>"麦宜云"</f>
        <v>麦宜云</v>
      </c>
      <c r="E1130" s="6" t="str">
        <f>"1992-04-08"</f>
        <v>1992-04-08</v>
      </c>
      <c r="F1130" s="6"/>
    </row>
    <row r="1131" spans="1:6" ht="30" customHeight="1">
      <c r="A1131" s="6">
        <v>1129</v>
      </c>
      <c r="B1131" s="6" t="str">
        <f>"2728202011232155061651"</f>
        <v>2728202011232155061651</v>
      </c>
      <c r="C1131" s="6" t="s">
        <v>7</v>
      </c>
      <c r="D1131" s="6" t="str">
        <f>"陈希槿"</f>
        <v>陈希槿</v>
      </c>
      <c r="E1131" s="6" t="str">
        <f>"1997-01-03"</f>
        <v>1997-01-03</v>
      </c>
      <c r="F1131" s="6"/>
    </row>
    <row r="1132" spans="1:6" ht="30" customHeight="1">
      <c r="A1132" s="6">
        <v>1130</v>
      </c>
      <c r="B1132" s="6" t="str">
        <f>"2728202011232200301652"</f>
        <v>2728202011232200301652</v>
      </c>
      <c r="C1132" s="6" t="s">
        <v>7</v>
      </c>
      <c r="D1132" s="6" t="str">
        <f>"王泽消"</f>
        <v>王泽消</v>
      </c>
      <c r="E1132" s="6" t="str">
        <f>"1988-07-29"</f>
        <v>1988-07-29</v>
      </c>
      <c r="F1132" s="6"/>
    </row>
    <row r="1133" spans="1:6" ht="30" customHeight="1">
      <c r="A1133" s="6">
        <v>1131</v>
      </c>
      <c r="B1133" s="6" t="str">
        <f>"2728202011232212421656"</f>
        <v>2728202011232212421656</v>
      </c>
      <c r="C1133" s="6" t="s">
        <v>7</v>
      </c>
      <c r="D1133" s="6" t="str">
        <f>"高艳芝"</f>
        <v>高艳芝</v>
      </c>
      <c r="E1133" s="6" t="str">
        <f>"1997-01-15"</f>
        <v>1997-01-15</v>
      </c>
      <c r="F1133" s="6"/>
    </row>
    <row r="1134" spans="1:6" ht="30" customHeight="1">
      <c r="A1134" s="6">
        <v>1132</v>
      </c>
      <c r="B1134" s="6" t="str">
        <f>"2728202011232219311657"</f>
        <v>2728202011232219311657</v>
      </c>
      <c r="C1134" s="6" t="s">
        <v>7</v>
      </c>
      <c r="D1134" s="6" t="str">
        <f>"陈举"</f>
        <v>陈举</v>
      </c>
      <c r="E1134" s="6" t="str">
        <f>"1993-09-10"</f>
        <v>1993-09-10</v>
      </c>
      <c r="F1134" s="6"/>
    </row>
    <row r="1135" spans="1:6" ht="30" customHeight="1">
      <c r="A1135" s="6">
        <v>1133</v>
      </c>
      <c r="B1135" s="6" t="str">
        <f>"2728202011232223491658"</f>
        <v>2728202011232223491658</v>
      </c>
      <c r="C1135" s="6" t="s">
        <v>7</v>
      </c>
      <c r="D1135" s="6" t="str">
        <f>"罗琼欣"</f>
        <v>罗琼欣</v>
      </c>
      <c r="E1135" s="6" t="str">
        <f>"1998-02-10"</f>
        <v>1998-02-10</v>
      </c>
      <c r="F1135" s="6"/>
    </row>
    <row r="1136" spans="1:6" ht="30" customHeight="1">
      <c r="A1136" s="6">
        <v>1134</v>
      </c>
      <c r="B1136" s="6" t="str">
        <f>"2728202011232229171659"</f>
        <v>2728202011232229171659</v>
      </c>
      <c r="C1136" s="6" t="s">
        <v>7</v>
      </c>
      <c r="D1136" s="6" t="str">
        <f>"罗明绿"</f>
        <v>罗明绿</v>
      </c>
      <c r="E1136" s="6" t="str">
        <f>"1996-08-09"</f>
        <v>1996-08-09</v>
      </c>
      <c r="F1136" s="6"/>
    </row>
    <row r="1137" spans="1:6" ht="30" customHeight="1">
      <c r="A1137" s="6">
        <v>1135</v>
      </c>
      <c r="B1137" s="6" t="str">
        <f>"2728202011232230561660"</f>
        <v>2728202011232230561660</v>
      </c>
      <c r="C1137" s="6" t="s">
        <v>7</v>
      </c>
      <c r="D1137" s="6" t="str">
        <f>"唐思远"</f>
        <v>唐思远</v>
      </c>
      <c r="E1137" s="6" t="str">
        <f>"1997-02-08"</f>
        <v>1997-02-08</v>
      </c>
      <c r="F1137" s="6"/>
    </row>
    <row r="1138" spans="1:6" ht="30" customHeight="1">
      <c r="A1138" s="6">
        <v>1136</v>
      </c>
      <c r="B1138" s="6" t="str">
        <f>"2728202011232232241661"</f>
        <v>2728202011232232241661</v>
      </c>
      <c r="C1138" s="6" t="s">
        <v>7</v>
      </c>
      <c r="D1138" s="6" t="str">
        <f>"李莉莉"</f>
        <v>李莉莉</v>
      </c>
      <c r="E1138" s="6" t="str">
        <f>"1997-03-09"</f>
        <v>1997-03-09</v>
      </c>
      <c r="F1138" s="6"/>
    </row>
    <row r="1139" spans="1:6" ht="30" customHeight="1">
      <c r="A1139" s="6">
        <v>1137</v>
      </c>
      <c r="B1139" s="6" t="str">
        <f>"2728202011232240121662"</f>
        <v>2728202011232240121662</v>
      </c>
      <c r="C1139" s="6" t="s">
        <v>7</v>
      </c>
      <c r="D1139" s="6" t="str">
        <f>"高芷迁"</f>
        <v>高芷迁</v>
      </c>
      <c r="E1139" s="6" t="str">
        <f>"1996-06-14"</f>
        <v>1996-06-14</v>
      </c>
      <c r="F1139" s="6"/>
    </row>
    <row r="1140" spans="1:6" ht="30" customHeight="1">
      <c r="A1140" s="6">
        <v>1138</v>
      </c>
      <c r="B1140" s="6" t="str">
        <f>"2728202011232244121663"</f>
        <v>2728202011232244121663</v>
      </c>
      <c r="C1140" s="6" t="s">
        <v>7</v>
      </c>
      <c r="D1140" s="6" t="str">
        <f>"陈慨"</f>
        <v>陈慨</v>
      </c>
      <c r="E1140" s="6" t="str">
        <f>"1995-03-15"</f>
        <v>1995-03-15</v>
      </c>
      <c r="F1140" s="6"/>
    </row>
    <row r="1141" spans="1:6" ht="30" customHeight="1">
      <c r="A1141" s="6">
        <v>1139</v>
      </c>
      <c r="B1141" s="6" t="str">
        <f>"2728202011232245411664"</f>
        <v>2728202011232245411664</v>
      </c>
      <c r="C1141" s="6" t="s">
        <v>7</v>
      </c>
      <c r="D1141" s="6" t="str">
        <f>"黄恬恬"</f>
        <v>黄恬恬</v>
      </c>
      <c r="E1141" s="6" t="str">
        <f>"1996-10-02"</f>
        <v>1996-10-02</v>
      </c>
      <c r="F1141" s="6"/>
    </row>
    <row r="1142" spans="1:6" ht="30" customHeight="1">
      <c r="A1142" s="6">
        <v>1140</v>
      </c>
      <c r="B1142" s="6" t="str">
        <f>"2728202011232256531666"</f>
        <v>2728202011232256531666</v>
      </c>
      <c r="C1142" s="6" t="s">
        <v>7</v>
      </c>
      <c r="D1142" s="6" t="str">
        <f>"符运"</f>
        <v>符运</v>
      </c>
      <c r="E1142" s="6" t="str">
        <f>"1994-08-10"</f>
        <v>1994-08-10</v>
      </c>
      <c r="F1142" s="6"/>
    </row>
    <row r="1143" spans="1:6" ht="30" customHeight="1">
      <c r="A1143" s="6">
        <v>1141</v>
      </c>
      <c r="B1143" s="6" t="str">
        <f>"2728202011232256571667"</f>
        <v>2728202011232256571667</v>
      </c>
      <c r="C1143" s="6" t="s">
        <v>7</v>
      </c>
      <c r="D1143" s="6" t="str">
        <f>"谢明业"</f>
        <v>谢明业</v>
      </c>
      <c r="E1143" s="6" t="str">
        <f>"1992-06-08"</f>
        <v>1992-06-08</v>
      </c>
      <c r="F1143" s="6"/>
    </row>
    <row r="1144" spans="1:6" ht="30" customHeight="1">
      <c r="A1144" s="6">
        <v>1142</v>
      </c>
      <c r="B1144" s="6" t="str">
        <f>"2728202011232301321668"</f>
        <v>2728202011232301321668</v>
      </c>
      <c r="C1144" s="6" t="s">
        <v>7</v>
      </c>
      <c r="D1144" s="6" t="str">
        <f>"郭照琳"</f>
        <v>郭照琳</v>
      </c>
      <c r="E1144" s="6" t="str">
        <f>"1998-10-20"</f>
        <v>1998-10-20</v>
      </c>
      <c r="F1144" s="6"/>
    </row>
    <row r="1145" spans="1:6" ht="30" customHeight="1">
      <c r="A1145" s="6">
        <v>1143</v>
      </c>
      <c r="B1145" s="6" t="str">
        <f>"2728202011232307011669"</f>
        <v>2728202011232307011669</v>
      </c>
      <c r="C1145" s="6" t="s">
        <v>7</v>
      </c>
      <c r="D1145" s="6" t="str">
        <f>"蓝君君"</f>
        <v>蓝君君</v>
      </c>
      <c r="E1145" s="6" t="str">
        <f>"1996-01-04"</f>
        <v>1996-01-04</v>
      </c>
      <c r="F1145" s="6"/>
    </row>
    <row r="1146" spans="1:6" ht="30" customHeight="1">
      <c r="A1146" s="6">
        <v>1144</v>
      </c>
      <c r="B1146" s="6" t="str">
        <f>"2728202011232315131671"</f>
        <v>2728202011232315131671</v>
      </c>
      <c r="C1146" s="6" t="s">
        <v>7</v>
      </c>
      <c r="D1146" s="6" t="str">
        <f>"高新力"</f>
        <v>高新力</v>
      </c>
      <c r="E1146" s="6" t="str">
        <f>"1997-06-11"</f>
        <v>1997-06-11</v>
      </c>
      <c r="F1146" s="6"/>
    </row>
    <row r="1147" spans="1:6" ht="30" customHeight="1">
      <c r="A1147" s="6">
        <v>1145</v>
      </c>
      <c r="B1147" s="6" t="str">
        <f>"2728202011232326051673"</f>
        <v>2728202011232326051673</v>
      </c>
      <c r="C1147" s="6" t="s">
        <v>7</v>
      </c>
      <c r="D1147" s="6" t="str">
        <f>"羊儒林"</f>
        <v>羊儒林</v>
      </c>
      <c r="E1147" s="6" t="str">
        <f>"1995-02-21"</f>
        <v>1995-02-21</v>
      </c>
      <c r="F1147" s="6"/>
    </row>
    <row r="1148" spans="1:6" ht="30" customHeight="1">
      <c r="A1148" s="6">
        <v>1146</v>
      </c>
      <c r="B1148" s="6" t="str">
        <f>"2728202011232354141674"</f>
        <v>2728202011232354141674</v>
      </c>
      <c r="C1148" s="6" t="s">
        <v>7</v>
      </c>
      <c r="D1148" s="6" t="str">
        <f>"符馨云"</f>
        <v>符馨云</v>
      </c>
      <c r="E1148" s="6" t="str">
        <f>"1998.04"</f>
        <v>1998.04</v>
      </c>
      <c r="F1148" s="6"/>
    </row>
    <row r="1149" spans="1:6" ht="30" customHeight="1">
      <c r="A1149" s="6">
        <v>1147</v>
      </c>
      <c r="B1149" s="6" t="str">
        <f>"2728202011232358181675"</f>
        <v>2728202011232358181675</v>
      </c>
      <c r="C1149" s="6" t="s">
        <v>7</v>
      </c>
      <c r="D1149" s="6" t="str">
        <f>"林鸿浩"</f>
        <v>林鸿浩</v>
      </c>
      <c r="E1149" s="6" t="str">
        <f>"1996-12-28"</f>
        <v>1996-12-28</v>
      </c>
      <c r="F1149" s="6"/>
    </row>
    <row r="1150" spans="1:6" ht="30" customHeight="1">
      <c r="A1150" s="6">
        <v>1148</v>
      </c>
      <c r="B1150" s="6" t="str">
        <f>"2728202011240046021682"</f>
        <v>2728202011240046021682</v>
      </c>
      <c r="C1150" s="6" t="s">
        <v>7</v>
      </c>
      <c r="D1150" s="6" t="str">
        <f>"朱宇轩"</f>
        <v>朱宇轩</v>
      </c>
      <c r="E1150" s="6" t="str">
        <f>"1999-06-15"</f>
        <v>1999-06-15</v>
      </c>
      <c r="F1150" s="6"/>
    </row>
    <row r="1151" spans="1:6" ht="30" customHeight="1">
      <c r="A1151" s="6">
        <v>1149</v>
      </c>
      <c r="B1151" s="6" t="str">
        <f>"2728202011240735511683"</f>
        <v>2728202011240735511683</v>
      </c>
      <c r="C1151" s="6" t="s">
        <v>7</v>
      </c>
      <c r="D1151" s="6" t="str">
        <f>"曹强锋"</f>
        <v>曹强锋</v>
      </c>
      <c r="E1151" s="6" t="str">
        <f>"1991-01-12"</f>
        <v>1991-01-12</v>
      </c>
      <c r="F1151" s="6"/>
    </row>
    <row r="1152" spans="1:6" ht="30" customHeight="1">
      <c r="A1152" s="6">
        <v>1150</v>
      </c>
      <c r="B1152" s="6" t="str">
        <f>"2728202011240804061685"</f>
        <v>2728202011240804061685</v>
      </c>
      <c r="C1152" s="6" t="s">
        <v>7</v>
      </c>
      <c r="D1152" s="6" t="str">
        <f>"王晓怡"</f>
        <v>王晓怡</v>
      </c>
      <c r="E1152" s="6" t="str">
        <f>"1997-02-05"</f>
        <v>1997-02-05</v>
      </c>
      <c r="F1152" s="6"/>
    </row>
    <row r="1153" spans="1:6" ht="30" customHeight="1">
      <c r="A1153" s="6">
        <v>1151</v>
      </c>
      <c r="B1153" s="6" t="str">
        <f>"2728202011240826461688"</f>
        <v>2728202011240826461688</v>
      </c>
      <c r="C1153" s="6" t="s">
        <v>7</v>
      </c>
      <c r="D1153" s="6" t="str">
        <f>"陈有春"</f>
        <v>陈有春</v>
      </c>
      <c r="E1153" s="6" t="str">
        <f>"1997-08-02"</f>
        <v>1997-08-02</v>
      </c>
      <c r="F1153" s="6"/>
    </row>
    <row r="1154" spans="1:6" ht="30" customHeight="1">
      <c r="A1154" s="6">
        <v>1152</v>
      </c>
      <c r="B1154" s="6" t="str">
        <f>"2728202011240838221689"</f>
        <v>2728202011240838221689</v>
      </c>
      <c r="C1154" s="6" t="s">
        <v>7</v>
      </c>
      <c r="D1154" s="6" t="str">
        <f>"周玉发"</f>
        <v>周玉发</v>
      </c>
      <c r="E1154" s="6" t="str">
        <f>"1997-09-02"</f>
        <v>1997-09-02</v>
      </c>
      <c r="F1154" s="6"/>
    </row>
    <row r="1155" spans="1:6" ht="30" customHeight="1">
      <c r="A1155" s="6">
        <v>1153</v>
      </c>
      <c r="B1155" s="6" t="str">
        <f>"2728202011240838471690"</f>
        <v>2728202011240838471690</v>
      </c>
      <c r="C1155" s="6" t="s">
        <v>7</v>
      </c>
      <c r="D1155" s="6" t="str">
        <f>"陈芳苏"</f>
        <v>陈芳苏</v>
      </c>
      <c r="E1155" s="6" t="str">
        <f>"1996-02-07"</f>
        <v>1996-02-07</v>
      </c>
      <c r="F1155" s="6"/>
    </row>
    <row r="1156" spans="1:6" ht="30" customHeight="1">
      <c r="A1156" s="6">
        <v>1154</v>
      </c>
      <c r="B1156" s="6" t="str">
        <f>"2728202011240847381692"</f>
        <v>2728202011240847381692</v>
      </c>
      <c r="C1156" s="6" t="s">
        <v>7</v>
      </c>
      <c r="D1156" s="6" t="str">
        <f>"袁美冲"</f>
        <v>袁美冲</v>
      </c>
      <c r="E1156" s="6" t="str">
        <f>"1994-10-10"</f>
        <v>1994-10-10</v>
      </c>
      <c r="F1156" s="6"/>
    </row>
    <row r="1157" spans="1:6" ht="30" customHeight="1">
      <c r="A1157" s="6">
        <v>1155</v>
      </c>
      <c r="B1157" s="6" t="str">
        <f>"2728202011240849071693"</f>
        <v>2728202011240849071693</v>
      </c>
      <c r="C1157" s="6" t="s">
        <v>7</v>
      </c>
      <c r="D1157" s="6" t="str">
        <f>"何一鹏"</f>
        <v>何一鹏</v>
      </c>
      <c r="E1157" s="6" t="str">
        <f>"1998-07-10"</f>
        <v>1998-07-10</v>
      </c>
      <c r="F1157" s="6"/>
    </row>
    <row r="1158" spans="1:6" ht="30" customHeight="1">
      <c r="A1158" s="6">
        <v>1156</v>
      </c>
      <c r="B1158" s="6" t="str">
        <f>"2728202011240855021697"</f>
        <v>2728202011240855021697</v>
      </c>
      <c r="C1158" s="6" t="s">
        <v>7</v>
      </c>
      <c r="D1158" s="6" t="str">
        <f>"林文贤"</f>
        <v>林文贤</v>
      </c>
      <c r="E1158" s="6" t="str">
        <f>"1996-08-01"</f>
        <v>1996-08-01</v>
      </c>
      <c r="F1158" s="6"/>
    </row>
    <row r="1159" spans="1:6" ht="30" customHeight="1">
      <c r="A1159" s="6">
        <v>1157</v>
      </c>
      <c r="B1159" s="6" t="str">
        <f>"2728202011240855581698"</f>
        <v>2728202011240855581698</v>
      </c>
      <c r="C1159" s="6" t="s">
        <v>7</v>
      </c>
      <c r="D1159" s="6" t="str">
        <f>"陈月宇"</f>
        <v>陈月宇</v>
      </c>
      <c r="E1159" s="6" t="str">
        <f>"1996-05-18"</f>
        <v>1996-05-18</v>
      </c>
      <c r="F1159" s="6"/>
    </row>
    <row r="1160" spans="1:6" ht="30" customHeight="1">
      <c r="A1160" s="6">
        <v>1158</v>
      </c>
      <c r="B1160" s="6" t="str">
        <f>"2728202011240858511700"</f>
        <v>2728202011240858511700</v>
      </c>
      <c r="C1160" s="6" t="s">
        <v>7</v>
      </c>
      <c r="D1160" s="6" t="str">
        <f>"黎庆星"</f>
        <v>黎庆星</v>
      </c>
      <c r="E1160" s="6" t="str">
        <f>"1993-05-02"</f>
        <v>1993-05-02</v>
      </c>
      <c r="F1160" s="6"/>
    </row>
    <row r="1161" spans="1:6" ht="30" customHeight="1">
      <c r="A1161" s="6">
        <v>1159</v>
      </c>
      <c r="B1161" s="6" t="str">
        <f>"2728202011240902411702"</f>
        <v>2728202011240902411702</v>
      </c>
      <c r="C1161" s="6" t="s">
        <v>7</v>
      </c>
      <c r="D1161" s="6" t="str">
        <f>"杨玉佳"</f>
        <v>杨玉佳</v>
      </c>
      <c r="E1161" s="6" t="str">
        <f>"1992-10-23"</f>
        <v>1992-10-23</v>
      </c>
      <c r="F1161" s="6"/>
    </row>
    <row r="1162" spans="1:6" ht="30" customHeight="1">
      <c r="A1162" s="6">
        <v>1160</v>
      </c>
      <c r="B1162" s="6" t="str">
        <f>"2728202011240903501703"</f>
        <v>2728202011240903501703</v>
      </c>
      <c r="C1162" s="6" t="s">
        <v>7</v>
      </c>
      <c r="D1162" s="6" t="str">
        <f>"谭子芬"</f>
        <v>谭子芬</v>
      </c>
      <c r="E1162" s="6" t="str">
        <f>"1992-11-09"</f>
        <v>1992-11-09</v>
      </c>
      <c r="F1162" s="6"/>
    </row>
    <row r="1163" spans="1:6" ht="30" customHeight="1">
      <c r="A1163" s="6">
        <v>1161</v>
      </c>
      <c r="B1163" s="6" t="str">
        <f>"2728202011240904291704"</f>
        <v>2728202011240904291704</v>
      </c>
      <c r="C1163" s="6" t="s">
        <v>7</v>
      </c>
      <c r="D1163" s="6" t="str">
        <f>"羊志豪"</f>
        <v>羊志豪</v>
      </c>
      <c r="E1163" s="6" t="str">
        <f>"1996-09-02"</f>
        <v>1996-09-02</v>
      </c>
      <c r="F1163" s="6"/>
    </row>
    <row r="1164" spans="1:6" ht="30" customHeight="1">
      <c r="A1164" s="6">
        <v>1162</v>
      </c>
      <c r="B1164" s="6" t="str">
        <f>"2728202011240906521706"</f>
        <v>2728202011240906521706</v>
      </c>
      <c r="C1164" s="6" t="s">
        <v>7</v>
      </c>
      <c r="D1164" s="6" t="str">
        <f>"梁璐"</f>
        <v>梁璐</v>
      </c>
      <c r="E1164" s="6" t="str">
        <f>"1998-09-02"</f>
        <v>1998-09-02</v>
      </c>
      <c r="F1164" s="6"/>
    </row>
    <row r="1165" spans="1:6" ht="30" customHeight="1">
      <c r="A1165" s="6">
        <v>1163</v>
      </c>
      <c r="B1165" s="6" t="str">
        <f>"2728202011240919291709"</f>
        <v>2728202011240919291709</v>
      </c>
      <c r="C1165" s="6" t="s">
        <v>7</v>
      </c>
      <c r="D1165" s="6" t="str">
        <f>"石云峰"</f>
        <v>石云峰</v>
      </c>
      <c r="E1165" s="6" t="str">
        <f>"1989-12-13"</f>
        <v>1989-12-13</v>
      </c>
      <c r="F1165" s="6"/>
    </row>
    <row r="1166" spans="1:6" ht="30" customHeight="1">
      <c r="A1166" s="6">
        <v>1164</v>
      </c>
      <c r="B1166" s="6" t="str">
        <f>"2728202011240924291710"</f>
        <v>2728202011240924291710</v>
      </c>
      <c r="C1166" s="6" t="s">
        <v>7</v>
      </c>
      <c r="D1166" s="6" t="str">
        <f>"刘子倩"</f>
        <v>刘子倩</v>
      </c>
      <c r="E1166" s="6" t="str">
        <f>"1996-09-13"</f>
        <v>1996-09-13</v>
      </c>
      <c r="F1166" s="6"/>
    </row>
    <row r="1167" spans="1:6" ht="30" customHeight="1">
      <c r="A1167" s="6">
        <v>1165</v>
      </c>
      <c r="B1167" s="6" t="str">
        <f>"2728202011240926201711"</f>
        <v>2728202011240926201711</v>
      </c>
      <c r="C1167" s="6" t="s">
        <v>7</v>
      </c>
      <c r="D1167" s="6" t="str">
        <f>"许安雄"</f>
        <v>许安雄</v>
      </c>
      <c r="E1167" s="6" t="str">
        <f>"1985-02-26"</f>
        <v>1985-02-26</v>
      </c>
      <c r="F1167" s="6"/>
    </row>
    <row r="1168" spans="1:6" ht="30" customHeight="1">
      <c r="A1168" s="6">
        <v>1166</v>
      </c>
      <c r="B1168" s="6" t="str">
        <f>"2728202011240926471712"</f>
        <v>2728202011240926471712</v>
      </c>
      <c r="C1168" s="6" t="s">
        <v>7</v>
      </c>
      <c r="D1168" s="6" t="str">
        <f>"董风城"</f>
        <v>董风城</v>
      </c>
      <c r="E1168" s="6" t="str">
        <f>"1991-05-06"</f>
        <v>1991-05-06</v>
      </c>
      <c r="F1168" s="6"/>
    </row>
    <row r="1169" spans="1:6" ht="30" customHeight="1">
      <c r="A1169" s="6">
        <v>1167</v>
      </c>
      <c r="B1169" s="6" t="str">
        <f>"2728202011240930471713"</f>
        <v>2728202011240930471713</v>
      </c>
      <c r="C1169" s="6" t="s">
        <v>7</v>
      </c>
      <c r="D1169" s="6" t="str">
        <f>"蔡思"</f>
        <v>蔡思</v>
      </c>
      <c r="E1169" s="6" t="str">
        <f>"1996-07-19"</f>
        <v>1996-07-19</v>
      </c>
      <c r="F1169" s="6"/>
    </row>
    <row r="1170" spans="1:6" ht="30" customHeight="1">
      <c r="A1170" s="6">
        <v>1168</v>
      </c>
      <c r="B1170" s="6" t="str">
        <f>"2728202011240930591714"</f>
        <v>2728202011240930591714</v>
      </c>
      <c r="C1170" s="6" t="s">
        <v>7</v>
      </c>
      <c r="D1170" s="6" t="str">
        <f>"林为"</f>
        <v>林为</v>
      </c>
      <c r="E1170" s="6" t="str">
        <f>"1991-07-07"</f>
        <v>1991-07-07</v>
      </c>
      <c r="F1170" s="6"/>
    </row>
    <row r="1171" spans="1:6" ht="30" customHeight="1">
      <c r="A1171" s="6">
        <v>1169</v>
      </c>
      <c r="B1171" s="6" t="str">
        <f>"2728202011240933591715"</f>
        <v>2728202011240933591715</v>
      </c>
      <c r="C1171" s="6" t="s">
        <v>7</v>
      </c>
      <c r="D1171" s="6" t="str">
        <f>"林昌代"</f>
        <v>林昌代</v>
      </c>
      <c r="E1171" s="6" t="str">
        <f>"1994-03-08"</f>
        <v>1994-03-08</v>
      </c>
      <c r="F1171" s="6"/>
    </row>
    <row r="1172" spans="1:6" ht="30" customHeight="1">
      <c r="A1172" s="6">
        <v>1170</v>
      </c>
      <c r="B1172" s="6" t="str">
        <f>"2728202011240948541717"</f>
        <v>2728202011240948541717</v>
      </c>
      <c r="C1172" s="6" t="s">
        <v>7</v>
      </c>
      <c r="D1172" s="6" t="str">
        <f>"郑辉国"</f>
        <v>郑辉国</v>
      </c>
      <c r="E1172" s="6" t="str">
        <f>"1998-05-22"</f>
        <v>1998-05-22</v>
      </c>
      <c r="F1172" s="6"/>
    </row>
    <row r="1173" spans="1:6" ht="30" customHeight="1">
      <c r="A1173" s="6">
        <v>1171</v>
      </c>
      <c r="B1173" s="6" t="str">
        <f>"2728202011240949181718"</f>
        <v>2728202011240949181718</v>
      </c>
      <c r="C1173" s="6" t="s">
        <v>7</v>
      </c>
      <c r="D1173" s="6" t="str">
        <f>"吉雪凝"</f>
        <v>吉雪凝</v>
      </c>
      <c r="E1173" s="6" t="str">
        <f>"1996-09-09"</f>
        <v>1996-09-09</v>
      </c>
      <c r="F1173" s="6"/>
    </row>
    <row r="1174" spans="1:6" ht="30" customHeight="1">
      <c r="A1174" s="6">
        <v>1172</v>
      </c>
      <c r="B1174" s="6" t="str">
        <f>"2728202011240950011719"</f>
        <v>2728202011240950011719</v>
      </c>
      <c r="C1174" s="6" t="s">
        <v>7</v>
      </c>
      <c r="D1174" s="6" t="str">
        <f>"高瑶"</f>
        <v>高瑶</v>
      </c>
      <c r="E1174" s="6" t="str">
        <f>"1998-06-04"</f>
        <v>1998-06-04</v>
      </c>
      <c r="F1174" s="6"/>
    </row>
    <row r="1175" spans="1:6" ht="30" customHeight="1">
      <c r="A1175" s="6">
        <v>1173</v>
      </c>
      <c r="B1175" s="6" t="str">
        <f>"2728202011240952301720"</f>
        <v>2728202011240952301720</v>
      </c>
      <c r="C1175" s="6" t="s">
        <v>7</v>
      </c>
      <c r="D1175" s="6" t="str">
        <f>"黄新玉"</f>
        <v>黄新玉</v>
      </c>
      <c r="E1175" s="6" t="str">
        <f>"1988-06-13"</f>
        <v>1988-06-13</v>
      </c>
      <c r="F1175" s="6"/>
    </row>
    <row r="1176" spans="1:6" ht="30" customHeight="1">
      <c r="A1176" s="6">
        <v>1174</v>
      </c>
      <c r="B1176" s="6" t="str">
        <f>"2728202011240953301721"</f>
        <v>2728202011240953301721</v>
      </c>
      <c r="C1176" s="6" t="s">
        <v>7</v>
      </c>
      <c r="D1176" s="6" t="str">
        <f>"郑辉怡"</f>
        <v>郑辉怡</v>
      </c>
      <c r="E1176" s="6" t="str">
        <f>"1998年10月"</f>
        <v>1998年10月</v>
      </c>
      <c r="F1176" s="6"/>
    </row>
    <row r="1177" spans="1:6" ht="30" customHeight="1">
      <c r="A1177" s="6">
        <v>1175</v>
      </c>
      <c r="B1177" s="6" t="str">
        <f>"2728202011240958471722"</f>
        <v>2728202011240958471722</v>
      </c>
      <c r="C1177" s="6" t="s">
        <v>7</v>
      </c>
      <c r="D1177" s="6" t="str">
        <f>"邱林丹"</f>
        <v>邱林丹</v>
      </c>
      <c r="E1177" s="6" t="str">
        <f>"1985-08-10"</f>
        <v>1985-08-10</v>
      </c>
      <c r="F1177" s="6"/>
    </row>
    <row r="1178" spans="1:6" ht="30" customHeight="1">
      <c r="A1178" s="6">
        <v>1176</v>
      </c>
      <c r="B1178" s="6" t="str">
        <f>"2728202011240959461723"</f>
        <v>2728202011240959461723</v>
      </c>
      <c r="C1178" s="6" t="s">
        <v>7</v>
      </c>
      <c r="D1178" s="6" t="str">
        <f>"周妍"</f>
        <v>周妍</v>
      </c>
      <c r="E1178" s="6" t="str">
        <f>"1995-02-02"</f>
        <v>1995-02-02</v>
      </c>
      <c r="F1178" s="6"/>
    </row>
    <row r="1179" spans="1:6" ht="30" customHeight="1">
      <c r="A1179" s="6">
        <v>1177</v>
      </c>
      <c r="B1179" s="6" t="str">
        <f>"2728202011241004461725"</f>
        <v>2728202011241004461725</v>
      </c>
      <c r="C1179" s="6" t="s">
        <v>7</v>
      </c>
      <c r="D1179" s="6" t="str">
        <f>"包凯娟"</f>
        <v>包凯娟</v>
      </c>
      <c r="E1179" s="6" t="str">
        <f>"1995-04-16"</f>
        <v>1995-04-16</v>
      </c>
      <c r="F1179" s="6"/>
    </row>
    <row r="1180" spans="1:6" ht="30" customHeight="1">
      <c r="A1180" s="6">
        <v>1178</v>
      </c>
      <c r="B1180" s="6" t="str">
        <f>"2728202011241004521726"</f>
        <v>2728202011241004521726</v>
      </c>
      <c r="C1180" s="6" t="s">
        <v>7</v>
      </c>
      <c r="D1180" s="6" t="str">
        <f>"韦攀"</f>
        <v>韦攀</v>
      </c>
      <c r="E1180" s="6" t="str">
        <f>"1989-12-06"</f>
        <v>1989-12-06</v>
      </c>
      <c r="F1180" s="6"/>
    </row>
    <row r="1181" spans="1:6" ht="30" customHeight="1">
      <c r="A1181" s="6">
        <v>1179</v>
      </c>
      <c r="B1181" s="6" t="str">
        <f>"2728202011241009531728"</f>
        <v>2728202011241009531728</v>
      </c>
      <c r="C1181" s="6" t="s">
        <v>7</v>
      </c>
      <c r="D1181" s="6" t="str">
        <f>"林炽昵"</f>
        <v>林炽昵</v>
      </c>
      <c r="E1181" s="6" t="str">
        <f>"1993-10-14"</f>
        <v>1993-10-14</v>
      </c>
      <c r="F1181" s="6"/>
    </row>
    <row r="1182" spans="1:6" ht="30" customHeight="1">
      <c r="A1182" s="6">
        <v>1180</v>
      </c>
      <c r="B1182" s="6" t="str">
        <f>"2728202011241010351729"</f>
        <v>2728202011241010351729</v>
      </c>
      <c r="C1182" s="6" t="s">
        <v>7</v>
      </c>
      <c r="D1182" s="6" t="str">
        <f>"黄雪英"</f>
        <v>黄雪英</v>
      </c>
      <c r="E1182" s="6" t="str">
        <f>"1992-10-17"</f>
        <v>1992-10-17</v>
      </c>
      <c r="F1182" s="6"/>
    </row>
    <row r="1183" spans="1:6" ht="30" customHeight="1">
      <c r="A1183" s="6">
        <v>1181</v>
      </c>
      <c r="B1183" s="6" t="str">
        <f>"2728202011241011391730"</f>
        <v>2728202011241011391730</v>
      </c>
      <c r="C1183" s="6" t="s">
        <v>7</v>
      </c>
      <c r="D1183" s="6" t="str">
        <f>"陈宗立"</f>
        <v>陈宗立</v>
      </c>
      <c r="E1183" s="6" t="str">
        <f>"1995-01-02"</f>
        <v>1995-01-02</v>
      </c>
      <c r="F1183" s="6"/>
    </row>
    <row r="1184" spans="1:6" ht="30" customHeight="1">
      <c r="A1184" s="6">
        <v>1182</v>
      </c>
      <c r="B1184" s="6" t="str">
        <f>"2728202011241012511731"</f>
        <v>2728202011241012511731</v>
      </c>
      <c r="C1184" s="6" t="s">
        <v>7</v>
      </c>
      <c r="D1184" s="6" t="str">
        <f>"陈楚茹"</f>
        <v>陈楚茹</v>
      </c>
      <c r="E1184" s="6" t="str">
        <f>"1996-01-24"</f>
        <v>1996-01-24</v>
      </c>
      <c r="F1184" s="6"/>
    </row>
    <row r="1185" spans="1:6" ht="30" customHeight="1">
      <c r="A1185" s="6">
        <v>1183</v>
      </c>
      <c r="B1185" s="6" t="str">
        <f>"2728202011241013331732"</f>
        <v>2728202011241013331732</v>
      </c>
      <c r="C1185" s="6" t="s">
        <v>7</v>
      </c>
      <c r="D1185" s="6" t="str">
        <f>"李海霞"</f>
        <v>李海霞</v>
      </c>
      <c r="E1185" s="6" t="str">
        <f>"1997-08-27"</f>
        <v>1997-08-27</v>
      </c>
      <c r="F1185" s="6"/>
    </row>
    <row r="1186" spans="1:6" ht="30" customHeight="1">
      <c r="A1186" s="6">
        <v>1184</v>
      </c>
      <c r="B1186" s="6" t="str">
        <f>"2728202011241014041733"</f>
        <v>2728202011241014041733</v>
      </c>
      <c r="C1186" s="6" t="s">
        <v>7</v>
      </c>
      <c r="D1186" s="6" t="str">
        <f>"麦珠绮"</f>
        <v>麦珠绮</v>
      </c>
      <c r="E1186" s="6" t="str">
        <f>"1988-12-23"</f>
        <v>1988-12-23</v>
      </c>
      <c r="F1186" s="6"/>
    </row>
    <row r="1187" spans="1:6" ht="30" customHeight="1">
      <c r="A1187" s="6">
        <v>1185</v>
      </c>
      <c r="B1187" s="6" t="str">
        <f>"2728202011241016161734"</f>
        <v>2728202011241016161734</v>
      </c>
      <c r="C1187" s="6" t="s">
        <v>7</v>
      </c>
      <c r="D1187" s="6" t="str">
        <f>"赖钻运"</f>
        <v>赖钻运</v>
      </c>
      <c r="E1187" s="6" t="str">
        <f>"1995-05-17"</f>
        <v>1995-05-17</v>
      </c>
      <c r="F1187" s="6"/>
    </row>
    <row r="1188" spans="1:6" ht="30" customHeight="1">
      <c r="A1188" s="6">
        <v>1186</v>
      </c>
      <c r="B1188" s="6" t="str">
        <f>"2728202011241018271736"</f>
        <v>2728202011241018271736</v>
      </c>
      <c r="C1188" s="6" t="s">
        <v>7</v>
      </c>
      <c r="D1188" s="6" t="str">
        <f>"沈世强"</f>
        <v>沈世强</v>
      </c>
      <c r="E1188" s="6" t="str">
        <f>"1989-04-15"</f>
        <v>1989-04-15</v>
      </c>
      <c r="F1188" s="6"/>
    </row>
    <row r="1189" spans="1:6" ht="30" customHeight="1">
      <c r="A1189" s="6">
        <v>1187</v>
      </c>
      <c r="B1189" s="6" t="str">
        <f>"2728202011241021091737"</f>
        <v>2728202011241021091737</v>
      </c>
      <c r="C1189" s="6" t="s">
        <v>7</v>
      </c>
      <c r="D1189" s="6" t="str">
        <f>"周会人"</f>
        <v>周会人</v>
      </c>
      <c r="E1189" s="6" t="str">
        <f>"1994-06-11"</f>
        <v>1994-06-11</v>
      </c>
      <c r="F1189" s="6"/>
    </row>
    <row r="1190" spans="1:6" ht="30" customHeight="1">
      <c r="A1190" s="6">
        <v>1188</v>
      </c>
      <c r="B1190" s="6" t="str">
        <f>"2728202011241025101738"</f>
        <v>2728202011241025101738</v>
      </c>
      <c r="C1190" s="6" t="s">
        <v>7</v>
      </c>
      <c r="D1190" s="6" t="str">
        <f>"黎星星"</f>
        <v>黎星星</v>
      </c>
      <c r="E1190" s="6" t="str">
        <f>"1995-06-15"</f>
        <v>1995-06-15</v>
      </c>
      <c r="F1190" s="6"/>
    </row>
    <row r="1191" spans="1:6" ht="30" customHeight="1">
      <c r="A1191" s="6">
        <v>1189</v>
      </c>
      <c r="B1191" s="6" t="str">
        <f>"2728202011241026581739"</f>
        <v>2728202011241026581739</v>
      </c>
      <c r="C1191" s="6" t="s">
        <v>7</v>
      </c>
      <c r="D1191" s="6" t="str">
        <f>"王俏静"</f>
        <v>王俏静</v>
      </c>
      <c r="E1191" s="6" t="str">
        <f>"1990-04-20"</f>
        <v>1990-04-20</v>
      </c>
      <c r="F1191" s="6"/>
    </row>
    <row r="1192" spans="1:6" ht="30" customHeight="1">
      <c r="A1192" s="6">
        <v>1190</v>
      </c>
      <c r="B1192" s="6" t="str">
        <f>"2728202011241030391743"</f>
        <v>2728202011241030391743</v>
      </c>
      <c r="C1192" s="6" t="s">
        <v>7</v>
      </c>
      <c r="D1192" s="6" t="str">
        <f>"吉果"</f>
        <v>吉果</v>
      </c>
      <c r="E1192" s="6" t="str">
        <f>"1990-07-16"</f>
        <v>1990-07-16</v>
      </c>
      <c r="F1192" s="6"/>
    </row>
    <row r="1193" spans="1:6" ht="30" customHeight="1">
      <c r="A1193" s="6">
        <v>1191</v>
      </c>
      <c r="B1193" s="6" t="str">
        <f>"2728202011241034541744"</f>
        <v>2728202011241034541744</v>
      </c>
      <c r="C1193" s="6" t="s">
        <v>7</v>
      </c>
      <c r="D1193" s="6" t="str">
        <f>"符巧荷"</f>
        <v>符巧荷</v>
      </c>
      <c r="E1193" s="6" t="str">
        <f>"1995-09-28"</f>
        <v>1995-09-28</v>
      </c>
      <c r="F1193" s="6"/>
    </row>
    <row r="1194" spans="1:6" ht="30" customHeight="1">
      <c r="A1194" s="6">
        <v>1192</v>
      </c>
      <c r="B1194" s="6" t="str">
        <f>"2728202011241058541752"</f>
        <v>2728202011241058541752</v>
      </c>
      <c r="C1194" s="6" t="s">
        <v>7</v>
      </c>
      <c r="D1194" s="6" t="str">
        <f>"张伟"</f>
        <v>张伟</v>
      </c>
      <c r="E1194" s="6" t="str">
        <f>"1989-06-05"</f>
        <v>1989-06-05</v>
      </c>
      <c r="F1194" s="6"/>
    </row>
    <row r="1195" spans="1:6" ht="30" customHeight="1">
      <c r="A1195" s="6">
        <v>1193</v>
      </c>
      <c r="B1195" s="6" t="str">
        <f>"2728202011241103051754"</f>
        <v>2728202011241103051754</v>
      </c>
      <c r="C1195" s="6" t="s">
        <v>7</v>
      </c>
      <c r="D1195" s="6" t="str">
        <f>"李进燕"</f>
        <v>李进燕</v>
      </c>
      <c r="E1195" s="6" t="str">
        <f>"1993-02-27"</f>
        <v>1993-02-27</v>
      </c>
      <c r="F1195" s="6"/>
    </row>
    <row r="1196" spans="1:6" ht="30" customHeight="1">
      <c r="A1196" s="6">
        <v>1194</v>
      </c>
      <c r="B1196" s="6" t="str">
        <f>"2728202011241104471755"</f>
        <v>2728202011241104471755</v>
      </c>
      <c r="C1196" s="6" t="s">
        <v>7</v>
      </c>
      <c r="D1196" s="6" t="str">
        <f>"刘雪玲"</f>
        <v>刘雪玲</v>
      </c>
      <c r="E1196" s="6" t="str">
        <f>"1997-01-07"</f>
        <v>1997-01-07</v>
      </c>
      <c r="F1196" s="6"/>
    </row>
    <row r="1197" spans="1:6" ht="30" customHeight="1">
      <c r="A1197" s="6">
        <v>1195</v>
      </c>
      <c r="B1197" s="6" t="str">
        <f>"2728202011241107241756"</f>
        <v>2728202011241107241756</v>
      </c>
      <c r="C1197" s="6" t="s">
        <v>7</v>
      </c>
      <c r="D1197" s="6" t="str">
        <f>"李英杰"</f>
        <v>李英杰</v>
      </c>
      <c r="E1197" s="6" t="str">
        <f>"1997-04-01"</f>
        <v>1997-04-01</v>
      </c>
      <c r="F1197" s="6"/>
    </row>
    <row r="1198" spans="1:6" ht="30" customHeight="1">
      <c r="A1198" s="6">
        <v>1196</v>
      </c>
      <c r="B1198" s="6" t="str">
        <f>"2728202011241108471758"</f>
        <v>2728202011241108471758</v>
      </c>
      <c r="C1198" s="6" t="s">
        <v>7</v>
      </c>
      <c r="D1198" s="6" t="str">
        <f>"陈杏芸"</f>
        <v>陈杏芸</v>
      </c>
      <c r="E1198" s="6" t="str">
        <f>"1997-12-22"</f>
        <v>1997-12-22</v>
      </c>
      <c r="F1198" s="6"/>
    </row>
    <row r="1199" spans="1:6" ht="30" customHeight="1">
      <c r="A1199" s="6">
        <v>1197</v>
      </c>
      <c r="B1199" s="6" t="str">
        <f>"2728202011241109561760"</f>
        <v>2728202011241109561760</v>
      </c>
      <c r="C1199" s="6" t="s">
        <v>7</v>
      </c>
      <c r="D1199" s="6" t="str">
        <f>"裴廷琅"</f>
        <v>裴廷琅</v>
      </c>
      <c r="E1199" s="6" t="str">
        <f>"1996-10-02"</f>
        <v>1996-10-02</v>
      </c>
      <c r="F1199" s="6"/>
    </row>
    <row r="1200" spans="1:6" ht="30" customHeight="1">
      <c r="A1200" s="6">
        <v>1198</v>
      </c>
      <c r="B1200" s="6" t="str">
        <f>"2728202011241111451761"</f>
        <v>2728202011241111451761</v>
      </c>
      <c r="C1200" s="6" t="s">
        <v>7</v>
      </c>
      <c r="D1200" s="6" t="str">
        <f>"蕉慧娟"</f>
        <v>蕉慧娟</v>
      </c>
      <c r="E1200" s="6" t="str">
        <f>"1999-06-07"</f>
        <v>1999-06-07</v>
      </c>
      <c r="F1200" s="6"/>
    </row>
    <row r="1201" spans="1:6" ht="30" customHeight="1">
      <c r="A1201" s="6">
        <v>1199</v>
      </c>
      <c r="B1201" s="6" t="str">
        <f>"2728202011241114511762"</f>
        <v>2728202011241114511762</v>
      </c>
      <c r="C1201" s="6" t="s">
        <v>7</v>
      </c>
      <c r="D1201" s="6" t="str">
        <f>"薛娟娜"</f>
        <v>薛娟娜</v>
      </c>
      <c r="E1201" s="6" t="str">
        <f>"1988-12-29"</f>
        <v>1988-12-29</v>
      </c>
      <c r="F1201" s="6"/>
    </row>
    <row r="1202" spans="1:6" ht="30" customHeight="1">
      <c r="A1202" s="6">
        <v>1200</v>
      </c>
      <c r="B1202" s="6" t="str">
        <f>"2728202011241115511763"</f>
        <v>2728202011241115511763</v>
      </c>
      <c r="C1202" s="6" t="s">
        <v>7</v>
      </c>
      <c r="D1202" s="6" t="str">
        <f>"黄佳佳"</f>
        <v>黄佳佳</v>
      </c>
      <c r="E1202" s="6" t="str">
        <f>"1999-01-23"</f>
        <v>1999-01-23</v>
      </c>
      <c r="F1202" s="6"/>
    </row>
    <row r="1203" spans="1:6" ht="30" customHeight="1">
      <c r="A1203" s="6">
        <v>1201</v>
      </c>
      <c r="B1203" s="6" t="str">
        <f>"2728202011241121031764"</f>
        <v>2728202011241121031764</v>
      </c>
      <c r="C1203" s="6" t="s">
        <v>7</v>
      </c>
      <c r="D1203" s="6" t="str">
        <f>"黄宗健"</f>
        <v>黄宗健</v>
      </c>
      <c r="E1203" s="6" t="str">
        <f>"1991-05-15"</f>
        <v>1991-05-15</v>
      </c>
      <c r="F1203" s="6"/>
    </row>
    <row r="1204" spans="1:6" ht="30" customHeight="1">
      <c r="A1204" s="6">
        <v>1202</v>
      </c>
      <c r="B1204" s="6" t="str">
        <f>"2728202011241126491765"</f>
        <v>2728202011241126491765</v>
      </c>
      <c r="C1204" s="6" t="s">
        <v>7</v>
      </c>
      <c r="D1204" s="6" t="str">
        <f>"李丽丽"</f>
        <v>李丽丽</v>
      </c>
      <c r="E1204" s="6" t="str">
        <f>"1995-05-01"</f>
        <v>1995-05-01</v>
      </c>
      <c r="F1204" s="6"/>
    </row>
    <row r="1205" spans="1:6" ht="30" customHeight="1">
      <c r="A1205" s="6">
        <v>1203</v>
      </c>
      <c r="B1205" s="6" t="str">
        <f>"2728202011241136451766"</f>
        <v>2728202011241136451766</v>
      </c>
      <c r="C1205" s="6" t="s">
        <v>7</v>
      </c>
      <c r="D1205" s="6" t="str">
        <f>"谭珠婷"</f>
        <v>谭珠婷</v>
      </c>
      <c r="E1205" s="6" t="str">
        <f>"1989-10-19"</f>
        <v>1989-10-19</v>
      </c>
      <c r="F1205" s="6"/>
    </row>
    <row r="1206" spans="1:6" ht="30" customHeight="1">
      <c r="A1206" s="6">
        <v>1204</v>
      </c>
      <c r="B1206" s="6" t="str">
        <f>"2728202011241137401767"</f>
        <v>2728202011241137401767</v>
      </c>
      <c r="C1206" s="6" t="s">
        <v>7</v>
      </c>
      <c r="D1206" s="6" t="str">
        <f>"张帆"</f>
        <v>张帆</v>
      </c>
      <c r="E1206" s="6" t="str">
        <f>"1993-08-13"</f>
        <v>1993-08-13</v>
      </c>
      <c r="F1206" s="6"/>
    </row>
    <row r="1207" spans="1:6" ht="30" customHeight="1">
      <c r="A1207" s="6">
        <v>1205</v>
      </c>
      <c r="B1207" s="6" t="str">
        <f>"2728202011241144061769"</f>
        <v>2728202011241144061769</v>
      </c>
      <c r="C1207" s="6" t="s">
        <v>7</v>
      </c>
      <c r="D1207" s="6" t="str">
        <f>"顾时娜"</f>
        <v>顾时娜</v>
      </c>
      <c r="E1207" s="6" t="str">
        <f>"1994-12-22"</f>
        <v>1994-12-22</v>
      </c>
      <c r="F1207" s="6"/>
    </row>
    <row r="1208" spans="1:6" ht="30" customHeight="1">
      <c r="A1208" s="6">
        <v>1206</v>
      </c>
      <c r="B1208" s="6" t="str">
        <f>"2728202011241147171770"</f>
        <v>2728202011241147171770</v>
      </c>
      <c r="C1208" s="6" t="s">
        <v>7</v>
      </c>
      <c r="D1208" s="6" t="str">
        <f>"毛奕"</f>
        <v>毛奕</v>
      </c>
      <c r="E1208" s="6" t="str">
        <f>"1992-10-07"</f>
        <v>1992-10-07</v>
      </c>
      <c r="F1208" s="6"/>
    </row>
    <row r="1209" spans="1:6" ht="30" customHeight="1">
      <c r="A1209" s="6">
        <v>1207</v>
      </c>
      <c r="B1209" s="6" t="str">
        <f>"2728202011241152211771"</f>
        <v>2728202011241152211771</v>
      </c>
      <c r="C1209" s="6" t="s">
        <v>7</v>
      </c>
      <c r="D1209" s="6" t="str">
        <f>"梁丹丹"</f>
        <v>梁丹丹</v>
      </c>
      <c r="E1209" s="6" t="str">
        <f>"1992-08-26"</f>
        <v>1992-08-26</v>
      </c>
      <c r="F1209" s="6"/>
    </row>
    <row r="1210" spans="1:6" ht="30" customHeight="1">
      <c r="A1210" s="6">
        <v>1208</v>
      </c>
      <c r="B1210" s="6" t="str">
        <f>"2728202011241208431774"</f>
        <v>2728202011241208431774</v>
      </c>
      <c r="C1210" s="6" t="s">
        <v>7</v>
      </c>
      <c r="D1210" s="6" t="str">
        <f>"薛婆荣"</f>
        <v>薛婆荣</v>
      </c>
      <c r="E1210" s="6" t="str">
        <f>"1992-07-08"</f>
        <v>1992-07-08</v>
      </c>
      <c r="F1210" s="6"/>
    </row>
    <row r="1211" spans="1:6" ht="30" customHeight="1">
      <c r="A1211" s="6">
        <v>1209</v>
      </c>
      <c r="B1211" s="6" t="str">
        <f>"2728202011241212121775"</f>
        <v>2728202011241212121775</v>
      </c>
      <c r="C1211" s="6" t="s">
        <v>7</v>
      </c>
      <c r="D1211" s="6" t="str">
        <f>"麦潮玉"</f>
        <v>麦潮玉</v>
      </c>
      <c r="E1211" s="6" t="str">
        <f>"1994-12-12"</f>
        <v>1994-12-12</v>
      </c>
      <c r="F1211" s="6"/>
    </row>
    <row r="1212" spans="1:6" ht="30" customHeight="1">
      <c r="A1212" s="6">
        <v>1210</v>
      </c>
      <c r="B1212" s="6" t="str">
        <f>"2728202011241227211776"</f>
        <v>2728202011241227211776</v>
      </c>
      <c r="C1212" s="6" t="s">
        <v>7</v>
      </c>
      <c r="D1212" s="6" t="str">
        <f>"彭苇"</f>
        <v>彭苇</v>
      </c>
      <c r="E1212" s="6" t="str">
        <f>"1997-03-20"</f>
        <v>1997-03-20</v>
      </c>
      <c r="F1212" s="6"/>
    </row>
    <row r="1213" spans="1:6" ht="30" customHeight="1">
      <c r="A1213" s="6">
        <v>1211</v>
      </c>
      <c r="B1213" s="6" t="str">
        <f>"2728202011241229031777"</f>
        <v>2728202011241229031777</v>
      </c>
      <c r="C1213" s="6" t="s">
        <v>7</v>
      </c>
      <c r="D1213" s="6" t="str">
        <f>"方志华"</f>
        <v>方志华</v>
      </c>
      <c r="E1213" s="6" t="str">
        <f>"1995-01-19"</f>
        <v>1995-01-19</v>
      </c>
      <c r="F1213" s="6"/>
    </row>
    <row r="1214" spans="1:6" ht="30" customHeight="1">
      <c r="A1214" s="6">
        <v>1212</v>
      </c>
      <c r="B1214" s="6" t="str">
        <f>"2728202011241232381778"</f>
        <v>2728202011241232381778</v>
      </c>
      <c r="C1214" s="6" t="s">
        <v>7</v>
      </c>
      <c r="D1214" s="6" t="str">
        <f>"范婷婷"</f>
        <v>范婷婷</v>
      </c>
      <c r="E1214" s="6" t="str">
        <f>"1989-08-02"</f>
        <v>1989-08-02</v>
      </c>
      <c r="F1214" s="6"/>
    </row>
    <row r="1215" spans="1:6" ht="30" customHeight="1">
      <c r="A1215" s="6">
        <v>1213</v>
      </c>
      <c r="B1215" s="6" t="str">
        <f>"2728202011241234081779"</f>
        <v>2728202011241234081779</v>
      </c>
      <c r="C1215" s="6" t="s">
        <v>7</v>
      </c>
      <c r="D1215" s="6" t="str">
        <f>"郑高奕"</f>
        <v>郑高奕</v>
      </c>
      <c r="E1215" s="6" t="str">
        <f>"1994-06-08"</f>
        <v>1994-06-08</v>
      </c>
      <c r="F1215" s="6"/>
    </row>
    <row r="1216" spans="1:6" ht="30" customHeight="1">
      <c r="A1216" s="6">
        <v>1214</v>
      </c>
      <c r="B1216" s="6" t="str">
        <f>"2728202011241236351780"</f>
        <v>2728202011241236351780</v>
      </c>
      <c r="C1216" s="6" t="s">
        <v>7</v>
      </c>
      <c r="D1216" s="6" t="str">
        <f>"谢裕柳"</f>
        <v>谢裕柳</v>
      </c>
      <c r="E1216" s="6" t="str">
        <f>"1997-01-09"</f>
        <v>1997-01-09</v>
      </c>
      <c r="F1216" s="6"/>
    </row>
    <row r="1217" spans="1:6" ht="30" customHeight="1">
      <c r="A1217" s="6">
        <v>1215</v>
      </c>
      <c r="B1217" s="6" t="str">
        <f>"2728202011241249381782"</f>
        <v>2728202011241249381782</v>
      </c>
      <c r="C1217" s="6" t="s">
        <v>7</v>
      </c>
      <c r="D1217" s="6" t="str">
        <f>"符雪丹"</f>
        <v>符雪丹</v>
      </c>
      <c r="E1217" s="6" t="str">
        <f>"1990-05-12"</f>
        <v>1990-05-12</v>
      </c>
      <c r="F1217" s="6"/>
    </row>
    <row r="1218" spans="1:6" ht="30" customHeight="1">
      <c r="A1218" s="6">
        <v>1216</v>
      </c>
      <c r="B1218" s="6" t="str">
        <f>"2728202011241252191783"</f>
        <v>2728202011241252191783</v>
      </c>
      <c r="C1218" s="6" t="s">
        <v>7</v>
      </c>
      <c r="D1218" s="6" t="str">
        <f>"王中正"</f>
        <v>王中正</v>
      </c>
      <c r="E1218" s="6" t="str">
        <f>"1998-09-20"</f>
        <v>1998-09-20</v>
      </c>
      <c r="F1218" s="6"/>
    </row>
    <row r="1219" spans="1:6" ht="30" customHeight="1">
      <c r="A1219" s="6">
        <v>1217</v>
      </c>
      <c r="B1219" s="6" t="str">
        <f>"2728202011241258401785"</f>
        <v>2728202011241258401785</v>
      </c>
      <c r="C1219" s="6" t="s">
        <v>7</v>
      </c>
      <c r="D1219" s="6" t="str">
        <f>"赵强伟"</f>
        <v>赵强伟</v>
      </c>
      <c r="E1219" s="6" t="str">
        <f>"1995-05-14"</f>
        <v>1995-05-14</v>
      </c>
      <c r="F1219" s="6"/>
    </row>
    <row r="1220" spans="1:6" ht="30" customHeight="1">
      <c r="A1220" s="6">
        <v>1218</v>
      </c>
      <c r="B1220" s="6" t="str">
        <f>"2728202011241300341786"</f>
        <v>2728202011241300341786</v>
      </c>
      <c r="C1220" s="6" t="s">
        <v>7</v>
      </c>
      <c r="D1220" s="6" t="str">
        <f>"任丽双"</f>
        <v>任丽双</v>
      </c>
      <c r="E1220" s="6" t="str">
        <f>"1989-07-04"</f>
        <v>1989-07-04</v>
      </c>
      <c r="F1220" s="6"/>
    </row>
    <row r="1221" spans="1:6" ht="30" customHeight="1">
      <c r="A1221" s="6">
        <v>1219</v>
      </c>
      <c r="B1221" s="6" t="str">
        <f>"2728202011241302181788"</f>
        <v>2728202011241302181788</v>
      </c>
      <c r="C1221" s="6" t="s">
        <v>7</v>
      </c>
      <c r="D1221" s="6" t="str">
        <f>"谢建祥"</f>
        <v>谢建祥</v>
      </c>
      <c r="E1221" s="6" t="str">
        <f>"1988-10-04"</f>
        <v>1988-10-04</v>
      </c>
      <c r="F1221" s="6"/>
    </row>
    <row r="1222" spans="1:6" ht="30" customHeight="1">
      <c r="A1222" s="6">
        <v>1220</v>
      </c>
      <c r="B1222" s="6" t="str">
        <f>"2728202011241312481791"</f>
        <v>2728202011241312481791</v>
      </c>
      <c r="C1222" s="6" t="s">
        <v>7</v>
      </c>
      <c r="D1222" s="6" t="str">
        <f>"蕉建荣"</f>
        <v>蕉建荣</v>
      </c>
      <c r="E1222" s="6" t="str">
        <f>"1998-05-19"</f>
        <v>1998-05-19</v>
      </c>
      <c r="F1222" s="6"/>
    </row>
    <row r="1223" spans="1:6" ht="30" customHeight="1">
      <c r="A1223" s="6">
        <v>1221</v>
      </c>
      <c r="B1223" s="6" t="str">
        <f>"2728202011241314151792"</f>
        <v>2728202011241314151792</v>
      </c>
      <c r="C1223" s="6" t="s">
        <v>7</v>
      </c>
      <c r="D1223" s="6" t="str">
        <f>"曾海妹"</f>
        <v>曾海妹</v>
      </c>
      <c r="E1223" s="6" t="str">
        <f>"1996-06-07"</f>
        <v>1996-06-07</v>
      </c>
      <c r="F1223" s="6"/>
    </row>
    <row r="1224" spans="1:6" ht="30" customHeight="1">
      <c r="A1224" s="6">
        <v>1222</v>
      </c>
      <c r="B1224" s="6" t="str">
        <f>"2728202011241325281794"</f>
        <v>2728202011241325281794</v>
      </c>
      <c r="C1224" s="6" t="s">
        <v>7</v>
      </c>
      <c r="D1224" s="6" t="str">
        <f>"黎又荣"</f>
        <v>黎又荣</v>
      </c>
      <c r="E1224" s="6" t="str">
        <f>"1997-09-25"</f>
        <v>1997-09-25</v>
      </c>
      <c r="F1224" s="6"/>
    </row>
    <row r="1225" spans="1:6" ht="30" customHeight="1">
      <c r="A1225" s="6">
        <v>1223</v>
      </c>
      <c r="B1225" s="6" t="str">
        <f>"2728202011241347131796"</f>
        <v>2728202011241347131796</v>
      </c>
      <c r="C1225" s="6" t="s">
        <v>7</v>
      </c>
      <c r="D1225" s="6" t="str">
        <f>"温雅"</f>
        <v>温雅</v>
      </c>
      <c r="E1225" s="6" t="str">
        <f>"1999-12-24"</f>
        <v>1999-12-24</v>
      </c>
      <c r="F1225" s="6"/>
    </row>
    <row r="1226" spans="1:6" ht="30" customHeight="1">
      <c r="A1226" s="6">
        <v>1224</v>
      </c>
      <c r="B1226" s="6" t="str">
        <f>"2728202011241347271797"</f>
        <v>2728202011241347271797</v>
      </c>
      <c r="C1226" s="6" t="s">
        <v>7</v>
      </c>
      <c r="D1226" s="6" t="str">
        <f>"罗天"</f>
        <v>罗天</v>
      </c>
      <c r="E1226" s="6" t="str">
        <f>"1992-02-05"</f>
        <v>1992-02-05</v>
      </c>
      <c r="F1226" s="6"/>
    </row>
    <row r="1227" spans="1:6" ht="30" customHeight="1">
      <c r="A1227" s="6">
        <v>1225</v>
      </c>
      <c r="B1227" s="6" t="str">
        <f>"2728202011241348451798"</f>
        <v>2728202011241348451798</v>
      </c>
      <c r="C1227" s="6" t="s">
        <v>7</v>
      </c>
      <c r="D1227" s="6" t="str">
        <f>"陈小妹"</f>
        <v>陈小妹</v>
      </c>
      <c r="E1227" s="6" t="str">
        <f>"1991-04-20"</f>
        <v>1991-04-20</v>
      </c>
      <c r="F1227" s="6"/>
    </row>
    <row r="1228" spans="1:6" ht="30" customHeight="1">
      <c r="A1228" s="6">
        <v>1226</v>
      </c>
      <c r="B1228" s="6" t="str">
        <f>"2728202011241349171799"</f>
        <v>2728202011241349171799</v>
      </c>
      <c r="C1228" s="6" t="s">
        <v>7</v>
      </c>
      <c r="D1228" s="6" t="str">
        <f>"胡春雅"</f>
        <v>胡春雅</v>
      </c>
      <c r="E1228" s="6" t="str">
        <f>"1996-01-20"</f>
        <v>1996-01-20</v>
      </c>
      <c r="F1228" s="6"/>
    </row>
    <row r="1229" spans="1:6" ht="30" customHeight="1">
      <c r="A1229" s="6">
        <v>1227</v>
      </c>
      <c r="B1229" s="6" t="str">
        <f>"2728202011241358481800"</f>
        <v>2728202011241358481800</v>
      </c>
      <c r="C1229" s="6" t="s">
        <v>7</v>
      </c>
      <c r="D1229" s="6" t="str">
        <f>"陈照统"</f>
        <v>陈照统</v>
      </c>
      <c r="E1229" s="6" t="str">
        <f>"1990-08-15"</f>
        <v>1990-08-15</v>
      </c>
      <c r="F1229" s="6"/>
    </row>
    <row r="1230" spans="1:6" ht="30" customHeight="1">
      <c r="A1230" s="6">
        <v>1228</v>
      </c>
      <c r="B1230" s="6" t="str">
        <f>"2728202011241403561801"</f>
        <v>2728202011241403561801</v>
      </c>
      <c r="C1230" s="6" t="s">
        <v>7</v>
      </c>
      <c r="D1230" s="6" t="str">
        <f>"谭礼婷"</f>
        <v>谭礼婷</v>
      </c>
      <c r="E1230" s="6" t="str">
        <f>"1988-09-01"</f>
        <v>1988-09-01</v>
      </c>
      <c r="F1230" s="6"/>
    </row>
    <row r="1231" spans="1:6" ht="30" customHeight="1">
      <c r="A1231" s="6">
        <v>1229</v>
      </c>
      <c r="B1231" s="6" t="str">
        <f>"2728202011241406141802"</f>
        <v>2728202011241406141802</v>
      </c>
      <c r="C1231" s="6" t="s">
        <v>7</v>
      </c>
      <c r="D1231" s="6" t="str">
        <f>"吴亚君"</f>
        <v>吴亚君</v>
      </c>
      <c r="E1231" s="6" t="str">
        <f>"1994-08-17"</f>
        <v>1994-08-17</v>
      </c>
      <c r="F1231" s="6"/>
    </row>
    <row r="1232" spans="1:6" ht="30" customHeight="1">
      <c r="A1232" s="6">
        <v>1230</v>
      </c>
      <c r="B1232" s="6" t="str">
        <f>"2728202011241408161803"</f>
        <v>2728202011241408161803</v>
      </c>
      <c r="C1232" s="6" t="s">
        <v>7</v>
      </c>
      <c r="D1232" s="6" t="str">
        <f>"林姿余"</f>
        <v>林姿余</v>
      </c>
      <c r="E1232" s="6" t="str">
        <f>"1992-12-04"</f>
        <v>1992-12-04</v>
      </c>
      <c r="F1232" s="6"/>
    </row>
    <row r="1233" spans="1:6" ht="30" customHeight="1">
      <c r="A1233" s="6">
        <v>1231</v>
      </c>
      <c r="B1233" s="6" t="str">
        <f>"2728202011241408291804"</f>
        <v>2728202011241408291804</v>
      </c>
      <c r="C1233" s="6" t="s">
        <v>7</v>
      </c>
      <c r="D1233" s="6" t="str">
        <f>"陈大正"</f>
        <v>陈大正</v>
      </c>
      <c r="E1233" s="6" t="str">
        <f>"1991-04-28"</f>
        <v>1991-04-28</v>
      </c>
      <c r="F1233" s="6"/>
    </row>
    <row r="1234" spans="1:6" ht="30" customHeight="1">
      <c r="A1234" s="6">
        <v>1232</v>
      </c>
      <c r="B1234" s="6" t="str">
        <f>"2728202011241408391805"</f>
        <v>2728202011241408391805</v>
      </c>
      <c r="C1234" s="6" t="s">
        <v>7</v>
      </c>
      <c r="D1234" s="6" t="str">
        <f>"郭梦婷"</f>
        <v>郭梦婷</v>
      </c>
      <c r="E1234" s="6" t="str">
        <f>"1998-05-05"</f>
        <v>1998-05-05</v>
      </c>
      <c r="F1234" s="6"/>
    </row>
    <row r="1235" spans="1:6" ht="30" customHeight="1">
      <c r="A1235" s="6">
        <v>1233</v>
      </c>
      <c r="B1235" s="6" t="str">
        <f>"2728202011241410471806"</f>
        <v>2728202011241410471806</v>
      </c>
      <c r="C1235" s="6" t="s">
        <v>7</v>
      </c>
      <c r="D1235" s="6" t="str">
        <f>"陈施显"</f>
        <v>陈施显</v>
      </c>
      <c r="E1235" s="6" t="str">
        <f>"1994-05-23"</f>
        <v>1994-05-23</v>
      </c>
      <c r="F1235" s="6"/>
    </row>
    <row r="1236" spans="1:6" ht="30" customHeight="1">
      <c r="A1236" s="6">
        <v>1234</v>
      </c>
      <c r="B1236" s="6" t="str">
        <f>"2728202011241415351808"</f>
        <v>2728202011241415351808</v>
      </c>
      <c r="C1236" s="6" t="s">
        <v>7</v>
      </c>
      <c r="D1236" s="6" t="str">
        <f>"符启燕"</f>
        <v>符启燕</v>
      </c>
      <c r="E1236" s="6" t="str">
        <f>"1996-09-15"</f>
        <v>1996-09-15</v>
      </c>
      <c r="F1236" s="6"/>
    </row>
    <row r="1237" spans="1:6" ht="30" customHeight="1">
      <c r="A1237" s="6">
        <v>1235</v>
      </c>
      <c r="B1237" s="6" t="str">
        <f>"2728202011241425331809"</f>
        <v>2728202011241425331809</v>
      </c>
      <c r="C1237" s="6" t="s">
        <v>7</v>
      </c>
      <c r="D1237" s="6" t="str">
        <f>"洪宽益"</f>
        <v>洪宽益</v>
      </c>
      <c r="E1237" s="6" t="str">
        <f>"1992-09-09"</f>
        <v>1992-09-09</v>
      </c>
      <c r="F1237" s="6"/>
    </row>
    <row r="1238" spans="1:6" ht="30" customHeight="1">
      <c r="A1238" s="6">
        <v>1236</v>
      </c>
      <c r="B1238" s="6" t="str">
        <f>"2728202011241431181810"</f>
        <v>2728202011241431181810</v>
      </c>
      <c r="C1238" s="6" t="s">
        <v>7</v>
      </c>
      <c r="D1238" s="6" t="str">
        <f>"张鸣"</f>
        <v>张鸣</v>
      </c>
      <c r="E1238" s="6" t="str">
        <f>"1994-11-21"</f>
        <v>1994-11-21</v>
      </c>
      <c r="F1238" s="6"/>
    </row>
    <row r="1239" spans="1:6" ht="30" customHeight="1">
      <c r="A1239" s="6">
        <v>1237</v>
      </c>
      <c r="B1239" s="6" t="str">
        <f>"2728202011241438201812"</f>
        <v>2728202011241438201812</v>
      </c>
      <c r="C1239" s="6" t="s">
        <v>7</v>
      </c>
      <c r="D1239" s="6" t="str">
        <f>"余应鹏"</f>
        <v>余应鹏</v>
      </c>
      <c r="E1239" s="6" t="str">
        <f>"1990-09-05"</f>
        <v>1990-09-05</v>
      </c>
      <c r="F1239" s="6"/>
    </row>
    <row r="1240" spans="1:6" ht="30" customHeight="1">
      <c r="A1240" s="6">
        <v>1238</v>
      </c>
      <c r="B1240" s="6" t="str">
        <f>"2728202011241439011813"</f>
        <v>2728202011241439011813</v>
      </c>
      <c r="C1240" s="6" t="s">
        <v>7</v>
      </c>
      <c r="D1240" s="6" t="str">
        <f>"韩志强"</f>
        <v>韩志强</v>
      </c>
      <c r="E1240" s="6" t="str">
        <f>"1997-11-16"</f>
        <v>1997-11-16</v>
      </c>
      <c r="F1240" s="6"/>
    </row>
    <row r="1241" spans="1:6" ht="30" customHeight="1">
      <c r="A1241" s="6">
        <v>1239</v>
      </c>
      <c r="B1241" s="6" t="str">
        <f>"2728202011241439591814"</f>
        <v>2728202011241439591814</v>
      </c>
      <c r="C1241" s="6" t="s">
        <v>7</v>
      </c>
      <c r="D1241" s="6" t="str">
        <f>"林永迷"</f>
        <v>林永迷</v>
      </c>
      <c r="E1241" s="6" t="str">
        <f>"1997-01-03"</f>
        <v>1997-01-03</v>
      </c>
      <c r="F1241" s="6"/>
    </row>
    <row r="1242" spans="1:6" ht="30" customHeight="1">
      <c r="A1242" s="6">
        <v>1240</v>
      </c>
      <c r="B1242" s="6" t="str">
        <f>"2728202011241446091817"</f>
        <v>2728202011241446091817</v>
      </c>
      <c r="C1242" s="6" t="s">
        <v>7</v>
      </c>
      <c r="D1242" s="6" t="str">
        <f>"张赫"</f>
        <v>张赫</v>
      </c>
      <c r="E1242" s="6" t="str">
        <f>"1990-01-05"</f>
        <v>1990-01-05</v>
      </c>
      <c r="F1242" s="6"/>
    </row>
    <row r="1243" spans="1:6" ht="30" customHeight="1">
      <c r="A1243" s="6">
        <v>1241</v>
      </c>
      <c r="B1243" s="6" t="str">
        <f>"2728202011241449571818"</f>
        <v>2728202011241449571818</v>
      </c>
      <c r="C1243" s="6" t="s">
        <v>7</v>
      </c>
      <c r="D1243" s="6" t="str">
        <f>"王明月"</f>
        <v>王明月</v>
      </c>
      <c r="E1243" s="6" t="str">
        <f>"1999-01-05"</f>
        <v>1999-01-05</v>
      </c>
      <c r="F1243" s="6"/>
    </row>
    <row r="1244" spans="1:6" ht="30" customHeight="1">
      <c r="A1244" s="6">
        <v>1242</v>
      </c>
      <c r="B1244" s="6" t="str">
        <f>"2728202011241452051819"</f>
        <v>2728202011241452051819</v>
      </c>
      <c r="C1244" s="6" t="s">
        <v>7</v>
      </c>
      <c r="D1244" s="6" t="str">
        <f>"宁孙玲"</f>
        <v>宁孙玲</v>
      </c>
      <c r="E1244" s="6" t="str">
        <f>"1992-05-23"</f>
        <v>1992-05-23</v>
      </c>
      <c r="F1244" s="6"/>
    </row>
    <row r="1245" spans="1:6" ht="30" customHeight="1">
      <c r="A1245" s="6">
        <v>1243</v>
      </c>
      <c r="B1245" s="6" t="str">
        <f>"2728202011241458441822"</f>
        <v>2728202011241458441822</v>
      </c>
      <c r="C1245" s="6" t="s">
        <v>7</v>
      </c>
      <c r="D1245" s="6" t="str">
        <f>"王裕杰"</f>
        <v>王裕杰</v>
      </c>
      <c r="E1245" s="6" t="str">
        <f>"1993-12-18"</f>
        <v>1993-12-18</v>
      </c>
      <c r="F1245" s="6"/>
    </row>
    <row r="1246" spans="1:6" ht="30" customHeight="1">
      <c r="A1246" s="6">
        <v>1244</v>
      </c>
      <c r="B1246" s="6" t="str">
        <f>"2728202011241459461823"</f>
        <v>2728202011241459461823</v>
      </c>
      <c r="C1246" s="6" t="s">
        <v>7</v>
      </c>
      <c r="D1246" s="6" t="str">
        <f>"陈其贝"</f>
        <v>陈其贝</v>
      </c>
      <c r="E1246" s="6" t="str">
        <f>"1993-06-12"</f>
        <v>1993-06-12</v>
      </c>
      <c r="F1246" s="6"/>
    </row>
    <row r="1247" spans="1:6" ht="30" customHeight="1">
      <c r="A1247" s="6">
        <v>1245</v>
      </c>
      <c r="B1247" s="6" t="str">
        <f>"2728202011241504521824"</f>
        <v>2728202011241504521824</v>
      </c>
      <c r="C1247" s="6" t="s">
        <v>7</v>
      </c>
      <c r="D1247" s="6" t="str">
        <f>"王康伟"</f>
        <v>王康伟</v>
      </c>
      <c r="E1247" s="6" t="str">
        <f>"1998-04-23"</f>
        <v>1998-04-23</v>
      </c>
      <c r="F1247" s="6"/>
    </row>
    <row r="1248" spans="1:6" ht="30" customHeight="1">
      <c r="A1248" s="6">
        <v>1246</v>
      </c>
      <c r="B1248" s="6" t="str">
        <f>"2728202011241510361826"</f>
        <v>2728202011241510361826</v>
      </c>
      <c r="C1248" s="6" t="s">
        <v>7</v>
      </c>
      <c r="D1248" s="6" t="str">
        <f>"符敏"</f>
        <v>符敏</v>
      </c>
      <c r="E1248" s="6" t="str">
        <f>"1985-10-25"</f>
        <v>1985-10-25</v>
      </c>
      <c r="F1248" s="6"/>
    </row>
    <row r="1249" spans="1:6" ht="30" customHeight="1">
      <c r="A1249" s="6">
        <v>1247</v>
      </c>
      <c r="B1249" s="6" t="str">
        <f>"2728202011241516351828"</f>
        <v>2728202011241516351828</v>
      </c>
      <c r="C1249" s="6" t="s">
        <v>7</v>
      </c>
      <c r="D1249" s="6" t="str">
        <f>"王小住"</f>
        <v>王小住</v>
      </c>
      <c r="E1249" s="6" t="str">
        <f>"1997-06-28"</f>
        <v>1997-06-28</v>
      </c>
      <c r="F1249" s="6"/>
    </row>
    <row r="1250" spans="1:6" ht="30" customHeight="1">
      <c r="A1250" s="6">
        <v>1248</v>
      </c>
      <c r="B1250" s="6" t="str">
        <f>"2728202011241518551829"</f>
        <v>2728202011241518551829</v>
      </c>
      <c r="C1250" s="6" t="s">
        <v>7</v>
      </c>
      <c r="D1250" s="6" t="str">
        <f>"郑扬玲"</f>
        <v>郑扬玲</v>
      </c>
      <c r="E1250" s="6" t="str">
        <f>"1994-07-26"</f>
        <v>1994-07-26</v>
      </c>
      <c r="F1250" s="6"/>
    </row>
    <row r="1251" spans="1:6" ht="30" customHeight="1">
      <c r="A1251" s="6">
        <v>1249</v>
      </c>
      <c r="B1251" s="6" t="str">
        <f>"2728202011241522021832"</f>
        <v>2728202011241522021832</v>
      </c>
      <c r="C1251" s="6" t="s">
        <v>7</v>
      </c>
      <c r="D1251" s="6" t="str">
        <f>"陈玲仙"</f>
        <v>陈玲仙</v>
      </c>
      <c r="E1251" s="6" t="str">
        <f>"1991-08-03"</f>
        <v>1991-08-03</v>
      </c>
      <c r="F1251" s="6"/>
    </row>
    <row r="1252" spans="1:6" ht="30" customHeight="1">
      <c r="A1252" s="6">
        <v>1250</v>
      </c>
      <c r="B1252" s="6" t="str">
        <f>"2728202011241522571834"</f>
        <v>2728202011241522571834</v>
      </c>
      <c r="C1252" s="6" t="s">
        <v>7</v>
      </c>
      <c r="D1252" s="6" t="str">
        <f>"王星谕"</f>
        <v>王星谕</v>
      </c>
      <c r="E1252" s="6" t="str">
        <f>"1991-09-20"</f>
        <v>1991-09-20</v>
      </c>
      <c r="F1252" s="6"/>
    </row>
    <row r="1253" spans="1:6" ht="30" customHeight="1">
      <c r="A1253" s="6">
        <v>1251</v>
      </c>
      <c r="B1253" s="6" t="str">
        <f>"2728202011241524041835"</f>
        <v>2728202011241524041835</v>
      </c>
      <c r="C1253" s="6" t="s">
        <v>7</v>
      </c>
      <c r="D1253" s="6" t="str">
        <f>"陈明程"</f>
        <v>陈明程</v>
      </c>
      <c r="E1253" s="6" t="str">
        <f>"1997-11-27"</f>
        <v>1997-11-27</v>
      </c>
      <c r="F1253" s="6"/>
    </row>
    <row r="1254" spans="1:6" ht="30" customHeight="1">
      <c r="A1254" s="6">
        <v>1252</v>
      </c>
      <c r="B1254" s="6" t="str">
        <f>"2728202011241529561836"</f>
        <v>2728202011241529561836</v>
      </c>
      <c r="C1254" s="6" t="s">
        <v>7</v>
      </c>
      <c r="D1254" s="6" t="str">
        <f>"符晓欣"</f>
        <v>符晓欣</v>
      </c>
      <c r="E1254" s="6" t="str">
        <f>"1995-05-05"</f>
        <v>1995-05-05</v>
      </c>
      <c r="F1254" s="6"/>
    </row>
    <row r="1255" spans="1:6" ht="30" customHeight="1">
      <c r="A1255" s="6">
        <v>1253</v>
      </c>
      <c r="B1255" s="6" t="str">
        <f>"2728202011241531251837"</f>
        <v>2728202011241531251837</v>
      </c>
      <c r="C1255" s="6" t="s">
        <v>7</v>
      </c>
      <c r="D1255" s="6" t="str">
        <f>"程风"</f>
        <v>程风</v>
      </c>
      <c r="E1255" s="6" t="str">
        <f>"1997-05-10"</f>
        <v>1997-05-10</v>
      </c>
      <c r="F1255" s="6"/>
    </row>
    <row r="1256" spans="1:6" ht="30" customHeight="1">
      <c r="A1256" s="6">
        <v>1254</v>
      </c>
      <c r="B1256" s="6" t="str">
        <f>"2728202011241534221840"</f>
        <v>2728202011241534221840</v>
      </c>
      <c r="C1256" s="6" t="s">
        <v>7</v>
      </c>
      <c r="D1256" s="6" t="str">
        <f>"陈英娜"</f>
        <v>陈英娜</v>
      </c>
      <c r="E1256" s="6" t="str">
        <f>"1996-02-07"</f>
        <v>1996-02-07</v>
      </c>
      <c r="F1256" s="6"/>
    </row>
    <row r="1257" spans="1:6" ht="30" customHeight="1">
      <c r="A1257" s="6">
        <v>1255</v>
      </c>
      <c r="B1257" s="6" t="str">
        <f>"2728202011241540121842"</f>
        <v>2728202011241540121842</v>
      </c>
      <c r="C1257" s="6" t="s">
        <v>7</v>
      </c>
      <c r="D1257" s="6" t="str">
        <f>"麦有史"</f>
        <v>麦有史</v>
      </c>
      <c r="E1257" s="6" t="str">
        <f>"1986-10-05"</f>
        <v>1986-10-05</v>
      </c>
      <c r="F1257" s="6"/>
    </row>
    <row r="1258" spans="1:6" ht="30" customHeight="1">
      <c r="A1258" s="6">
        <v>1256</v>
      </c>
      <c r="B1258" s="6" t="str">
        <f>"2728202011241541291843"</f>
        <v>2728202011241541291843</v>
      </c>
      <c r="C1258" s="6" t="s">
        <v>7</v>
      </c>
      <c r="D1258" s="6" t="str">
        <f>"林虹"</f>
        <v>林虹</v>
      </c>
      <c r="E1258" s="6" t="str">
        <f>"1994-12-29"</f>
        <v>1994-12-29</v>
      </c>
      <c r="F1258" s="6"/>
    </row>
    <row r="1259" spans="1:6" ht="30" customHeight="1">
      <c r="A1259" s="6">
        <v>1257</v>
      </c>
      <c r="B1259" s="6" t="str">
        <f>"2728202011241553161845"</f>
        <v>2728202011241553161845</v>
      </c>
      <c r="C1259" s="6" t="s">
        <v>7</v>
      </c>
      <c r="D1259" s="6" t="str">
        <f>"容武"</f>
        <v>容武</v>
      </c>
      <c r="E1259" s="6" t="str">
        <f>"1990-06-11"</f>
        <v>1990-06-11</v>
      </c>
      <c r="F1259" s="6"/>
    </row>
    <row r="1260" spans="1:6" ht="30" customHeight="1">
      <c r="A1260" s="6">
        <v>1258</v>
      </c>
      <c r="B1260" s="6" t="str">
        <f>"2728202011241554581847"</f>
        <v>2728202011241554581847</v>
      </c>
      <c r="C1260" s="6" t="s">
        <v>7</v>
      </c>
      <c r="D1260" s="6" t="str">
        <f>"谢秀梦"</f>
        <v>谢秀梦</v>
      </c>
      <c r="E1260" s="6" t="str">
        <f>"1995-08-27"</f>
        <v>1995-08-27</v>
      </c>
      <c r="F1260" s="6"/>
    </row>
    <row r="1261" spans="1:6" ht="30" customHeight="1">
      <c r="A1261" s="6">
        <v>1259</v>
      </c>
      <c r="B1261" s="6" t="str">
        <f>"2728202011241604401851"</f>
        <v>2728202011241604401851</v>
      </c>
      <c r="C1261" s="6" t="s">
        <v>7</v>
      </c>
      <c r="D1261" s="6" t="str">
        <f>"叶运吉"</f>
        <v>叶运吉</v>
      </c>
      <c r="E1261" s="6" t="str">
        <f>"1998-04-19"</f>
        <v>1998-04-19</v>
      </c>
      <c r="F1261" s="6"/>
    </row>
    <row r="1262" spans="1:6" ht="30" customHeight="1">
      <c r="A1262" s="6">
        <v>1260</v>
      </c>
      <c r="B1262" s="6" t="str">
        <f>"2728202011241607301853"</f>
        <v>2728202011241607301853</v>
      </c>
      <c r="C1262" s="6" t="s">
        <v>7</v>
      </c>
      <c r="D1262" s="6" t="str">
        <f>"符江花"</f>
        <v>符江花</v>
      </c>
      <c r="E1262" s="6" t="str">
        <f>"1995-12-20"</f>
        <v>1995-12-20</v>
      </c>
      <c r="F1262" s="6"/>
    </row>
    <row r="1263" spans="1:6" ht="30" customHeight="1">
      <c r="A1263" s="6">
        <v>1261</v>
      </c>
      <c r="B1263" s="6" t="str">
        <f>"2728202011241610081854"</f>
        <v>2728202011241610081854</v>
      </c>
      <c r="C1263" s="6" t="s">
        <v>7</v>
      </c>
      <c r="D1263" s="6" t="str">
        <f>"王丹丹"</f>
        <v>王丹丹</v>
      </c>
      <c r="E1263" s="6" t="str">
        <f>"1991-09-04"</f>
        <v>1991-09-04</v>
      </c>
      <c r="F1263" s="6"/>
    </row>
    <row r="1264" spans="1:6" ht="30" customHeight="1">
      <c r="A1264" s="6">
        <v>1262</v>
      </c>
      <c r="B1264" s="6" t="str">
        <f>"2728202011241611491856"</f>
        <v>2728202011241611491856</v>
      </c>
      <c r="C1264" s="6" t="s">
        <v>7</v>
      </c>
      <c r="D1264" s="6" t="str">
        <f>"林煌校"</f>
        <v>林煌校</v>
      </c>
      <c r="E1264" s="6" t="str">
        <f>"1999-12-16"</f>
        <v>1999-12-16</v>
      </c>
      <c r="F1264" s="6"/>
    </row>
    <row r="1265" spans="1:6" ht="30" customHeight="1">
      <c r="A1265" s="6">
        <v>1263</v>
      </c>
      <c r="B1265" s="6" t="str">
        <f>"2728202011241613261857"</f>
        <v>2728202011241613261857</v>
      </c>
      <c r="C1265" s="6" t="s">
        <v>7</v>
      </c>
      <c r="D1265" s="6" t="str">
        <f>"莫晓敏"</f>
        <v>莫晓敏</v>
      </c>
      <c r="E1265" s="6" t="str">
        <f>"1995-09-12"</f>
        <v>1995-09-12</v>
      </c>
      <c r="F1265" s="6"/>
    </row>
    <row r="1266" spans="1:6" ht="30" customHeight="1">
      <c r="A1266" s="6">
        <v>1264</v>
      </c>
      <c r="B1266" s="6" t="str">
        <f>"2728202011241617121859"</f>
        <v>2728202011241617121859</v>
      </c>
      <c r="C1266" s="6" t="s">
        <v>7</v>
      </c>
      <c r="D1266" s="6" t="str">
        <f>"李倩"</f>
        <v>李倩</v>
      </c>
      <c r="E1266" s="6" t="str">
        <f>"1996-10-14"</f>
        <v>1996-10-14</v>
      </c>
      <c r="F1266" s="6"/>
    </row>
    <row r="1267" spans="1:6" ht="30" customHeight="1">
      <c r="A1267" s="6">
        <v>1265</v>
      </c>
      <c r="B1267" s="6" t="str">
        <f>"2728202011241621551861"</f>
        <v>2728202011241621551861</v>
      </c>
      <c r="C1267" s="6" t="s">
        <v>7</v>
      </c>
      <c r="D1267" s="6" t="str">
        <f>"潘富喜"</f>
        <v>潘富喜</v>
      </c>
      <c r="E1267" s="6" t="str">
        <f>"1995-02-20"</f>
        <v>1995-02-20</v>
      </c>
      <c r="F1267" s="6"/>
    </row>
    <row r="1268" spans="1:6" ht="30" customHeight="1">
      <c r="A1268" s="6">
        <v>1266</v>
      </c>
      <c r="B1268" s="6" t="str">
        <f>"2728202011241625131862"</f>
        <v>2728202011241625131862</v>
      </c>
      <c r="C1268" s="6" t="s">
        <v>7</v>
      </c>
      <c r="D1268" s="6" t="str">
        <f>"周雄裕"</f>
        <v>周雄裕</v>
      </c>
      <c r="E1268" s="6" t="str">
        <f>"1989-12-23"</f>
        <v>1989-12-23</v>
      </c>
      <c r="F1268" s="6"/>
    </row>
    <row r="1269" spans="1:6" ht="30" customHeight="1">
      <c r="A1269" s="6">
        <v>1267</v>
      </c>
      <c r="B1269" s="6" t="str">
        <f>"2728202011241633541864"</f>
        <v>2728202011241633541864</v>
      </c>
      <c r="C1269" s="6" t="s">
        <v>7</v>
      </c>
      <c r="D1269" s="6" t="str">
        <f>"何天驰"</f>
        <v>何天驰</v>
      </c>
      <c r="E1269" s="6" t="str">
        <f>"1996.10.21"</f>
        <v>1996.10.21</v>
      </c>
      <c r="F1269" s="6"/>
    </row>
    <row r="1270" spans="1:6" ht="30" customHeight="1">
      <c r="A1270" s="6">
        <v>1268</v>
      </c>
      <c r="B1270" s="6" t="str">
        <f>"2728202011241635291865"</f>
        <v>2728202011241635291865</v>
      </c>
      <c r="C1270" s="6" t="s">
        <v>7</v>
      </c>
      <c r="D1270" s="6" t="str">
        <f>"陈小钰"</f>
        <v>陈小钰</v>
      </c>
      <c r="E1270" s="6" t="str">
        <f>"1996-10-05"</f>
        <v>1996-10-05</v>
      </c>
      <c r="F1270" s="6"/>
    </row>
    <row r="1271" spans="1:6" ht="30" customHeight="1">
      <c r="A1271" s="6">
        <v>1269</v>
      </c>
      <c r="B1271" s="6" t="str">
        <f>"2728202011241635491866"</f>
        <v>2728202011241635491866</v>
      </c>
      <c r="C1271" s="6" t="s">
        <v>7</v>
      </c>
      <c r="D1271" s="6" t="str">
        <f>"陈宗姣"</f>
        <v>陈宗姣</v>
      </c>
      <c r="E1271" s="6" t="str">
        <f>"1994-01-20"</f>
        <v>1994-01-20</v>
      </c>
      <c r="F1271" s="6"/>
    </row>
    <row r="1272" spans="1:6" ht="30" customHeight="1">
      <c r="A1272" s="6">
        <v>1270</v>
      </c>
      <c r="B1272" s="6" t="str">
        <f>"2728202011241637331868"</f>
        <v>2728202011241637331868</v>
      </c>
      <c r="C1272" s="6" t="s">
        <v>7</v>
      </c>
      <c r="D1272" s="6" t="str">
        <f>"饶美琪"</f>
        <v>饶美琪</v>
      </c>
      <c r="E1272" s="6" t="str">
        <f>"1992-12-15"</f>
        <v>1992-12-15</v>
      </c>
      <c r="F1272" s="6"/>
    </row>
    <row r="1273" spans="1:6" ht="30" customHeight="1">
      <c r="A1273" s="6">
        <v>1271</v>
      </c>
      <c r="B1273" s="6" t="str">
        <f>"2728202011241639411870"</f>
        <v>2728202011241639411870</v>
      </c>
      <c r="C1273" s="6" t="s">
        <v>7</v>
      </c>
      <c r="D1273" s="6" t="str">
        <f>"秦子福"</f>
        <v>秦子福</v>
      </c>
      <c r="E1273" s="6" t="str">
        <f>"1992-01-24"</f>
        <v>1992-01-24</v>
      </c>
      <c r="F1273" s="6"/>
    </row>
    <row r="1274" spans="1:6" ht="30" customHeight="1">
      <c r="A1274" s="6">
        <v>1272</v>
      </c>
      <c r="B1274" s="6" t="str">
        <f>"2728202011241705401876"</f>
        <v>2728202011241705401876</v>
      </c>
      <c r="C1274" s="6" t="s">
        <v>7</v>
      </c>
      <c r="D1274" s="6" t="str">
        <f>"何灏"</f>
        <v>何灏</v>
      </c>
      <c r="E1274" s="6" t="str">
        <f>"1989-12-13"</f>
        <v>1989-12-13</v>
      </c>
      <c r="F1274" s="6"/>
    </row>
    <row r="1275" spans="1:6" ht="30" customHeight="1">
      <c r="A1275" s="6">
        <v>1273</v>
      </c>
      <c r="B1275" s="6" t="str">
        <f>"2728202011241706491877"</f>
        <v>2728202011241706491877</v>
      </c>
      <c r="C1275" s="6" t="s">
        <v>7</v>
      </c>
      <c r="D1275" s="6" t="str">
        <f>"林磊"</f>
        <v>林磊</v>
      </c>
      <c r="E1275" s="6" t="str">
        <f>"1996-07-27"</f>
        <v>1996-07-27</v>
      </c>
      <c r="F1275" s="6"/>
    </row>
    <row r="1276" spans="1:6" ht="30" customHeight="1">
      <c r="A1276" s="6">
        <v>1274</v>
      </c>
      <c r="B1276" s="6" t="str">
        <f>"2728202011241718211879"</f>
        <v>2728202011241718211879</v>
      </c>
      <c r="C1276" s="6" t="s">
        <v>7</v>
      </c>
      <c r="D1276" s="6" t="str">
        <f>"钟海"</f>
        <v>钟海</v>
      </c>
      <c r="E1276" s="6" t="str">
        <f>"1992-05-19"</f>
        <v>1992-05-19</v>
      </c>
      <c r="F1276" s="6"/>
    </row>
    <row r="1277" spans="1:6" ht="30" customHeight="1">
      <c r="A1277" s="6">
        <v>1275</v>
      </c>
      <c r="B1277" s="6" t="str">
        <f>"2728202011241718251880"</f>
        <v>2728202011241718251880</v>
      </c>
      <c r="C1277" s="6" t="s">
        <v>7</v>
      </c>
      <c r="D1277" s="6" t="str">
        <f>"王呤"</f>
        <v>王呤</v>
      </c>
      <c r="E1277" s="6" t="str">
        <f>"1995-04-07"</f>
        <v>1995-04-07</v>
      </c>
      <c r="F1277" s="6"/>
    </row>
    <row r="1278" spans="1:6" ht="30" customHeight="1">
      <c r="A1278" s="6">
        <v>1276</v>
      </c>
      <c r="B1278" s="6" t="str">
        <f>"2728202011241718251881"</f>
        <v>2728202011241718251881</v>
      </c>
      <c r="C1278" s="6" t="s">
        <v>7</v>
      </c>
      <c r="D1278" s="6" t="str">
        <f>"黎秋雁"</f>
        <v>黎秋雁</v>
      </c>
      <c r="E1278" s="6" t="str">
        <f>"1994-11-10"</f>
        <v>1994-11-10</v>
      </c>
      <c r="F1278" s="6"/>
    </row>
    <row r="1279" spans="1:6" ht="30" customHeight="1">
      <c r="A1279" s="6">
        <v>1277</v>
      </c>
      <c r="B1279" s="6" t="str">
        <f>"2728202011241719171882"</f>
        <v>2728202011241719171882</v>
      </c>
      <c r="C1279" s="6" t="s">
        <v>7</v>
      </c>
      <c r="D1279" s="6" t="str">
        <f>"韦丽妥"</f>
        <v>韦丽妥</v>
      </c>
      <c r="E1279" s="6" t="str">
        <f>"1990-12-16"</f>
        <v>1990-12-16</v>
      </c>
      <c r="F1279" s="6"/>
    </row>
    <row r="1280" spans="1:6" ht="30" customHeight="1">
      <c r="A1280" s="6">
        <v>1278</v>
      </c>
      <c r="B1280" s="6" t="str">
        <f>"2728202011241722381883"</f>
        <v>2728202011241722381883</v>
      </c>
      <c r="C1280" s="6" t="s">
        <v>7</v>
      </c>
      <c r="D1280" s="6" t="str">
        <f>"陈亚婷"</f>
        <v>陈亚婷</v>
      </c>
      <c r="E1280" s="6" t="str">
        <f>"1996-06-02"</f>
        <v>1996-06-02</v>
      </c>
      <c r="F1280" s="6"/>
    </row>
    <row r="1281" spans="1:6" ht="30" customHeight="1">
      <c r="A1281" s="6">
        <v>1279</v>
      </c>
      <c r="B1281" s="6" t="str">
        <f>"2728202011241726181884"</f>
        <v>2728202011241726181884</v>
      </c>
      <c r="C1281" s="6" t="s">
        <v>7</v>
      </c>
      <c r="D1281" s="6" t="str">
        <f>"王开誉"</f>
        <v>王开誉</v>
      </c>
      <c r="E1281" s="6" t="str">
        <f>"1993-07-14"</f>
        <v>1993-07-14</v>
      </c>
      <c r="F1281" s="6"/>
    </row>
    <row r="1282" spans="1:6" ht="30" customHeight="1">
      <c r="A1282" s="6">
        <v>1280</v>
      </c>
      <c r="B1282" s="6" t="str">
        <f>"2728202011241741241887"</f>
        <v>2728202011241741241887</v>
      </c>
      <c r="C1282" s="6" t="s">
        <v>7</v>
      </c>
      <c r="D1282" s="6" t="str">
        <f>"赵仁"</f>
        <v>赵仁</v>
      </c>
      <c r="E1282" s="6" t="str">
        <f>"1997-04-06"</f>
        <v>1997-04-06</v>
      </c>
      <c r="F1282" s="6"/>
    </row>
    <row r="1283" spans="1:6" ht="30" customHeight="1">
      <c r="A1283" s="6">
        <v>1281</v>
      </c>
      <c r="B1283" s="6" t="str">
        <f>"2728202011241742061888"</f>
        <v>2728202011241742061888</v>
      </c>
      <c r="C1283" s="6" t="s">
        <v>7</v>
      </c>
      <c r="D1283" s="6" t="str">
        <f>"李格"</f>
        <v>李格</v>
      </c>
      <c r="E1283" s="6" t="str">
        <f>"1998-01-08"</f>
        <v>1998-01-08</v>
      </c>
      <c r="F1283" s="6"/>
    </row>
    <row r="1284" spans="1:6" ht="30" customHeight="1">
      <c r="A1284" s="6">
        <v>1282</v>
      </c>
      <c r="B1284" s="6" t="str">
        <f>"2728202011241745571889"</f>
        <v>2728202011241745571889</v>
      </c>
      <c r="C1284" s="6" t="s">
        <v>7</v>
      </c>
      <c r="D1284" s="6" t="str">
        <f>"浦上威"</f>
        <v>浦上威</v>
      </c>
      <c r="E1284" s="6" t="str">
        <f>"1992-09-15"</f>
        <v>1992-09-15</v>
      </c>
      <c r="F1284" s="6"/>
    </row>
    <row r="1285" spans="1:6" ht="30" customHeight="1">
      <c r="A1285" s="6">
        <v>1283</v>
      </c>
      <c r="B1285" s="6" t="str">
        <f>"2728202011241752521890"</f>
        <v>2728202011241752521890</v>
      </c>
      <c r="C1285" s="6" t="s">
        <v>7</v>
      </c>
      <c r="D1285" s="6" t="str">
        <f>"罗加明"</f>
        <v>罗加明</v>
      </c>
      <c r="E1285" s="6" t="str">
        <f>"1994-09-15"</f>
        <v>1994-09-15</v>
      </c>
      <c r="F1285" s="6"/>
    </row>
    <row r="1286" spans="1:6" ht="30" customHeight="1">
      <c r="A1286" s="6">
        <v>1284</v>
      </c>
      <c r="B1286" s="6" t="str">
        <f>"2728202011241757271891"</f>
        <v>2728202011241757271891</v>
      </c>
      <c r="C1286" s="6" t="s">
        <v>7</v>
      </c>
      <c r="D1286" s="6" t="str">
        <f>"谭晓燕"</f>
        <v>谭晓燕</v>
      </c>
      <c r="E1286" s="6" t="str">
        <f>"1996-05-30"</f>
        <v>1996-05-30</v>
      </c>
      <c r="F1286" s="6"/>
    </row>
    <row r="1287" spans="1:6" ht="30" customHeight="1">
      <c r="A1287" s="6">
        <v>1285</v>
      </c>
      <c r="B1287" s="6" t="str">
        <f>"2728202011241759121892"</f>
        <v>2728202011241759121892</v>
      </c>
      <c r="C1287" s="6" t="s">
        <v>7</v>
      </c>
      <c r="D1287" s="6" t="str">
        <f>"万娇"</f>
        <v>万娇</v>
      </c>
      <c r="E1287" s="6" t="str">
        <f>"1997-01-20"</f>
        <v>1997-01-20</v>
      </c>
      <c r="F1287" s="6"/>
    </row>
    <row r="1288" spans="1:6" ht="30" customHeight="1">
      <c r="A1288" s="6">
        <v>1286</v>
      </c>
      <c r="B1288" s="6" t="str">
        <f>"2728202011241801541895"</f>
        <v>2728202011241801541895</v>
      </c>
      <c r="C1288" s="6" t="s">
        <v>7</v>
      </c>
      <c r="D1288" s="6" t="str">
        <f>"陈梳"</f>
        <v>陈梳</v>
      </c>
      <c r="E1288" s="6" t="str">
        <f>"1988-03-28"</f>
        <v>1988-03-28</v>
      </c>
      <c r="F1288" s="6"/>
    </row>
    <row r="1289" spans="1:6" ht="30" customHeight="1">
      <c r="A1289" s="6">
        <v>1287</v>
      </c>
      <c r="B1289" s="6" t="str">
        <f>"2728202011241812551898"</f>
        <v>2728202011241812551898</v>
      </c>
      <c r="C1289" s="6" t="s">
        <v>7</v>
      </c>
      <c r="D1289" s="6" t="str">
        <f>"卢浩"</f>
        <v>卢浩</v>
      </c>
      <c r="E1289" s="6" t="str">
        <f>"1997-09-21"</f>
        <v>1997-09-21</v>
      </c>
      <c r="F1289" s="6"/>
    </row>
    <row r="1290" spans="1:6" ht="30" customHeight="1">
      <c r="A1290" s="6">
        <v>1288</v>
      </c>
      <c r="B1290" s="6" t="str">
        <f>"2728202011241832571901"</f>
        <v>2728202011241832571901</v>
      </c>
      <c r="C1290" s="6" t="s">
        <v>7</v>
      </c>
      <c r="D1290" s="6" t="str">
        <f>"黄瑞琪"</f>
        <v>黄瑞琪</v>
      </c>
      <c r="E1290" s="6" t="str">
        <f>"1992-04-20"</f>
        <v>1992-04-20</v>
      </c>
      <c r="F1290" s="6"/>
    </row>
    <row r="1291" spans="1:6" ht="30" customHeight="1">
      <c r="A1291" s="6">
        <v>1289</v>
      </c>
      <c r="B1291" s="6" t="str">
        <f>"2728202011241833491902"</f>
        <v>2728202011241833491902</v>
      </c>
      <c r="C1291" s="6" t="s">
        <v>7</v>
      </c>
      <c r="D1291" s="6" t="str">
        <f>"王堂界"</f>
        <v>王堂界</v>
      </c>
      <c r="E1291" s="6" t="str">
        <f>"1994-08-02"</f>
        <v>1994-08-02</v>
      </c>
      <c r="F1291" s="6"/>
    </row>
    <row r="1292" spans="1:6" ht="30" customHeight="1">
      <c r="A1292" s="6">
        <v>1290</v>
      </c>
      <c r="B1292" s="6" t="str">
        <f>"2728202011241841191904"</f>
        <v>2728202011241841191904</v>
      </c>
      <c r="C1292" s="6" t="s">
        <v>7</v>
      </c>
      <c r="D1292" s="6" t="str">
        <f>"李姣"</f>
        <v>李姣</v>
      </c>
      <c r="E1292" s="6" t="str">
        <f>"1999-03-27"</f>
        <v>1999-03-27</v>
      </c>
      <c r="F1292" s="6"/>
    </row>
    <row r="1293" spans="1:6" ht="30" customHeight="1">
      <c r="A1293" s="6">
        <v>1291</v>
      </c>
      <c r="B1293" s="6" t="str">
        <f>"2728202011241855391907"</f>
        <v>2728202011241855391907</v>
      </c>
      <c r="C1293" s="6" t="s">
        <v>7</v>
      </c>
      <c r="D1293" s="6" t="str">
        <f>"李佩蔚"</f>
        <v>李佩蔚</v>
      </c>
      <c r="E1293" s="6" t="str">
        <f>"1995-03-15"</f>
        <v>1995-03-15</v>
      </c>
      <c r="F1293" s="6"/>
    </row>
    <row r="1294" spans="1:6" ht="30" customHeight="1">
      <c r="A1294" s="6">
        <v>1292</v>
      </c>
      <c r="B1294" s="6" t="str">
        <f>"2728202011241857501909"</f>
        <v>2728202011241857501909</v>
      </c>
      <c r="C1294" s="6" t="s">
        <v>7</v>
      </c>
      <c r="D1294" s="6" t="str">
        <f>"赵茂书"</f>
        <v>赵茂书</v>
      </c>
      <c r="E1294" s="6" t="str">
        <f>"1997-11-14"</f>
        <v>1997-11-14</v>
      </c>
      <c r="F1294" s="6"/>
    </row>
    <row r="1295" spans="1:6" ht="30" customHeight="1">
      <c r="A1295" s="6">
        <v>1293</v>
      </c>
      <c r="B1295" s="6" t="str">
        <f>"2728202011241911281910"</f>
        <v>2728202011241911281910</v>
      </c>
      <c r="C1295" s="6" t="s">
        <v>7</v>
      </c>
      <c r="D1295" s="6" t="str">
        <f>"何国壮"</f>
        <v>何国壮</v>
      </c>
      <c r="E1295" s="6" t="str">
        <f>"1991-07-08"</f>
        <v>1991-07-08</v>
      </c>
      <c r="F1295" s="6"/>
    </row>
    <row r="1296" spans="1:6" ht="30" customHeight="1">
      <c r="A1296" s="6">
        <v>1294</v>
      </c>
      <c r="B1296" s="6" t="str">
        <f>"2728202011241916351911"</f>
        <v>2728202011241916351911</v>
      </c>
      <c r="C1296" s="6" t="s">
        <v>7</v>
      </c>
      <c r="D1296" s="6" t="str">
        <f>"张儒葵"</f>
        <v>张儒葵</v>
      </c>
      <c r="E1296" s="6" t="str">
        <f>"1995-02-09"</f>
        <v>1995-02-09</v>
      </c>
      <c r="F1296" s="6"/>
    </row>
    <row r="1297" spans="1:6" ht="30" customHeight="1">
      <c r="A1297" s="6">
        <v>1295</v>
      </c>
      <c r="B1297" s="6" t="str">
        <f>"2728202011241921521912"</f>
        <v>2728202011241921521912</v>
      </c>
      <c r="C1297" s="6" t="s">
        <v>7</v>
      </c>
      <c r="D1297" s="6" t="str">
        <f>"谢有思"</f>
        <v>谢有思</v>
      </c>
      <c r="E1297" s="6" t="str">
        <f>"1995-07-25"</f>
        <v>1995-07-25</v>
      </c>
      <c r="F1297" s="6"/>
    </row>
    <row r="1298" spans="1:6" ht="30" customHeight="1">
      <c r="A1298" s="6">
        <v>1296</v>
      </c>
      <c r="B1298" s="6" t="str">
        <f>"2728202011241927201913"</f>
        <v>2728202011241927201913</v>
      </c>
      <c r="C1298" s="6" t="s">
        <v>7</v>
      </c>
      <c r="D1298" s="6" t="str">
        <f>"邢海鑫"</f>
        <v>邢海鑫</v>
      </c>
      <c r="E1298" s="6" t="str">
        <f>"1997-07-15"</f>
        <v>1997-07-15</v>
      </c>
      <c r="F1298" s="6"/>
    </row>
    <row r="1299" spans="1:6" ht="30" customHeight="1">
      <c r="A1299" s="6">
        <v>1297</v>
      </c>
      <c r="B1299" s="6" t="str">
        <f>"2728202011241943191915"</f>
        <v>2728202011241943191915</v>
      </c>
      <c r="C1299" s="6" t="s">
        <v>7</v>
      </c>
      <c r="D1299" s="6" t="str">
        <f>"吉维"</f>
        <v>吉维</v>
      </c>
      <c r="E1299" s="6" t="str">
        <f>"1994-01-30"</f>
        <v>1994-01-30</v>
      </c>
      <c r="F1299" s="6"/>
    </row>
    <row r="1300" spans="1:6" ht="30" customHeight="1">
      <c r="A1300" s="6">
        <v>1298</v>
      </c>
      <c r="B1300" s="6" t="str">
        <f>"2728202011241944241916"</f>
        <v>2728202011241944241916</v>
      </c>
      <c r="C1300" s="6" t="s">
        <v>7</v>
      </c>
      <c r="D1300" s="6" t="str">
        <f>"赵艺"</f>
        <v>赵艺</v>
      </c>
      <c r="E1300" s="6" t="str">
        <f>"1993-02-08"</f>
        <v>1993-02-08</v>
      </c>
      <c r="F1300" s="6"/>
    </row>
    <row r="1301" spans="1:6" ht="30" customHeight="1">
      <c r="A1301" s="6">
        <v>1299</v>
      </c>
      <c r="B1301" s="6" t="str">
        <f>"2728202011241949101917"</f>
        <v>2728202011241949101917</v>
      </c>
      <c r="C1301" s="6" t="s">
        <v>7</v>
      </c>
      <c r="D1301" s="6" t="str">
        <f>"李云婷 "</f>
        <v>李云婷 </v>
      </c>
      <c r="E1301" s="6" t="str">
        <f>"1993-10-30"</f>
        <v>1993-10-30</v>
      </c>
      <c r="F1301" s="6"/>
    </row>
    <row r="1302" spans="1:6" ht="30" customHeight="1">
      <c r="A1302" s="6">
        <v>1300</v>
      </c>
      <c r="B1302" s="6" t="str">
        <f>"2728202011241955461918"</f>
        <v>2728202011241955461918</v>
      </c>
      <c r="C1302" s="6" t="s">
        <v>7</v>
      </c>
      <c r="D1302" s="6" t="str">
        <f>"刘寰"</f>
        <v>刘寰</v>
      </c>
      <c r="E1302" s="6" t="str">
        <f>"1995-04-02"</f>
        <v>1995-04-02</v>
      </c>
      <c r="F1302" s="6"/>
    </row>
    <row r="1303" spans="1:6" ht="30" customHeight="1">
      <c r="A1303" s="6">
        <v>1301</v>
      </c>
      <c r="B1303" s="6" t="str">
        <f>"2728202011242013421922"</f>
        <v>2728202011242013421922</v>
      </c>
      <c r="C1303" s="6" t="s">
        <v>7</v>
      </c>
      <c r="D1303" s="6" t="str">
        <f>"陈月英"</f>
        <v>陈月英</v>
      </c>
      <c r="E1303" s="6" t="str">
        <f>"1987-03-04"</f>
        <v>1987-03-04</v>
      </c>
      <c r="F1303" s="6"/>
    </row>
    <row r="1304" spans="1:6" ht="30" customHeight="1">
      <c r="A1304" s="6">
        <v>1302</v>
      </c>
      <c r="B1304" s="6" t="str">
        <f>"2728202011242023231924"</f>
        <v>2728202011242023231924</v>
      </c>
      <c r="C1304" s="6" t="s">
        <v>7</v>
      </c>
      <c r="D1304" s="6" t="str">
        <f>"林婷"</f>
        <v>林婷</v>
      </c>
      <c r="E1304" s="6" t="str">
        <f>"1997-08-09"</f>
        <v>1997-08-09</v>
      </c>
      <c r="F1304" s="6"/>
    </row>
    <row r="1305" spans="1:6" ht="30" customHeight="1">
      <c r="A1305" s="6">
        <v>1303</v>
      </c>
      <c r="B1305" s="6" t="str">
        <f>"2728202011242026271926"</f>
        <v>2728202011242026271926</v>
      </c>
      <c r="C1305" s="6" t="s">
        <v>7</v>
      </c>
      <c r="D1305" s="6" t="str">
        <f>"梁昌琴"</f>
        <v>梁昌琴</v>
      </c>
      <c r="E1305" s="6" t="str">
        <f>"1991-03-10"</f>
        <v>1991-03-10</v>
      </c>
      <c r="F1305" s="6"/>
    </row>
    <row r="1306" spans="1:6" ht="30" customHeight="1">
      <c r="A1306" s="6">
        <v>1304</v>
      </c>
      <c r="B1306" s="6" t="str">
        <f>"2728202011242027401927"</f>
        <v>2728202011242027401927</v>
      </c>
      <c r="C1306" s="6" t="s">
        <v>7</v>
      </c>
      <c r="D1306" s="6" t="str">
        <f>"潘富曼"</f>
        <v>潘富曼</v>
      </c>
      <c r="E1306" s="6" t="str">
        <f>"1992-06-03"</f>
        <v>1992-06-03</v>
      </c>
      <c r="F1306" s="6"/>
    </row>
    <row r="1307" spans="1:6" ht="30" customHeight="1">
      <c r="A1307" s="6">
        <v>1305</v>
      </c>
      <c r="B1307" s="6" t="str">
        <f>"2728202011242034091930"</f>
        <v>2728202011242034091930</v>
      </c>
      <c r="C1307" s="6" t="s">
        <v>7</v>
      </c>
      <c r="D1307" s="6" t="str">
        <f>"李莲"</f>
        <v>李莲</v>
      </c>
      <c r="E1307" s="6" t="str">
        <f>"1992-11-05"</f>
        <v>1992-11-05</v>
      </c>
      <c r="F1307" s="6"/>
    </row>
    <row r="1308" spans="1:6" ht="30" customHeight="1">
      <c r="A1308" s="6">
        <v>1306</v>
      </c>
      <c r="B1308" s="6" t="str">
        <f>"2728202011242035131931"</f>
        <v>2728202011242035131931</v>
      </c>
      <c r="C1308" s="6" t="s">
        <v>7</v>
      </c>
      <c r="D1308" s="6" t="str">
        <f>"余华"</f>
        <v>余华</v>
      </c>
      <c r="E1308" s="6" t="str">
        <f>"1994-09-26"</f>
        <v>1994-09-26</v>
      </c>
      <c r="F1308" s="6"/>
    </row>
    <row r="1309" spans="1:6" ht="30" customHeight="1">
      <c r="A1309" s="6">
        <v>1307</v>
      </c>
      <c r="B1309" s="6" t="str">
        <f>"2728202011242045111932"</f>
        <v>2728202011242045111932</v>
      </c>
      <c r="C1309" s="6" t="s">
        <v>7</v>
      </c>
      <c r="D1309" s="6" t="str">
        <f>"李霞"</f>
        <v>李霞</v>
      </c>
      <c r="E1309" s="6" t="str">
        <f>"1995-10-01"</f>
        <v>1995-10-01</v>
      </c>
      <c r="F1309" s="6"/>
    </row>
    <row r="1310" spans="1:6" ht="30" customHeight="1">
      <c r="A1310" s="6">
        <v>1308</v>
      </c>
      <c r="B1310" s="6" t="str">
        <f>"2728202011242046051933"</f>
        <v>2728202011242046051933</v>
      </c>
      <c r="C1310" s="6" t="s">
        <v>7</v>
      </c>
      <c r="D1310" s="6" t="str">
        <f>"李慧平"</f>
        <v>李慧平</v>
      </c>
      <c r="E1310" s="6" t="str">
        <f>"1996-06-01"</f>
        <v>1996-06-01</v>
      </c>
      <c r="F1310" s="6"/>
    </row>
    <row r="1311" spans="1:6" ht="30" customHeight="1">
      <c r="A1311" s="6">
        <v>1309</v>
      </c>
      <c r="B1311" s="6" t="str">
        <f>"2728202011242046071934"</f>
        <v>2728202011242046071934</v>
      </c>
      <c r="C1311" s="6" t="s">
        <v>7</v>
      </c>
      <c r="D1311" s="6" t="str">
        <f>"李然"</f>
        <v>李然</v>
      </c>
      <c r="E1311" s="6" t="str">
        <f>"1997-06-01"</f>
        <v>1997-06-01</v>
      </c>
      <c r="F1311" s="6"/>
    </row>
    <row r="1312" spans="1:6" ht="30" customHeight="1">
      <c r="A1312" s="6">
        <v>1310</v>
      </c>
      <c r="B1312" s="6" t="str">
        <f>"2728202011242054151936"</f>
        <v>2728202011242054151936</v>
      </c>
      <c r="C1312" s="6" t="s">
        <v>7</v>
      </c>
      <c r="D1312" s="6" t="str">
        <f>"王昶龄"</f>
        <v>王昶龄</v>
      </c>
      <c r="E1312" s="6" t="str">
        <f>"1994-01-25"</f>
        <v>1994-01-25</v>
      </c>
      <c r="F1312" s="6"/>
    </row>
    <row r="1313" spans="1:6" ht="30" customHeight="1">
      <c r="A1313" s="6">
        <v>1311</v>
      </c>
      <c r="B1313" s="6" t="str">
        <f>"2728202011242054401937"</f>
        <v>2728202011242054401937</v>
      </c>
      <c r="C1313" s="6" t="s">
        <v>7</v>
      </c>
      <c r="D1313" s="6" t="str">
        <f>"王琴"</f>
        <v>王琴</v>
      </c>
      <c r="E1313" s="6" t="str">
        <f>"1998-03-14"</f>
        <v>1998-03-14</v>
      </c>
      <c r="F1313" s="6"/>
    </row>
    <row r="1314" spans="1:6" ht="30" customHeight="1">
      <c r="A1314" s="6">
        <v>1312</v>
      </c>
      <c r="B1314" s="6" t="str">
        <f>"2728202011242108401940"</f>
        <v>2728202011242108401940</v>
      </c>
      <c r="C1314" s="6" t="s">
        <v>7</v>
      </c>
      <c r="D1314" s="6" t="str">
        <f>"刘增锴"</f>
        <v>刘增锴</v>
      </c>
      <c r="E1314" s="6" t="str">
        <f>"1993-07-10"</f>
        <v>1993-07-10</v>
      </c>
      <c r="F1314" s="6"/>
    </row>
    <row r="1315" spans="1:6" ht="30" customHeight="1">
      <c r="A1315" s="6">
        <v>1313</v>
      </c>
      <c r="B1315" s="6" t="str">
        <f>"2728202011242113121941"</f>
        <v>2728202011242113121941</v>
      </c>
      <c r="C1315" s="6" t="s">
        <v>7</v>
      </c>
      <c r="D1315" s="6" t="str">
        <f>"郑丕良"</f>
        <v>郑丕良</v>
      </c>
      <c r="E1315" s="6" t="str">
        <f>"1997-06-22"</f>
        <v>1997-06-22</v>
      </c>
      <c r="F1315" s="6"/>
    </row>
    <row r="1316" spans="1:6" ht="30" customHeight="1">
      <c r="A1316" s="6">
        <v>1314</v>
      </c>
      <c r="B1316" s="6" t="str">
        <f>"2728202011242116291943"</f>
        <v>2728202011242116291943</v>
      </c>
      <c r="C1316" s="6" t="s">
        <v>7</v>
      </c>
      <c r="D1316" s="6" t="str">
        <f>"王春利"</f>
        <v>王春利</v>
      </c>
      <c r="E1316" s="6" t="str">
        <f>"1992-05-20"</f>
        <v>1992-05-20</v>
      </c>
      <c r="F1316" s="6"/>
    </row>
    <row r="1317" spans="1:6" ht="30" customHeight="1">
      <c r="A1317" s="6">
        <v>1315</v>
      </c>
      <c r="B1317" s="6" t="str">
        <f>"2728202011242118331945"</f>
        <v>2728202011242118331945</v>
      </c>
      <c r="C1317" s="6" t="s">
        <v>7</v>
      </c>
      <c r="D1317" s="6" t="str">
        <f>"蕉慧杰"</f>
        <v>蕉慧杰</v>
      </c>
      <c r="E1317" s="6" t="str">
        <f>"1992-09-14"</f>
        <v>1992-09-14</v>
      </c>
      <c r="F1317" s="6"/>
    </row>
    <row r="1318" spans="1:6" ht="30" customHeight="1">
      <c r="A1318" s="6">
        <v>1316</v>
      </c>
      <c r="B1318" s="6" t="str">
        <f>"2728202011242129111949"</f>
        <v>2728202011242129111949</v>
      </c>
      <c r="C1318" s="6" t="s">
        <v>7</v>
      </c>
      <c r="D1318" s="6" t="str">
        <f>"夏涛"</f>
        <v>夏涛</v>
      </c>
      <c r="E1318" s="6" t="str">
        <f>"1991-07-03"</f>
        <v>1991-07-03</v>
      </c>
      <c r="F1318" s="6"/>
    </row>
    <row r="1319" spans="1:6" ht="30" customHeight="1">
      <c r="A1319" s="6">
        <v>1317</v>
      </c>
      <c r="B1319" s="6" t="str">
        <f>"2728202011242129141950"</f>
        <v>2728202011242129141950</v>
      </c>
      <c r="C1319" s="6" t="s">
        <v>7</v>
      </c>
      <c r="D1319" s="6" t="str">
        <f>"麦尾"</f>
        <v>麦尾</v>
      </c>
      <c r="E1319" s="6" t="str">
        <f>"1990-01-16"</f>
        <v>1990-01-16</v>
      </c>
      <c r="F1319" s="6"/>
    </row>
    <row r="1320" spans="1:6" ht="30" customHeight="1">
      <c r="A1320" s="6">
        <v>1318</v>
      </c>
      <c r="B1320" s="6" t="str">
        <f>"2728202011242129411951"</f>
        <v>2728202011242129411951</v>
      </c>
      <c r="C1320" s="6" t="s">
        <v>7</v>
      </c>
      <c r="D1320" s="6" t="str">
        <f>"金玉荣"</f>
        <v>金玉荣</v>
      </c>
      <c r="E1320" s="6" t="str">
        <f>"1995-11-15"</f>
        <v>1995-11-15</v>
      </c>
      <c r="F1320" s="6"/>
    </row>
    <row r="1321" spans="1:6" ht="30" customHeight="1">
      <c r="A1321" s="6">
        <v>1319</v>
      </c>
      <c r="B1321" s="6" t="str">
        <f>"2728202011242134231952"</f>
        <v>2728202011242134231952</v>
      </c>
      <c r="C1321" s="6" t="s">
        <v>7</v>
      </c>
      <c r="D1321" s="6" t="str">
        <f>"郑元寅"</f>
        <v>郑元寅</v>
      </c>
      <c r="E1321" s="6" t="str">
        <f>"1988-03-18"</f>
        <v>1988-03-18</v>
      </c>
      <c r="F1321" s="6"/>
    </row>
    <row r="1322" spans="1:6" ht="30" customHeight="1">
      <c r="A1322" s="6">
        <v>1320</v>
      </c>
      <c r="B1322" s="6" t="str">
        <f>"2728202011242150181953"</f>
        <v>2728202011242150181953</v>
      </c>
      <c r="C1322" s="6" t="s">
        <v>7</v>
      </c>
      <c r="D1322" s="6" t="str">
        <f>"李朝龙"</f>
        <v>李朝龙</v>
      </c>
      <c r="E1322" s="6" t="str">
        <f>"1989-10-02"</f>
        <v>1989-10-02</v>
      </c>
      <c r="F1322" s="6"/>
    </row>
    <row r="1323" spans="1:6" ht="30" customHeight="1">
      <c r="A1323" s="6">
        <v>1321</v>
      </c>
      <c r="B1323" s="6" t="str">
        <f>"2728202011242150411954"</f>
        <v>2728202011242150411954</v>
      </c>
      <c r="C1323" s="6" t="s">
        <v>7</v>
      </c>
      <c r="D1323" s="6" t="str">
        <f>"黎善彬"</f>
        <v>黎善彬</v>
      </c>
      <c r="E1323" s="6" t="str">
        <f>"1996-02-10"</f>
        <v>1996-02-10</v>
      </c>
      <c r="F1323" s="6"/>
    </row>
    <row r="1324" spans="1:6" ht="30" customHeight="1">
      <c r="A1324" s="6">
        <v>1322</v>
      </c>
      <c r="B1324" s="6" t="str">
        <f>"2728202011242152101955"</f>
        <v>2728202011242152101955</v>
      </c>
      <c r="C1324" s="6" t="s">
        <v>7</v>
      </c>
      <c r="D1324" s="6" t="str">
        <f>"冯倩倩"</f>
        <v>冯倩倩</v>
      </c>
      <c r="E1324" s="6" t="str">
        <f>"1998-11-17"</f>
        <v>1998-11-17</v>
      </c>
      <c r="F1324" s="6"/>
    </row>
    <row r="1325" spans="1:6" ht="30" customHeight="1">
      <c r="A1325" s="6">
        <v>1323</v>
      </c>
      <c r="B1325" s="6" t="str">
        <f>"2728202011242202091956"</f>
        <v>2728202011242202091956</v>
      </c>
      <c r="C1325" s="6" t="s">
        <v>7</v>
      </c>
      <c r="D1325" s="6" t="str">
        <f>"高靖嘉"</f>
        <v>高靖嘉</v>
      </c>
      <c r="E1325" s="6" t="str">
        <f>"1998-02-09"</f>
        <v>1998-02-09</v>
      </c>
      <c r="F1325" s="6"/>
    </row>
    <row r="1326" spans="1:6" ht="30" customHeight="1">
      <c r="A1326" s="6">
        <v>1324</v>
      </c>
      <c r="B1326" s="6" t="str">
        <f>"2728202011242203311957"</f>
        <v>2728202011242203311957</v>
      </c>
      <c r="C1326" s="6" t="s">
        <v>7</v>
      </c>
      <c r="D1326" s="6" t="str">
        <f>"曾海霞"</f>
        <v>曾海霞</v>
      </c>
      <c r="E1326" s="6" t="str">
        <f>"1993-10-20"</f>
        <v>1993-10-20</v>
      </c>
      <c r="F1326" s="6"/>
    </row>
    <row r="1327" spans="1:6" ht="30" customHeight="1">
      <c r="A1327" s="6">
        <v>1325</v>
      </c>
      <c r="B1327" s="6" t="str">
        <f>"2728202011242210291959"</f>
        <v>2728202011242210291959</v>
      </c>
      <c r="C1327" s="6" t="s">
        <v>7</v>
      </c>
      <c r="D1327" s="6" t="str">
        <f>"李燕"</f>
        <v>李燕</v>
      </c>
      <c r="E1327" s="6" t="str">
        <f>"1998-09-10"</f>
        <v>1998-09-10</v>
      </c>
      <c r="F1327" s="6"/>
    </row>
    <row r="1328" spans="1:6" ht="30" customHeight="1">
      <c r="A1328" s="6">
        <v>1326</v>
      </c>
      <c r="B1328" s="6" t="str">
        <f>"2728202011242220011962"</f>
        <v>2728202011242220011962</v>
      </c>
      <c r="C1328" s="6" t="s">
        <v>7</v>
      </c>
      <c r="D1328" s="6" t="str">
        <f>"郭孟日"</f>
        <v>郭孟日</v>
      </c>
      <c r="E1328" s="6" t="str">
        <f>"1997-02-09"</f>
        <v>1997-02-09</v>
      </c>
      <c r="F1328" s="6"/>
    </row>
    <row r="1329" spans="1:6" ht="30" customHeight="1">
      <c r="A1329" s="6">
        <v>1327</v>
      </c>
      <c r="B1329" s="6" t="str">
        <f>"2728202011242220561963"</f>
        <v>2728202011242220561963</v>
      </c>
      <c r="C1329" s="6" t="s">
        <v>7</v>
      </c>
      <c r="D1329" s="6" t="str">
        <f>"陈幸子"</f>
        <v>陈幸子</v>
      </c>
      <c r="E1329" s="6" t="str">
        <f>"1995-03-20"</f>
        <v>1995-03-20</v>
      </c>
      <c r="F1329" s="6"/>
    </row>
    <row r="1330" spans="1:6" ht="30" customHeight="1">
      <c r="A1330" s="6">
        <v>1328</v>
      </c>
      <c r="B1330" s="6" t="str">
        <f>"2728202011242223461964"</f>
        <v>2728202011242223461964</v>
      </c>
      <c r="C1330" s="6" t="s">
        <v>7</v>
      </c>
      <c r="D1330" s="6" t="str">
        <f>"杜媚"</f>
        <v>杜媚</v>
      </c>
      <c r="E1330" s="6" t="str">
        <f>"1992-11-04"</f>
        <v>1992-11-04</v>
      </c>
      <c r="F1330" s="6"/>
    </row>
    <row r="1331" spans="1:6" ht="30" customHeight="1">
      <c r="A1331" s="6">
        <v>1329</v>
      </c>
      <c r="B1331" s="6" t="str">
        <f>"2728202011242229421965"</f>
        <v>2728202011242229421965</v>
      </c>
      <c r="C1331" s="6" t="s">
        <v>7</v>
      </c>
      <c r="D1331" s="6" t="str">
        <f>"羊维丰"</f>
        <v>羊维丰</v>
      </c>
      <c r="E1331" s="6" t="str">
        <f>"1996-02-20"</f>
        <v>1996-02-20</v>
      </c>
      <c r="F1331" s="6"/>
    </row>
    <row r="1332" spans="1:6" ht="30" customHeight="1">
      <c r="A1332" s="6">
        <v>1330</v>
      </c>
      <c r="B1332" s="6" t="str">
        <f>"2728202011242232461968"</f>
        <v>2728202011242232461968</v>
      </c>
      <c r="C1332" s="6" t="s">
        <v>7</v>
      </c>
      <c r="D1332" s="6" t="str">
        <f>"杨启萍"</f>
        <v>杨启萍</v>
      </c>
      <c r="E1332" s="6" t="str">
        <f>"1994-10-29"</f>
        <v>1994-10-29</v>
      </c>
      <c r="F1332" s="6"/>
    </row>
    <row r="1333" spans="1:6" ht="30" customHeight="1">
      <c r="A1333" s="6">
        <v>1331</v>
      </c>
      <c r="B1333" s="6" t="str">
        <f>"2728202011242234121970"</f>
        <v>2728202011242234121970</v>
      </c>
      <c r="C1333" s="6" t="s">
        <v>7</v>
      </c>
      <c r="D1333" s="6" t="str">
        <f>"徐邦菊"</f>
        <v>徐邦菊</v>
      </c>
      <c r="E1333" s="6" t="str">
        <f>"1990-03-15"</f>
        <v>1990-03-15</v>
      </c>
      <c r="F1333" s="6"/>
    </row>
    <row r="1334" spans="1:6" ht="30" customHeight="1">
      <c r="A1334" s="6">
        <v>1332</v>
      </c>
      <c r="B1334" s="6" t="str">
        <f>"2728202011242245301972"</f>
        <v>2728202011242245301972</v>
      </c>
      <c r="C1334" s="6" t="s">
        <v>7</v>
      </c>
      <c r="D1334" s="6" t="str">
        <f>"羊南"</f>
        <v>羊南</v>
      </c>
      <c r="E1334" s="6" t="str">
        <f>"1991-12-15"</f>
        <v>1991-12-15</v>
      </c>
      <c r="F1334" s="6"/>
    </row>
    <row r="1335" spans="1:6" ht="30" customHeight="1">
      <c r="A1335" s="6">
        <v>1333</v>
      </c>
      <c r="B1335" s="6" t="str">
        <f>"2728202011242250021973"</f>
        <v>2728202011242250021973</v>
      </c>
      <c r="C1335" s="6" t="s">
        <v>7</v>
      </c>
      <c r="D1335" s="6" t="str">
        <f>"王开杰"</f>
        <v>王开杰</v>
      </c>
      <c r="E1335" s="6" t="str">
        <f>"1991-08-10"</f>
        <v>1991-08-10</v>
      </c>
      <c r="F1335" s="6"/>
    </row>
    <row r="1336" spans="1:6" ht="30" customHeight="1">
      <c r="A1336" s="6">
        <v>1334</v>
      </c>
      <c r="B1336" s="6" t="str">
        <f>"2728202011242255101975"</f>
        <v>2728202011242255101975</v>
      </c>
      <c r="C1336" s="6" t="s">
        <v>7</v>
      </c>
      <c r="D1336" s="6" t="str">
        <f>"何世霞"</f>
        <v>何世霞</v>
      </c>
      <c r="E1336" s="6" t="str">
        <f>"1989-12-10"</f>
        <v>1989-12-10</v>
      </c>
      <c r="F1336" s="6"/>
    </row>
    <row r="1337" spans="1:6" ht="30" customHeight="1">
      <c r="A1337" s="6">
        <v>1335</v>
      </c>
      <c r="B1337" s="6" t="str">
        <f>"2728202011242259131976"</f>
        <v>2728202011242259131976</v>
      </c>
      <c r="C1337" s="6" t="s">
        <v>7</v>
      </c>
      <c r="D1337" s="6" t="str">
        <f>"殷承辉"</f>
        <v>殷承辉</v>
      </c>
      <c r="E1337" s="6" t="str">
        <f>"1987-02-21"</f>
        <v>1987-02-21</v>
      </c>
      <c r="F1337" s="6"/>
    </row>
    <row r="1338" spans="1:6" ht="30" customHeight="1">
      <c r="A1338" s="6">
        <v>1336</v>
      </c>
      <c r="B1338" s="6" t="str">
        <f>"2728202011242306151977"</f>
        <v>2728202011242306151977</v>
      </c>
      <c r="C1338" s="6" t="s">
        <v>7</v>
      </c>
      <c r="D1338" s="6" t="str">
        <f>"黄娇娇"</f>
        <v>黄娇娇</v>
      </c>
      <c r="E1338" s="6" t="str">
        <f>"1998-01-03"</f>
        <v>1998-01-03</v>
      </c>
      <c r="F1338" s="6"/>
    </row>
    <row r="1339" spans="1:6" ht="30" customHeight="1">
      <c r="A1339" s="6">
        <v>1337</v>
      </c>
      <c r="B1339" s="6" t="str">
        <f>"2728202011242311481979"</f>
        <v>2728202011242311481979</v>
      </c>
      <c r="C1339" s="6" t="s">
        <v>7</v>
      </c>
      <c r="D1339" s="6" t="str">
        <f>"董慧琳"</f>
        <v>董慧琳</v>
      </c>
      <c r="E1339" s="6" t="str">
        <f>"1993-05-11"</f>
        <v>1993-05-11</v>
      </c>
      <c r="F1339" s="6"/>
    </row>
    <row r="1340" spans="1:6" ht="30" customHeight="1">
      <c r="A1340" s="6">
        <v>1338</v>
      </c>
      <c r="B1340" s="6" t="str">
        <f>"2728202011242325311983"</f>
        <v>2728202011242325311983</v>
      </c>
      <c r="C1340" s="6" t="s">
        <v>7</v>
      </c>
      <c r="D1340" s="6" t="str">
        <f>"林洗鹏"</f>
        <v>林洗鹏</v>
      </c>
      <c r="E1340" s="6" t="str">
        <f>"1993-06-14"</f>
        <v>1993-06-14</v>
      </c>
      <c r="F1340" s="6"/>
    </row>
    <row r="1341" spans="1:6" ht="30" customHeight="1">
      <c r="A1341" s="6">
        <v>1339</v>
      </c>
      <c r="B1341" s="6" t="str">
        <f>"2728202011250003061987"</f>
        <v>2728202011250003061987</v>
      </c>
      <c r="C1341" s="6" t="s">
        <v>7</v>
      </c>
      <c r="D1341" s="6" t="str">
        <f>"符华明"</f>
        <v>符华明</v>
      </c>
      <c r="E1341" s="6" t="str">
        <f>"1987-01-28"</f>
        <v>1987-01-28</v>
      </c>
      <c r="F1341" s="6"/>
    </row>
    <row r="1342" spans="1:6" ht="30" customHeight="1">
      <c r="A1342" s="6">
        <v>1340</v>
      </c>
      <c r="B1342" s="6" t="str">
        <f>"2728202011250007301988"</f>
        <v>2728202011250007301988</v>
      </c>
      <c r="C1342" s="6" t="s">
        <v>7</v>
      </c>
      <c r="D1342" s="6" t="str">
        <f>"林明俊"</f>
        <v>林明俊</v>
      </c>
      <c r="E1342" s="6" t="str">
        <f>"1997-09-01"</f>
        <v>1997-09-01</v>
      </c>
      <c r="F1342" s="6"/>
    </row>
    <row r="1343" spans="1:6" ht="30" customHeight="1">
      <c r="A1343" s="6">
        <v>1341</v>
      </c>
      <c r="B1343" s="6" t="str">
        <f>"2728202011250010011989"</f>
        <v>2728202011250010011989</v>
      </c>
      <c r="C1343" s="6" t="s">
        <v>7</v>
      </c>
      <c r="D1343" s="6" t="str">
        <f>"冯丝织"</f>
        <v>冯丝织</v>
      </c>
      <c r="E1343" s="6" t="str">
        <f>"1999-04-27"</f>
        <v>1999-04-27</v>
      </c>
      <c r="F1343" s="6"/>
    </row>
    <row r="1344" spans="1:6" ht="30" customHeight="1">
      <c r="A1344" s="6">
        <v>1342</v>
      </c>
      <c r="B1344" s="6" t="str">
        <f>"2728202011250032181992"</f>
        <v>2728202011250032181992</v>
      </c>
      <c r="C1344" s="6" t="s">
        <v>7</v>
      </c>
      <c r="D1344" s="6" t="str">
        <f>"龚耘震"</f>
        <v>龚耘震</v>
      </c>
      <c r="E1344" s="6" t="str">
        <f>"1993-05-02"</f>
        <v>1993-05-02</v>
      </c>
      <c r="F1344" s="6"/>
    </row>
    <row r="1345" spans="1:6" ht="30" customHeight="1">
      <c r="A1345" s="6">
        <v>1343</v>
      </c>
      <c r="B1345" s="6" t="str">
        <f>"2728202011250052001993"</f>
        <v>2728202011250052001993</v>
      </c>
      <c r="C1345" s="6" t="s">
        <v>7</v>
      </c>
      <c r="D1345" s="6" t="str">
        <f>"王艳艳"</f>
        <v>王艳艳</v>
      </c>
      <c r="E1345" s="6" t="str">
        <f>"1995-12-25"</f>
        <v>1995-12-25</v>
      </c>
      <c r="F1345" s="6"/>
    </row>
    <row r="1346" spans="1:6" ht="30" customHeight="1">
      <c r="A1346" s="6">
        <v>1344</v>
      </c>
      <c r="B1346" s="6" t="str">
        <f>"2728202011250137201995"</f>
        <v>2728202011250137201995</v>
      </c>
      <c r="C1346" s="6" t="s">
        <v>7</v>
      </c>
      <c r="D1346" s="6" t="str">
        <f>"陈会香"</f>
        <v>陈会香</v>
      </c>
      <c r="E1346" s="6" t="str">
        <f>"1995-08-11"</f>
        <v>1995-08-11</v>
      </c>
      <c r="F1346" s="6"/>
    </row>
    <row r="1347" spans="1:6" ht="30" customHeight="1">
      <c r="A1347" s="6">
        <v>1345</v>
      </c>
      <c r="B1347" s="6" t="str">
        <f>"2728202011250454101997"</f>
        <v>2728202011250454101997</v>
      </c>
      <c r="C1347" s="6" t="s">
        <v>7</v>
      </c>
      <c r="D1347" s="6" t="str">
        <f>"吴崇亭"</f>
        <v>吴崇亭</v>
      </c>
      <c r="E1347" s="6" t="str">
        <f>"1992-08-07"</f>
        <v>1992-08-07</v>
      </c>
      <c r="F1347" s="6"/>
    </row>
    <row r="1348" spans="1:6" ht="30" customHeight="1">
      <c r="A1348" s="6">
        <v>1346</v>
      </c>
      <c r="B1348" s="6" t="str">
        <f>"2728202011250733521998"</f>
        <v>2728202011250733521998</v>
      </c>
      <c r="C1348" s="6" t="s">
        <v>7</v>
      </c>
      <c r="D1348" s="6" t="str">
        <f>"罗祥始"</f>
        <v>罗祥始</v>
      </c>
      <c r="E1348" s="6" t="str">
        <f>"1995-04-03"</f>
        <v>1995-04-03</v>
      </c>
      <c r="F1348" s="6"/>
    </row>
    <row r="1349" spans="1:6" ht="30" customHeight="1">
      <c r="A1349" s="6">
        <v>1347</v>
      </c>
      <c r="B1349" s="6" t="str">
        <f>"2728202011250822461999"</f>
        <v>2728202011250822461999</v>
      </c>
      <c r="C1349" s="6" t="s">
        <v>7</v>
      </c>
      <c r="D1349" s="6" t="str">
        <f>"邓陈杏"</f>
        <v>邓陈杏</v>
      </c>
      <c r="E1349" s="6" t="str">
        <f>"1997-09-28"</f>
        <v>1997-09-28</v>
      </c>
      <c r="F1349" s="6"/>
    </row>
    <row r="1350" spans="1:6" ht="30" customHeight="1">
      <c r="A1350" s="6">
        <v>1348</v>
      </c>
      <c r="B1350" s="6" t="str">
        <f>"2728202011250826332000"</f>
        <v>2728202011250826332000</v>
      </c>
      <c r="C1350" s="6" t="s">
        <v>7</v>
      </c>
      <c r="D1350" s="6" t="str">
        <f>"陆小凤"</f>
        <v>陆小凤</v>
      </c>
      <c r="E1350" s="6" t="str">
        <f>"1988-10-01"</f>
        <v>1988-10-01</v>
      </c>
      <c r="F1350" s="6"/>
    </row>
    <row r="1351" spans="1:6" ht="30" customHeight="1">
      <c r="A1351" s="6">
        <v>1349</v>
      </c>
      <c r="B1351" s="6" t="str">
        <f>"2728202011250832562001"</f>
        <v>2728202011250832562001</v>
      </c>
      <c r="C1351" s="6" t="s">
        <v>7</v>
      </c>
      <c r="D1351" s="6" t="str">
        <f>"黎亚梅"</f>
        <v>黎亚梅</v>
      </c>
      <c r="E1351" s="6" t="str">
        <f>"1993-05-11"</f>
        <v>1993-05-11</v>
      </c>
      <c r="F1351" s="6"/>
    </row>
    <row r="1352" spans="1:6" ht="30" customHeight="1">
      <c r="A1352" s="6">
        <v>1350</v>
      </c>
      <c r="B1352" s="6" t="str">
        <f>"2728202011250835432002"</f>
        <v>2728202011250835432002</v>
      </c>
      <c r="C1352" s="6" t="s">
        <v>7</v>
      </c>
      <c r="D1352" s="6" t="str">
        <f>"陈初妮"</f>
        <v>陈初妮</v>
      </c>
      <c r="E1352" s="6" t="str">
        <f>"1996-05-06"</f>
        <v>1996-05-06</v>
      </c>
      <c r="F1352" s="6"/>
    </row>
    <row r="1353" spans="1:6" ht="30" customHeight="1">
      <c r="A1353" s="6">
        <v>1351</v>
      </c>
      <c r="B1353" s="6" t="str">
        <f>"2728202011250836492003"</f>
        <v>2728202011250836492003</v>
      </c>
      <c r="C1353" s="6" t="s">
        <v>7</v>
      </c>
      <c r="D1353" s="6" t="str">
        <f>"林宝石"</f>
        <v>林宝石</v>
      </c>
      <c r="E1353" s="6" t="str">
        <f>"1996-11-28"</f>
        <v>1996-11-28</v>
      </c>
      <c r="F1353" s="6"/>
    </row>
    <row r="1354" spans="1:6" ht="30" customHeight="1">
      <c r="A1354" s="6">
        <v>1352</v>
      </c>
      <c r="B1354" s="6" t="str">
        <f>"2728202011250843092005"</f>
        <v>2728202011250843092005</v>
      </c>
      <c r="C1354" s="6" t="s">
        <v>7</v>
      </c>
      <c r="D1354" s="6" t="str">
        <f>"陈婷"</f>
        <v>陈婷</v>
      </c>
      <c r="E1354" s="6" t="str">
        <f>"1996-06-09"</f>
        <v>1996-06-09</v>
      </c>
      <c r="F1354" s="6"/>
    </row>
    <row r="1355" spans="1:6" ht="30" customHeight="1">
      <c r="A1355" s="6">
        <v>1353</v>
      </c>
      <c r="B1355" s="6" t="str">
        <f>"2728202011250848052008"</f>
        <v>2728202011250848052008</v>
      </c>
      <c r="C1355" s="6" t="s">
        <v>7</v>
      </c>
      <c r="D1355" s="6" t="str">
        <f>"张慧莲"</f>
        <v>张慧莲</v>
      </c>
      <c r="E1355" s="6" t="str">
        <f>"1990-04-09"</f>
        <v>1990-04-09</v>
      </c>
      <c r="F1355" s="6"/>
    </row>
    <row r="1356" spans="1:6" ht="30" customHeight="1">
      <c r="A1356" s="6">
        <v>1354</v>
      </c>
      <c r="B1356" s="6" t="str">
        <f>"2728202011250849372009"</f>
        <v>2728202011250849372009</v>
      </c>
      <c r="C1356" s="6" t="s">
        <v>7</v>
      </c>
      <c r="D1356" s="6" t="str">
        <f>"邓小映"</f>
        <v>邓小映</v>
      </c>
      <c r="E1356" s="6" t="str">
        <f>"1997-09-04"</f>
        <v>1997-09-04</v>
      </c>
      <c r="F1356" s="6"/>
    </row>
    <row r="1357" spans="1:6" ht="30" customHeight="1">
      <c r="A1357" s="6">
        <v>1355</v>
      </c>
      <c r="B1357" s="6" t="str">
        <f>"2728202011250857502012"</f>
        <v>2728202011250857502012</v>
      </c>
      <c r="C1357" s="6" t="s">
        <v>7</v>
      </c>
      <c r="D1357" s="6" t="str">
        <f>"张才康"</f>
        <v>张才康</v>
      </c>
      <c r="E1357" s="6" t="str">
        <f>"1996-09-23"</f>
        <v>1996-09-23</v>
      </c>
      <c r="F1357" s="6"/>
    </row>
    <row r="1358" spans="1:6" ht="30" customHeight="1">
      <c r="A1358" s="6">
        <v>1356</v>
      </c>
      <c r="B1358" s="6" t="str">
        <f>"2728202011250858512013"</f>
        <v>2728202011250858512013</v>
      </c>
      <c r="C1358" s="6" t="s">
        <v>7</v>
      </c>
      <c r="D1358" s="6" t="str">
        <f>"裴日川"</f>
        <v>裴日川</v>
      </c>
      <c r="E1358" s="6" t="str">
        <f>"1994-10-22"</f>
        <v>1994-10-22</v>
      </c>
      <c r="F1358" s="6"/>
    </row>
    <row r="1359" spans="1:6" ht="30" customHeight="1">
      <c r="A1359" s="6">
        <v>1357</v>
      </c>
      <c r="B1359" s="6" t="str">
        <f>"2728202011250904572014"</f>
        <v>2728202011250904572014</v>
      </c>
      <c r="C1359" s="6" t="s">
        <v>7</v>
      </c>
      <c r="D1359" s="6" t="str">
        <f>"杨媚"</f>
        <v>杨媚</v>
      </c>
      <c r="E1359" s="6" t="str">
        <f>"1991-12-17"</f>
        <v>1991-12-17</v>
      </c>
      <c r="F1359" s="6"/>
    </row>
    <row r="1360" spans="1:6" ht="30" customHeight="1">
      <c r="A1360" s="6">
        <v>1358</v>
      </c>
      <c r="B1360" s="6" t="str">
        <f>"2728202011250907292015"</f>
        <v>2728202011250907292015</v>
      </c>
      <c r="C1360" s="6" t="s">
        <v>7</v>
      </c>
      <c r="D1360" s="6" t="str">
        <f>"陈昌贵"</f>
        <v>陈昌贵</v>
      </c>
      <c r="E1360" s="6" t="str">
        <f>"1994-04-04"</f>
        <v>1994-04-04</v>
      </c>
      <c r="F1360" s="6"/>
    </row>
    <row r="1361" spans="1:6" ht="30" customHeight="1">
      <c r="A1361" s="6">
        <v>1359</v>
      </c>
      <c r="B1361" s="6" t="str">
        <f>"2728202011250911122017"</f>
        <v>2728202011250911122017</v>
      </c>
      <c r="C1361" s="6" t="s">
        <v>7</v>
      </c>
      <c r="D1361" s="6" t="str">
        <f>"陈柳蓉"</f>
        <v>陈柳蓉</v>
      </c>
      <c r="E1361" s="6" t="str">
        <f>"1998-01-21"</f>
        <v>1998-01-21</v>
      </c>
      <c r="F1361" s="6"/>
    </row>
    <row r="1362" spans="1:6" ht="30" customHeight="1">
      <c r="A1362" s="6">
        <v>1360</v>
      </c>
      <c r="B1362" s="6" t="str">
        <f>"2728202011250914222020"</f>
        <v>2728202011250914222020</v>
      </c>
      <c r="C1362" s="6" t="s">
        <v>7</v>
      </c>
      <c r="D1362" s="6" t="str">
        <f>"王咏琪"</f>
        <v>王咏琪</v>
      </c>
      <c r="E1362" s="6" t="str">
        <f>"1998-09-10"</f>
        <v>1998-09-10</v>
      </c>
      <c r="F1362" s="6"/>
    </row>
    <row r="1363" spans="1:6" ht="30" customHeight="1">
      <c r="A1363" s="6">
        <v>1361</v>
      </c>
      <c r="B1363" s="6" t="str">
        <f>"2728202011250916292021"</f>
        <v>2728202011250916292021</v>
      </c>
      <c r="C1363" s="6" t="s">
        <v>7</v>
      </c>
      <c r="D1363" s="6" t="str">
        <f>"陈育丹"</f>
        <v>陈育丹</v>
      </c>
      <c r="E1363" s="6" t="str">
        <f>"1997-04-12"</f>
        <v>1997-04-12</v>
      </c>
      <c r="F1363" s="6"/>
    </row>
    <row r="1364" spans="1:6" ht="30" customHeight="1">
      <c r="A1364" s="6">
        <v>1362</v>
      </c>
      <c r="B1364" s="6" t="str">
        <f>"2728202011250925422022"</f>
        <v>2728202011250925422022</v>
      </c>
      <c r="C1364" s="6" t="s">
        <v>7</v>
      </c>
      <c r="D1364" s="6" t="str">
        <f>"张春媚"</f>
        <v>张春媚</v>
      </c>
      <c r="E1364" s="6" t="str">
        <f>"1990-04-25"</f>
        <v>1990-04-25</v>
      </c>
      <c r="F1364" s="6"/>
    </row>
    <row r="1365" spans="1:6" ht="30" customHeight="1">
      <c r="A1365" s="6">
        <v>1363</v>
      </c>
      <c r="B1365" s="6" t="str">
        <f>"2728202011250930572024"</f>
        <v>2728202011250930572024</v>
      </c>
      <c r="C1365" s="6" t="s">
        <v>7</v>
      </c>
      <c r="D1365" s="6" t="str">
        <f>"李琨"</f>
        <v>李琨</v>
      </c>
      <c r="E1365" s="6" t="str">
        <f>"1988-05-15"</f>
        <v>1988-05-15</v>
      </c>
      <c r="F1365" s="6"/>
    </row>
    <row r="1366" spans="1:6" ht="30" customHeight="1">
      <c r="A1366" s="6">
        <v>1364</v>
      </c>
      <c r="B1366" s="6" t="str">
        <f>"2728202011250931052025"</f>
        <v>2728202011250931052025</v>
      </c>
      <c r="C1366" s="6" t="s">
        <v>7</v>
      </c>
      <c r="D1366" s="6" t="str">
        <f>"王锋"</f>
        <v>王锋</v>
      </c>
      <c r="E1366" s="6" t="str">
        <f>"1986-10-30"</f>
        <v>1986-10-30</v>
      </c>
      <c r="F1366" s="6"/>
    </row>
    <row r="1367" spans="1:6" ht="30" customHeight="1">
      <c r="A1367" s="6">
        <v>1365</v>
      </c>
      <c r="B1367" s="6" t="str">
        <f>"2728202011250951522027"</f>
        <v>2728202011250951522027</v>
      </c>
      <c r="C1367" s="6" t="s">
        <v>7</v>
      </c>
      <c r="D1367" s="6" t="str">
        <f>"黎先斌"</f>
        <v>黎先斌</v>
      </c>
      <c r="E1367" s="6" t="str">
        <f>"1989-07-18"</f>
        <v>1989-07-18</v>
      </c>
      <c r="F1367" s="6"/>
    </row>
    <row r="1368" spans="1:6" ht="30" customHeight="1">
      <c r="A1368" s="6">
        <v>1366</v>
      </c>
      <c r="B1368" s="6" t="str">
        <f>"2728202011250954412028"</f>
        <v>2728202011250954412028</v>
      </c>
      <c r="C1368" s="6" t="s">
        <v>7</v>
      </c>
      <c r="D1368" s="6" t="str">
        <f>"孙夏冰"</f>
        <v>孙夏冰</v>
      </c>
      <c r="E1368" s="6" t="str">
        <f>"1996-05-06"</f>
        <v>1996-05-06</v>
      </c>
      <c r="F1368" s="6"/>
    </row>
    <row r="1369" spans="1:6" ht="30" customHeight="1">
      <c r="A1369" s="6">
        <v>1367</v>
      </c>
      <c r="B1369" s="6" t="str">
        <f>"2728202011251001472031"</f>
        <v>2728202011251001472031</v>
      </c>
      <c r="C1369" s="6" t="s">
        <v>7</v>
      </c>
      <c r="D1369" s="6" t="str">
        <f>"林琦虹"</f>
        <v>林琦虹</v>
      </c>
      <c r="E1369" s="6" t="str">
        <f>"1993-11-17"</f>
        <v>1993-11-17</v>
      </c>
      <c r="F1369" s="6"/>
    </row>
    <row r="1370" spans="1:6" ht="30" customHeight="1">
      <c r="A1370" s="6">
        <v>1368</v>
      </c>
      <c r="B1370" s="6" t="str">
        <f>"2728202011251012192033"</f>
        <v>2728202011251012192033</v>
      </c>
      <c r="C1370" s="6" t="s">
        <v>7</v>
      </c>
      <c r="D1370" s="6" t="str">
        <f>"蔡世权"</f>
        <v>蔡世权</v>
      </c>
      <c r="E1370" s="6" t="str">
        <f>"1990-02-26"</f>
        <v>1990-02-26</v>
      </c>
      <c r="F1370" s="6"/>
    </row>
    <row r="1371" spans="1:6" ht="30" customHeight="1">
      <c r="A1371" s="6">
        <v>1369</v>
      </c>
      <c r="B1371" s="6" t="str">
        <f>"2728202011251014272035"</f>
        <v>2728202011251014272035</v>
      </c>
      <c r="C1371" s="6" t="s">
        <v>7</v>
      </c>
      <c r="D1371" s="6" t="str">
        <f>"陈槟飞"</f>
        <v>陈槟飞</v>
      </c>
      <c r="E1371" s="6" t="str">
        <f>"1993-04-07"</f>
        <v>1993-04-07</v>
      </c>
      <c r="F1371" s="6"/>
    </row>
    <row r="1372" spans="1:6" ht="30" customHeight="1">
      <c r="A1372" s="6">
        <v>1370</v>
      </c>
      <c r="B1372" s="6" t="str">
        <f>"2728202011251019262037"</f>
        <v>2728202011251019262037</v>
      </c>
      <c r="C1372" s="6" t="s">
        <v>7</v>
      </c>
      <c r="D1372" s="6" t="str">
        <f>"孙衍磊"</f>
        <v>孙衍磊</v>
      </c>
      <c r="E1372" s="6" t="str">
        <f>"1990-10-20"</f>
        <v>1990-10-20</v>
      </c>
      <c r="F1372" s="6"/>
    </row>
    <row r="1373" spans="1:6" ht="30" customHeight="1">
      <c r="A1373" s="6">
        <v>1371</v>
      </c>
      <c r="B1373" s="6" t="str">
        <f>"2728202011251019542038"</f>
        <v>2728202011251019542038</v>
      </c>
      <c r="C1373" s="6" t="s">
        <v>7</v>
      </c>
      <c r="D1373" s="6" t="str">
        <f>"罗凯青"</f>
        <v>罗凯青</v>
      </c>
      <c r="E1373" s="6" t="str">
        <f>"1990-11-10"</f>
        <v>1990-11-10</v>
      </c>
      <c r="F1373" s="6"/>
    </row>
    <row r="1374" spans="1:6" ht="30" customHeight="1">
      <c r="A1374" s="6">
        <v>1372</v>
      </c>
      <c r="B1374" s="6" t="str">
        <f>"2728202011251024492039"</f>
        <v>2728202011251024492039</v>
      </c>
      <c r="C1374" s="6" t="s">
        <v>7</v>
      </c>
      <c r="D1374" s="6" t="str">
        <f>"刘小盈"</f>
        <v>刘小盈</v>
      </c>
      <c r="E1374" s="6" t="str">
        <f>"1995-10-27"</f>
        <v>1995-10-27</v>
      </c>
      <c r="F1374" s="6"/>
    </row>
    <row r="1375" spans="1:6" ht="30" customHeight="1">
      <c r="A1375" s="6">
        <v>1373</v>
      </c>
      <c r="B1375" s="6" t="str">
        <f>"2728202011251032052041"</f>
        <v>2728202011251032052041</v>
      </c>
      <c r="C1375" s="6" t="s">
        <v>7</v>
      </c>
      <c r="D1375" s="6" t="str">
        <f>"陈慧"</f>
        <v>陈慧</v>
      </c>
      <c r="E1375" s="6" t="str">
        <f>"1998-06-28"</f>
        <v>1998-06-28</v>
      </c>
      <c r="F1375" s="6"/>
    </row>
    <row r="1376" spans="1:6" ht="30" customHeight="1">
      <c r="A1376" s="6">
        <v>1374</v>
      </c>
      <c r="B1376" s="6" t="str">
        <f>"2728202011251033492042"</f>
        <v>2728202011251033492042</v>
      </c>
      <c r="C1376" s="6" t="s">
        <v>7</v>
      </c>
      <c r="D1376" s="6" t="str">
        <f>"邓弯弯"</f>
        <v>邓弯弯</v>
      </c>
      <c r="E1376" s="6" t="str">
        <f>"1997-11-11"</f>
        <v>1997-11-11</v>
      </c>
      <c r="F1376" s="6"/>
    </row>
    <row r="1377" spans="1:6" ht="30" customHeight="1">
      <c r="A1377" s="6">
        <v>1375</v>
      </c>
      <c r="B1377" s="6" t="str">
        <f>"2728202011251039132044"</f>
        <v>2728202011251039132044</v>
      </c>
      <c r="C1377" s="6" t="s">
        <v>7</v>
      </c>
      <c r="D1377" s="6" t="str">
        <f>"高玲玲"</f>
        <v>高玲玲</v>
      </c>
      <c r="E1377" s="6" t="str">
        <f>"1993-02-09"</f>
        <v>1993-02-09</v>
      </c>
      <c r="F1377" s="6"/>
    </row>
    <row r="1378" spans="1:6" ht="30" customHeight="1">
      <c r="A1378" s="6">
        <v>1376</v>
      </c>
      <c r="B1378" s="6" t="str">
        <f>"2728202011251039512045"</f>
        <v>2728202011251039512045</v>
      </c>
      <c r="C1378" s="6" t="s">
        <v>7</v>
      </c>
      <c r="D1378" s="6" t="str">
        <f>"林玉育"</f>
        <v>林玉育</v>
      </c>
      <c r="E1378" s="6" t="str">
        <f>"1995-06-22"</f>
        <v>1995-06-22</v>
      </c>
      <c r="F1378" s="6"/>
    </row>
    <row r="1379" spans="1:6" ht="30" customHeight="1">
      <c r="A1379" s="6">
        <v>1377</v>
      </c>
      <c r="B1379" s="6" t="str">
        <f>"2728202011251042432047"</f>
        <v>2728202011251042432047</v>
      </c>
      <c r="C1379" s="6" t="s">
        <v>7</v>
      </c>
      <c r="D1379" s="6" t="str">
        <f>"刘丹丹"</f>
        <v>刘丹丹</v>
      </c>
      <c r="E1379" s="6" t="str">
        <f>"1986-02-01"</f>
        <v>1986-02-01</v>
      </c>
      <c r="F1379" s="6"/>
    </row>
    <row r="1380" spans="1:6" ht="30" customHeight="1">
      <c r="A1380" s="6">
        <v>1378</v>
      </c>
      <c r="B1380" s="6" t="str">
        <f>"2728202011251047502049"</f>
        <v>2728202011251047502049</v>
      </c>
      <c r="C1380" s="6" t="s">
        <v>7</v>
      </c>
      <c r="D1380" s="6" t="str">
        <f>"黄谢琪"</f>
        <v>黄谢琪</v>
      </c>
      <c r="E1380" s="6" t="str">
        <f>"1998-02-25"</f>
        <v>1998-02-25</v>
      </c>
      <c r="F1380" s="6"/>
    </row>
    <row r="1381" spans="1:6" ht="30" customHeight="1">
      <c r="A1381" s="6">
        <v>1379</v>
      </c>
      <c r="B1381" s="6" t="str">
        <f>"2728202011251050222050"</f>
        <v>2728202011251050222050</v>
      </c>
      <c r="C1381" s="6" t="s">
        <v>7</v>
      </c>
      <c r="D1381" s="6" t="str">
        <f>"蔡海珠"</f>
        <v>蔡海珠</v>
      </c>
      <c r="E1381" s="6" t="str">
        <f>"1998-05-06"</f>
        <v>1998-05-06</v>
      </c>
      <c r="F1381" s="6"/>
    </row>
    <row r="1382" spans="1:6" ht="30" customHeight="1">
      <c r="A1382" s="6">
        <v>1380</v>
      </c>
      <c r="B1382" s="6" t="str">
        <f>"2728202011251052552053"</f>
        <v>2728202011251052552053</v>
      </c>
      <c r="C1382" s="6" t="s">
        <v>7</v>
      </c>
      <c r="D1382" s="6" t="str">
        <f>"张天养"</f>
        <v>张天养</v>
      </c>
      <c r="E1382" s="6" t="str">
        <f>"1991-10-27"</f>
        <v>1991-10-27</v>
      </c>
      <c r="F1382" s="6"/>
    </row>
    <row r="1383" spans="1:6" ht="30" customHeight="1">
      <c r="A1383" s="6">
        <v>1381</v>
      </c>
      <c r="B1383" s="6" t="str">
        <f>"2728202011251053122054"</f>
        <v>2728202011251053122054</v>
      </c>
      <c r="C1383" s="6" t="s">
        <v>7</v>
      </c>
      <c r="D1383" s="6" t="str">
        <f>"陈凤嫦"</f>
        <v>陈凤嫦</v>
      </c>
      <c r="E1383" s="6" t="str">
        <f>"1995-01-24"</f>
        <v>1995-01-24</v>
      </c>
      <c r="F1383" s="6"/>
    </row>
    <row r="1384" spans="1:6" ht="30" customHeight="1">
      <c r="A1384" s="6">
        <v>1382</v>
      </c>
      <c r="B1384" s="6" t="str">
        <f>"2728202011251055052055"</f>
        <v>2728202011251055052055</v>
      </c>
      <c r="C1384" s="6" t="s">
        <v>7</v>
      </c>
      <c r="D1384" s="6" t="str">
        <f>"胡丽"</f>
        <v>胡丽</v>
      </c>
      <c r="E1384" s="6" t="str">
        <f>"1993-04-27"</f>
        <v>1993-04-27</v>
      </c>
      <c r="F1384" s="6"/>
    </row>
    <row r="1385" spans="1:6" ht="30" customHeight="1">
      <c r="A1385" s="6">
        <v>1383</v>
      </c>
      <c r="B1385" s="6" t="str">
        <f>"2728202011251058322057"</f>
        <v>2728202011251058322057</v>
      </c>
      <c r="C1385" s="6" t="s">
        <v>7</v>
      </c>
      <c r="D1385" s="6" t="str">
        <f>"陈丽玉"</f>
        <v>陈丽玉</v>
      </c>
      <c r="E1385" s="6" t="str">
        <f>"1992-02-14"</f>
        <v>1992-02-14</v>
      </c>
      <c r="F1385" s="6"/>
    </row>
    <row r="1386" spans="1:6" ht="30" customHeight="1">
      <c r="A1386" s="6">
        <v>1384</v>
      </c>
      <c r="B1386" s="6" t="str">
        <f>"2728202011251104282059"</f>
        <v>2728202011251104282059</v>
      </c>
      <c r="C1386" s="6" t="s">
        <v>7</v>
      </c>
      <c r="D1386" s="6" t="str">
        <f>"赵玉璞"</f>
        <v>赵玉璞</v>
      </c>
      <c r="E1386" s="6" t="str">
        <f>"1986-12-26"</f>
        <v>1986-12-26</v>
      </c>
      <c r="F1386" s="6"/>
    </row>
    <row r="1387" spans="1:6" ht="30" customHeight="1">
      <c r="A1387" s="6">
        <v>1385</v>
      </c>
      <c r="B1387" s="6" t="str">
        <f>"2728202011251106112060"</f>
        <v>2728202011251106112060</v>
      </c>
      <c r="C1387" s="6" t="s">
        <v>7</v>
      </c>
      <c r="D1387" s="6" t="str">
        <f>"张秋梅"</f>
        <v>张秋梅</v>
      </c>
      <c r="E1387" s="6" t="str">
        <f>"1993-05-21"</f>
        <v>1993-05-21</v>
      </c>
      <c r="F1387" s="6"/>
    </row>
    <row r="1388" spans="1:6" ht="30" customHeight="1">
      <c r="A1388" s="6">
        <v>1386</v>
      </c>
      <c r="B1388" s="6" t="str">
        <f>"2728202011251131232065"</f>
        <v>2728202011251131232065</v>
      </c>
      <c r="C1388" s="6" t="s">
        <v>7</v>
      </c>
      <c r="D1388" s="6" t="str">
        <f>"刘莉"</f>
        <v>刘莉</v>
      </c>
      <c r="E1388" s="6" t="str">
        <f>"1986-08-21"</f>
        <v>1986-08-21</v>
      </c>
      <c r="F1388" s="6"/>
    </row>
    <row r="1389" spans="1:6" ht="30" customHeight="1">
      <c r="A1389" s="6">
        <v>1387</v>
      </c>
      <c r="B1389" s="6" t="str">
        <f>"2728202011251135382068"</f>
        <v>2728202011251135382068</v>
      </c>
      <c r="C1389" s="6" t="s">
        <v>7</v>
      </c>
      <c r="D1389" s="6" t="str">
        <f>"容王萱"</f>
        <v>容王萱</v>
      </c>
      <c r="E1389" s="6" t="str">
        <f>"1996-10-21"</f>
        <v>1996-10-21</v>
      </c>
      <c r="F1389" s="6"/>
    </row>
    <row r="1390" spans="1:6" ht="30" customHeight="1">
      <c r="A1390" s="6">
        <v>1388</v>
      </c>
      <c r="B1390" s="6" t="str">
        <f>"2728202011251138122069"</f>
        <v>2728202011251138122069</v>
      </c>
      <c r="C1390" s="6" t="s">
        <v>7</v>
      </c>
      <c r="D1390" s="6" t="str">
        <f>"李滨"</f>
        <v>李滨</v>
      </c>
      <c r="E1390" s="6" t="str">
        <f>"1996-12-24"</f>
        <v>1996-12-24</v>
      </c>
      <c r="F1390" s="6"/>
    </row>
    <row r="1391" spans="1:6" ht="30" customHeight="1">
      <c r="A1391" s="6">
        <v>1389</v>
      </c>
      <c r="B1391" s="6" t="str">
        <f>"2728202011251145462072"</f>
        <v>2728202011251145462072</v>
      </c>
      <c r="C1391" s="6" t="s">
        <v>7</v>
      </c>
      <c r="D1391" s="6" t="str">
        <f>"赵宏茹"</f>
        <v>赵宏茹</v>
      </c>
      <c r="E1391" s="6" t="str">
        <f>"1996-01-17"</f>
        <v>1996-01-17</v>
      </c>
      <c r="F1391" s="6"/>
    </row>
    <row r="1392" spans="1:6" ht="30" customHeight="1">
      <c r="A1392" s="6">
        <v>1390</v>
      </c>
      <c r="B1392" s="6" t="str">
        <f>"2728202011251153132073"</f>
        <v>2728202011251153132073</v>
      </c>
      <c r="C1392" s="6" t="s">
        <v>7</v>
      </c>
      <c r="D1392" s="6" t="str">
        <f>"王雪"</f>
        <v>王雪</v>
      </c>
      <c r="E1392" s="6" t="str">
        <f>"1995-12-03"</f>
        <v>1995-12-03</v>
      </c>
      <c r="F1392" s="6"/>
    </row>
    <row r="1393" spans="1:6" ht="30" customHeight="1">
      <c r="A1393" s="6">
        <v>1391</v>
      </c>
      <c r="B1393" s="6" t="str">
        <f>"2728202011251154172075"</f>
        <v>2728202011251154172075</v>
      </c>
      <c r="C1393" s="6" t="s">
        <v>7</v>
      </c>
      <c r="D1393" s="6" t="str">
        <f>"羊进豪"</f>
        <v>羊进豪</v>
      </c>
      <c r="E1393" s="6" t="str">
        <f>"1993-06-28"</f>
        <v>1993-06-28</v>
      </c>
      <c r="F1393" s="6"/>
    </row>
    <row r="1394" spans="1:6" ht="30" customHeight="1">
      <c r="A1394" s="6">
        <v>1392</v>
      </c>
      <c r="B1394" s="6" t="str">
        <f>"2728202011251155512076"</f>
        <v>2728202011251155512076</v>
      </c>
      <c r="C1394" s="6" t="s">
        <v>7</v>
      </c>
      <c r="D1394" s="6" t="str">
        <f>"符曼萍"</f>
        <v>符曼萍</v>
      </c>
      <c r="E1394" s="6" t="str">
        <f>"1999-12-03"</f>
        <v>1999-12-03</v>
      </c>
      <c r="F1394" s="6"/>
    </row>
    <row r="1395" spans="1:6" ht="30" customHeight="1">
      <c r="A1395" s="6">
        <v>1393</v>
      </c>
      <c r="B1395" s="6" t="str">
        <f>"2728202011251158252077"</f>
        <v>2728202011251158252077</v>
      </c>
      <c r="C1395" s="6" t="s">
        <v>7</v>
      </c>
      <c r="D1395" s="6" t="str">
        <f>"袁忠艺"</f>
        <v>袁忠艺</v>
      </c>
      <c r="E1395" s="6" t="str">
        <f>"1997-08-29"</f>
        <v>1997-08-29</v>
      </c>
      <c r="F1395" s="6"/>
    </row>
    <row r="1396" spans="1:6" ht="30" customHeight="1">
      <c r="A1396" s="6">
        <v>1394</v>
      </c>
      <c r="B1396" s="6" t="str">
        <f>"2728202011251207422078"</f>
        <v>2728202011251207422078</v>
      </c>
      <c r="C1396" s="6" t="s">
        <v>7</v>
      </c>
      <c r="D1396" s="6" t="str">
        <f>"符海东"</f>
        <v>符海东</v>
      </c>
      <c r="E1396" s="6" t="str">
        <f>"1994-10-05"</f>
        <v>1994-10-05</v>
      </c>
      <c r="F1396" s="6"/>
    </row>
    <row r="1397" spans="1:6" ht="30" customHeight="1">
      <c r="A1397" s="6">
        <v>1395</v>
      </c>
      <c r="B1397" s="6" t="str">
        <f>"2728202011251209422079"</f>
        <v>2728202011251209422079</v>
      </c>
      <c r="C1397" s="6" t="s">
        <v>7</v>
      </c>
      <c r="D1397" s="6" t="str">
        <f>"周海舟"</f>
        <v>周海舟</v>
      </c>
      <c r="E1397" s="6" t="str">
        <f>"1992-03-25"</f>
        <v>1992-03-25</v>
      </c>
      <c r="F1397" s="6"/>
    </row>
    <row r="1398" spans="1:6" ht="30" customHeight="1">
      <c r="A1398" s="6">
        <v>1396</v>
      </c>
      <c r="B1398" s="6" t="str">
        <f>"2728202011251210042080"</f>
        <v>2728202011251210042080</v>
      </c>
      <c r="C1398" s="6" t="s">
        <v>7</v>
      </c>
      <c r="D1398" s="6" t="str">
        <f>"矫冬"</f>
        <v>矫冬</v>
      </c>
      <c r="E1398" s="6" t="str">
        <f>"1991-09-28"</f>
        <v>1991-09-28</v>
      </c>
      <c r="F1398" s="6"/>
    </row>
    <row r="1399" spans="1:6" ht="30" customHeight="1">
      <c r="A1399" s="6">
        <v>1397</v>
      </c>
      <c r="B1399" s="6" t="str">
        <f>"2728202011251221292081"</f>
        <v>2728202011251221292081</v>
      </c>
      <c r="C1399" s="6" t="s">
        <v>7</v>
      </c>
      <c r="D1399" s="6" t="str">
        <f>"谢廷健"</f>
        <v>谢廷健</v>
      </c>
      <c r="E1399" s="6" t="str">
        <f>"1997-05-01"</f>
        <v>1997-05-01</v>
      </c>
      <c r="F1399" s="6"/>
    </row>
    <row r="1400" spans="1:6" ht="30" customHeight="1">
      <c r="A1400" s="6">
        <v>1398</v>
      </c>
      <c r="B1400" s="6" t="str">
        <f>"2728202011251227092083"</f>
        <v>2728202011251227092083</v>
      </c>
      <c r="C1400" s="6" t="s">
        <v>7</v>
      </c>
      <c r="D1400" s="6" t="str">
        <f>"吴慧"</f>
        <v>吴慧</v>
      </c>
      <c r="E1400" s="6" t="str">
        <f>"1996-06-22"</f>
        <v>1996-06-22</v>
      </c>
      <c r="F1400" s="6"/>
    </row>
    <row r="1401" spans="1:6" ht="30" customHeight="1">
      <c r="A1401" s="6">
        <v>1399</v>
      </c>
      <c r="B1401" s="6" t="str">
        <f>"2728202011251231112084"</f>
        <v>2728202011251231112084</v>
      </c>
      <c r="C1401" s="6" t="s">
        <v>7</v>
      </c>
      <c r="D1401" s="6" t="str">
        <f>"吴昊"</f>
        <v>吴昊</v>
      </c>
      <c r="E1401" s="6" t="str">
        <f>"1995-05-26"</f>
        <v>1995-05-26</v>
      </c>
      <c r="F1401" s="6"/>
    </row>
    <row r="1402" spans="1:6" ht="30" customHeight="1">
      <c r="A1402" s="6">
        <v>1400</v>
      </c>
      <c r="B1402" s="6" t="str">
        <f>"2728202011251233042085"</f>
        <v>2728202011251233042085</v>
      </c>
      <c r="C1402" s="6" t="s">
        <v>7</v>
      </c>
      <c r="D1402" s="6" t="str">
        <f>"陈带振"</f>
        <v>陈带振</v>
      </c>
      <c r="E1402" s="6" t="str">
        <f>"1996-10-06"</f>
        <v>1996-10-06</v>
      </c>
      <c r="F1402" s="6"/>
    </row>
    <row r="1403" spans="1:6" ht="30" customHeight="1">
      <c r="A1403" s="6">
        <v>1401</v>
      </c>
      <c r="B1403" s="6" t="str">
        <f>"2728202011251244252086"</f>
        <v>2728202011251244252086</v>
      </c>
      <c r="C1403" s="6" t="s">
        <v>7</v>
      </c>
      <c r="D1403" s="6" t="str">
        <f>"吕桃"</f>
        <v>吕桃</v>
      </c>
      <c r="E1403" s="6" t="str">
        <f>"1992-11-20"</f>
        <v>1992-11-20</v>
      </c>
      <c r="F1403" s="6"/>
    </row>
    <row r="1404" spans="1:6" ht="30" customHeight="1">
      <c r="A1404" s="6">
        <v>1402</v>
      </c>
      <c r="B1404" s="6" t="str">
        <f>"2728202011251300362087"</f>
        <v>2728202011251300362087</v>
      </c>
      <c r="C1404" s="6" t="s">
        <v>7</v>
      </c>
      <c r="D1404" s="6" t="str">
        <f>"曾维浪"</f>
        <v>曾维浪</v>
      </c>
      <c r="E1404" s="6" t="str">
        <f>"1998-05-18"</f>
        <v>1998-05-18</v>
      </c>
      <c r="F1404" s="6"/>
    </row>
    <row r="1405" spans="1:6" ht="30" customHeight="1">
      <c r="A1405" s="6">
        <v>1403</v>
      </c>
      <c r="B1405" s="6" t="str">
        <f>"2728202011251300412088"</f>
        <v>2728202011251300412088</v>
      </c>
      <c r="C1405" s="6" t="s">
        <v>7</v>
      </c>
      <c r="D1405" s="6" t="str">
        <f>"张博智"</f>
        <v>张博智</v>
      </c>
      <c r="E1405" s="6" t="str">
        <f>"1995-01-14"</f>
        <v>1995-01-14</v>
      </c>
      <c r="F1405" s="6"/>
    </row>
    <row r="1406" spans="1:6" ht="30" customHeight="1">
      <c r="A1406" s="6">
        <v>1404</v>
      </c>
      <c r="B1406" s="6" t="str">
        <f>"2728202011251301092089"</f>
        <v>2728202011251301092089</v>
      </c>
      <c r="C1406" s="6" t="s">
        <v>7</v>
      </c>
      <c r="D1406" s="6" t="str">
        <f>"郭江鹃"</f>
        <v>郭江鹃</v>
      </c>
      <c r="E1406" s="6" t="str">
        <f>"1993-08-22"</f>
        <v>1993-08-22</v>
      </c>
      <c r="F1406" s="6"/>
    </row>
    <row r="1407" spans="1:6" ht="30" customHeight="1">
      <c r="A1407" s="6">
        <v>1405</v>
      </c>
      <c r="B1407" s="6" t="str">
        <f>"2728202011251303542090"</f>
        <v>2728202011251303542090</v>
      </c>
      <c r="C1407" s="6" t="s">
        <v>7</v>
      </c>
      <c r="D1407" s="6" t="str">
        <f>"周贺君"</f>
        <v>周贺君</v>
      </c>
      <c r="E1407" s="6" t="str">
        <f>"1995-08-28"</f>
        <v>1995-08-28</v>
      </c>
      <c r="F1407" s="6"/>
    </row>
    <row r="1408" spans="1:6" ht="30" customHeight="1">
      <c r="A1408" s="6">
        <v>1406</v>
      </c>
      <c r="B1408" s="6" t="str">
        <f>"2728202011251304042091"</f>
        <v>2728202011251304042091</v>
      </c>
      <c r="C1408" s="6" t="s">
        <v>7</v>
      </c>
      <c r="D1408" s="6" t="str">
        <f>"李万春"</f>
        <v>李万春</v>
      </c>
      <c r="E1408" s="6" t="str">
        <f>"1995-10-05"</f>
        <v>1995-10-05</v>
      </c>
      <c r="F1408" s="6"/>
    </row>
    <row r="1409" spans="1:6" ht="30" customHeight="1">
      <c r="A1409" s="6">
        <v>1407</v>
      </c>
      <c r="B1409" s="6" t="str">
        <f>"2728202011251305112092"</f>
        <v>2728202011251305112092</v>
      </c>
      <c r="C1409" s="6" t="s">
        <v>7</v>
      </c>
      <c r="D1409" s="6" t="str">
        <f>"陈少娜"</f>
        <v>陈少娜</v>
      </c>
      <c r="E1409" s="6" t="str">
        <f>"1997-09-28"</f>
        <v>1997-09-28</v>
      </c>
      <c r="F1409" s="6"/>
    </row>
    <row r="1410" spans="1:6" ht="30" customHeight="1">
      <c r="A1410" s="6">
        <v>1408</v>
      </c>
      <c r="B1410" s="6" t="str">
        <f>"2728202011251310492093"</f>
        <v>2728202011251310492093</v>
      </c>
      <c r="C1410" s="6" t="s">
        <v>7</v>
      </c>
      <c r="D1410" s="6" t="str">
        <f>"钱佳琳"</f>
        <v>钱佳琳</v>
      </c>
      <c r="E1410" s="6" t="str">
        <f>"1997-12-06"</f>
        <v>1997-12-06</v>
      </c>
      <c r="F1410" s="6"/>
    </row>
    <row r="1411" spans="1:6" ht="30" customHeight="1">
      <c r="A1411" s="6">
        <v>1409</v>
      </c>
      <c r="B1411" s="6" t="str">
        <f>"2728202011251311562094"</f>
        <v>2728202011251311562094</v>
      </c>
      <c r="C1411" s="6" t="s">
        <v>7</v>
      </c>
      <c r="D1411" s="6" t="str">
        <f>"汪锦琳"</f>
        <v>汪锦琳</v>
      </c>
      <c r="E1411" s="6" t="str">
        <f>"1998-03-21"</f>
        <v>1998-03-21</v>
      </c>
      <c r="F1411" s="6"/>
    </row>
    <row r="1412" spans="1:6" ht="30" customHeight="1">
      <c r="A1412" s="6">
        <v>1410</v>
      </c>
      <c r="B1412" s="6" t="str">
        <f>"2728202011251313592095"</f>
        <v>2728202011251313592095</v>
      </c>
      <c r="C1412" s="6" t="s">
        <v>7</v>
      </c>
      <c r="D1412" s="6" t="str">
        <f>"关博华"</f>
        <v>关博华</v>
      </c>
      <c r="E1412" s="6" t="str">
        <f>"1987-05-19"</f>
        <v>1987-05-19</v>
      </c>
      <c r="F1412" s="6"/>
    </row>
    <row r="1413" spans="1:6" ht="30" customHeight="1">
      <c r="A1413" s="6">
        <v>1411</v>
      </c>
      <c r="B1413" s="6" t="str">
        <f>"2728202011251317412096"</f>
        <v>2728202011251317412096</v>
      </c>
      <c r="C1413" s="6" t="s">
        <v>7</v>
      </c>
      <c r="D1413" s="6" t="str">
        <f>"裴文倩"</f>
        <v>裴文倩</v>
      </c>
      <c r="E1413" s="6" t="str">
        <f>"1995-11-30"</f>
        <v>1995-11-30</v>
      </c>
      <c r="F1413" s="6"/>
    </row>
    <row r="1414" spans="1:6" ht="30" customHeight="1">
      <c r="A1414" s="6">
        <v>1412</v>
      </c>
      <c r="B1414" s="6" t="str">
        <f>"2728202011251319182097"</f>
        <v>2728202011251319182097</v>
      </c>
      <c r="C1414" s="6" t="s">
        <v>7</v>
      </c>
      <c r="D1414" s="6" t="str">
        <f>"符用基"</f>
        <v>符用基</v>
      </c>
      <c r="E1414" s="6" t="str">
        <f>"1992-10-04"</f>
        <v>1992-10-04</v>
      </c>
      <c r="F1414" s="6"/>
    </row>
    <row r="1415" spans="1:6" ht="30" customHeight="1">
      <c r="A1415" s="6">
        <v>1413</v>
      </c>
      <c r="B1415" s="6" t="str">
        <f>"2728202011251321222098"</f>
        <v>2728202011251321222098</v>
      </c>
      <c r="C1415" s="6" t="s">
        <v>7</v>
      </c>
      <c r="D1415" s="6" t="str">
        <f>"陈小妹"</f>
        <v>陈小妹</v>
      </c>
      <c r="E1415" s="6" t="str">
        <f>"1997-04-16"</f>
        <v>1997-04-16</v>
      </c>
      <c r="F1415" s="6"/>
    </row>
    <row r="1416" spans="1:6" ht="30" customHeight="1">
      <c r="A1416" s="6">
        <v>1414</v>
      </c>
      <c r="B1416" s="6" t="str">
        <f>"2728202011251321232099"</f>
        <v>2728202011251321232099</v>
      </c>
      <c r="C1416" s="6" t="s">
        <v>7</v>
      </c>
      <c r="D1416" s="6" t="str">
        <f>"罗廷燕"</f>
        <v>罗廷燕</v>
      </c>
      <c r="E1416" s="6" t="str">
        <f>"1997-03-08"</f>
        <v>1997-03-08</v>
      </c>
      <c r="F1416" s="6"/>
    </row>
    <row r="1417" spans="1:6" ht="30" customHeight="1">
      <c r="A1417" s="6">
        <v>1415</v>
      </c>
      <c r="B1417" s="6" t="str">
        <f>"2728202011251328252100"</f>
        <v>2728202011251328252100</v>
      </c>
      <c r="C1417" s="6" t="s">
        <v>7</v>
      </c>
      <c r="D1417" s="6" t="str">
        <f>"梁云峰"</f>
        <v>梁云峰</v>
      </c>
      <c r="E1417" s="6" t="str">
        <f>"1993-12-07"</f>
        <v>1993-12-07</v>
      </c>
      <c r="F1417" s="6"/>
    </row>
    <row r="1418" spans="1:6" ht="30" customHeight="1">
      <c r="A1418" s="6">
        <v>1416</v>
      </c>
      <c r="B1418" s="6" t="str">
        <f>"2728202011251343292102"</f>
        <v>2728202011251343292102</v>
      </c>
      <c r="C1418" s="6" t="s">
        <v>7</v>
      </c>
      <c r="D1418" s="6" t="str">
        <f>"吴俊甫"</f>
        <v>吴俊甫</v>
      </c>
      <c r="E1418" s="6" t="str">
        <f>"1996-05-09"</f>
        <v>1996-05-09</v>
      </c>
      <c r="F1418" s="6"/>
    </row>
    <row r="1419" spans="1:6" ht="30" customHeight="1">
      <c r="A1419" s="6">
        <v>1417</v>
      </c>
      <c r="B1419" s="6" t="str">
        <f>"2728202011251344562104"</f>
        <v>2728202011251344562104</v>
      </c>
      <c r="C1419" s="6" t="s">
        <v>7</v>
      </c>
      <c r="D1419" s="6" t="str">
        <f>"吴永庆"</f>
        <v>吴永庆</v>
      </c>
      <c r="E1419" s="6" t="str">
        <f>"1998-11-12"</f>
        <v>1998-11-12</v>
      </c>
      <c r="F1419" s="6"/>
    </row>
    <row r="1420" spans="1:6" ht="30" customHeight="1">
      <c r="A1420" s="6">
        <v>1418</v>
      </c>
      <c r="B1420" s="6" t="str">
        <f>"2728202011251346392105"</f>
        <v>2728202011251346392105</v>
      </c>
      <c r="C1420" s="6" t="s">
        <v>7</v>
      </c>
      <c r="D1420" s="6" t="str">
        <f>"郑忠霞"</f>
        <v>郑忠霞</v>
      </c>
      <c r="E1420" s="6" t="str">
        <f>"1996-02-28"</f>
        <v>1996-02-28</v>
      </c>
      <c r="F1420" s="6"/>
    </row>
    <row r="1421" spans="1:6" ht="30" customHeight="1">
      <c r="A1421" s="6">
        <v>1419</v>
      </c>
      <c r="B1421" s="6" t="str">
        <f>"2728202011251350302107"</f>
        <v>2728202011251350302107</v>
      </c>
      <c r="C1421" s="6" t="s">
        <v>7</v>
      </c>
      <c r="D1421" s="6" t="str">
        <f>"董棉燕"</f>
        <v>董棉燕</v>
      </c>
      <c r="E1421" s="6" t="str">
        <f>"1996-02-07"</f>
        <v>1996-02-07</v>
      </c>
      <c r="F1421" s="6"/>
    </row>
    <row r="1422" spans="1:6" ht="30" customHeight="1">
      <c r="A1422" s="6">
        <v>1420</v>
      </c>
      <c r="B1422" s="6" t="str">
        <f>"2728202011251357192109"</f>
        <v>2728202011251357192109</v>
      </c>
      <c r="C1422" s="6" t="s">
        <v>7</v>
      </c>
      <c r="D1422" s="6" t="str">
        <f>"王丽菊"</f>
        <v>王丽菊</v>
      </c>
      <c r="E1422" s="6" t="str">
        <f>"1996-06-16"</f>
        <v>1996-06-16</v>
      </c>
      <c r="F1422" s="6"/>
    </row>
    <row r="1423" spans="1:6" ht="30" customHeight="1">
      <c r="A1423" s="6">
        <v>1421</v>
      </c>
      <c r="B1423" s="6" t="str">
        <f>"2728202011251406252110"</f>
        <v>2728202011251406252110</v>
      </c>
      <c r="C1423" s="6" t="s">
        <v>7</v>
      </c>
      <c r="D1423" s="6" t="str">
        <f>"罗予"</f>
        <v>罗予</v>
      </c>
      <c r="E1423" s="6" t="str">
        <f>"1996-06-01"</f>
        <v>1996-06-01</v>
      </c>
      <c r="F1423" s="6"/>
    </row>
    <row r="1424" spans="1:6" ht="30" customHeight="1">
      <c r="A1424" s="6">
        <v>1422</v>
      </c>
      <c r="B1424" s="6" t="str">
        <f>"2728202011251417502113"</f>
        <v>2728202011251417502113</v>
      </c>
      <c r="C1424" s="6" t="s">
        <v>7</v>
      </c>
      <c r="D1424" s="6" t="str">
        <f>"梁琳玲"</f>
        <v>梁琳玲</v>
      </c>
      <c r="E1424" s="6" t="str">
        <f>"1991-09-07"</f>
        <v>1991-09-07</v>
      </c>
      <c r="F1424" s="6"/>
    </row>
    <row r="1425" spans="1:6" ht="30" customHeight="1">
      <c r="A1425" s="6">
        <v>1423</v>
      </c>
      <c r="B1425" s="6" t="str">
        <f>"2728202011251419482114"</f>
        <v>2728202011251419482114</v>
      </c>
      <c r="C1425" s="6" t="s">
        <v>7</v>
      </c>
      <c r="D1425" s="6" t="str">
        <f>"肖玉娇"</f>
        <v>肖玉娇</v>
      </c>
      <c r="E1425" s="6" t="str">
        <f>"1996-12-03"</f>
        <v>1996-12-03</v>
      </c>
      <c r="F1425" s="6"/>
    </row>
    <row r="1426" spans="1:6" ht="30" customHeight="1">
      <c r="A1426" s="6">
        <v>1424</v>
      </c>
      <c r="B1426" s="6" t="str">
        <f>"2728202011251437242116"</f>
        <v>2728202011251437242116</v>
      </c>
      <c r="C1426" s="6" t="s">
        <v>7</v>
      </c>
      <c r="D1426" s="6" t="str">
        <f>"朱瑞婷"</f>
        <v>朱瑞婷</v>
      </c>
      <c r="E1426" s="6" t="str">
        <f>"1994-08-15"</f>
        <v>1994-08-15</v>
      </c>
      <c r="F1426" s="6"/>
    </row>
    <row r="1427" spans="1:6" ht="30" customHeight="1">
      <c r="A1427" s="6">
        <v>1425</v>
      </c>
      <c r="B1427" s="6" t="str">
        <f>"2728202011251438452117"</f>
        <v>2728202011251438452117</v>
      </c>
      <c r="C1427" s="6" t="s">
        <v>7</v>
      </c>
      <c r="D1427" s="6" t="str">
        <f>"苏泽亭"</f>
        <v>苏泽亭</v>
      </c>
      <c r="E1427" s="6" t="str">
        <f>"1989-10-07"</f>
        <v>1989-10-07</v>
      </c>
      <c r="F1427" s="6"/>
    </row>
    <row r="1428" spans="1:6" ht="30" customHeight="1">
      <c r="A1428" s="6">
        <v>1426</v>
      </c>
      <c r="B1428" s="6" t="str">
        <f>"2728202011251440222118"</f>
        <v>2728202011251440222118</v>
      </c>
      <c r="C1428" s="6" t="s">
        <v>7</v>
      </c>
      <c r="D1428" s="6" t="str">
        <f>"黄小荷"</f>
        <v>黄小荷</v>
      </c>
      <c r="E1428" s="6" t="str">
        <f>"1989-06-04"</f>
        <v>1989-06-04</v>
      </c>
      <c r="F1428" s="6"/>
    </row>
    <row r="1429" spans="1:6" ht="30" customHeight="1">
      <c r="A1429" s="6">
        <v>1427</v>
      </c>
      <c r="B1429" s="6" t="str">
        <f>"2728202011251440442119"</f>
        <v>2728202011251440442119</v>
      </c>
      <c r="C1429" s="6" t="s">
        <v>7</v>
      </c>
      <c r="D1429" s="6" t="str">
        <f>"林日恒"</f>
        <v>林日恒</v>
      </c>
      <c r="E1429" s="6" t="str">
        <f>"1996-03-18"</f>
        <v>1996-03-18</v>
      </c>
      <c r="F1429" s="6"/>
    </row>
    <row r="1430" spans="1:6" ht="30" customHeight="1">
      <c r="A1430" s="6">
        <v>1428</v>
      </c>
      <c r="B1430" s="6" t="str">
        <f>"2728202011251444582120"</f>
        <v>2728202011251444582120</v>
      </c>
      <c r="C1430" s="6" t="s">
        <v>7</v>
      </c>
      <c r="D1430" s="6" t="str">
        <f>"张小妮"</f>
        <v>张小妮</v>
      </c>
      <c r="E1430" s="6" t="str">
        <f>"1996-07-19"</f>
        <v>1996-07-19</v>
      </c>
      <c r="F1430" s="6"/>
    </row>
    <row r="1431" spans="1:6" ht="30" customHeight="1">
      <c r="A1431" s="6">
        <v>1429</v>
      </c>
      <c r="B1431" s="6" t="str">
        <f>"2728202011251451142121"</f>
        <v>2728202011251451142121</v>
      </c>
      <c r="C1431" s="6" t="s">
        <v>7</v>
      </c>
      <c r="D1431" s="6" t="str">
        <f>"陈秋惠"</f>
        <v>陈秋惠</v>
      </c>
      <c r="E1431" s="6" t="str">
        <f>"1998-06-18"</f>
        <v>1998-06-18</v>
      </c>
      <c r="F1431" s="6"/>
    </row>
    <row r="1432" spans="1:6" ht="30" customHeight="1">
      <c r="A1432" s="6">
        <v>1430</v>
      </c>
      <c r="B1432" s="6" t="str">
        <f>"2728202011251453142122"</f>
        <v>2728202011251453142122</v>
      </c>
      <c r="C1432" s="6" t="s">
        <v>7</v>
      </c>
      <c r="D1432" s="6" t="str">
        <f>"秦子贵"</f>
        <v>秦子贵</v>
      </c>
      <c r="E1432" s="6" t="str">
        <f>"1994-04-17"</f>
        <v>1994-04-17</v>
      </c>
      <c r="F1432" s="6"/>
    </row>
    <row r="1433" spans="1:6" ht="30" customHeight="1">
      <c r="A1433" s="6">
        <v>1431</v>
      </c>
      <c r="B1433" s="6" t="str">
        <f>"2728202011251454562123"</f>
        <v>2728202011251454562123</v>
      </c>
      <c r="C1433" s="6" t="s">
        <v>7</v>
      </c>
      <c r="D1433" s="6" t="str">
        <f>"黄世政"</f>
        <v>黄世政</v>
      </c>
      <c r="E1433" s="6" t="str">
        <f>"1995-08-05"</f>
        <v>1995-08-05</v>
      </c>
      <c r="F1433" s="6"/>
    </row>
    <row r="1434" spans="1:6" ht="30" customHeight="1">
      <c r="A1434" s="6">
        <v>1432</v>
      </c>
      <c r="B1434" s="6" t="str">
        <f>"2728202011251457392126"</f>
        <v>2728202011251457392126</v>
      </c>
      <c r="C1434" s="6" t="s">
        <v>7</v>
      </c>
      <c r="D1434" s="6" t="str">
        <f>"洪秀"</f>
        <v>洪秀</v>
      </c>
      <c r="E1434" s="6" t="str">
        <f>"1993-05-06"</f>
        <v>1993-05-06</v>
      </c>
      <c r="F1434" s="6"/>
    </row>
    <row r="1435" spans="1:6" ht="30" customHeight="1">
      <c r="A1435" s="6">
        <v>1433</v>
      </c>
      <c r="B1435" s="6" t="str">
        <f>"2728202011251502192127"</f>
        <v>2728202011251502192127</v>
      </c>
      <c r="C1435" s="6" t="s">
        <v>7</v>
      </c>
      <c r="D1435" s="6" t="str">
        <f>"周丽虹"</f>
        <v>周丽虹</v>
      </c>
      <c r="E1435" s="6" t="str">
        <f>"1995-04-19"</f>
        <v>1995-04-19</v>
      </c>
      <c r="F1435" s="6"/>
    </row>
    <row r="1436" spans="1:6" ht="30" customHeight="1">
      <c r="A1436" s="6">
        <v>1434</v>
      </c>
      <c r="B1436" s="6" t="str">
        <f>"2728202011251517282131"</f>
        <v>2728202011251517282131</v>
      </c>
      <c r="C1436" s="6" t="s">
        <v>7</v>
      </c>
      <c r="D1436" s="6" t="str">
        <f>"冯滟晶"</f>
        <v>冯滟晶</v>
      </c>
      <c r="E1436" s="6" t="str">
        <f>"1997-02-21"</f>
        <v>1997-02-21</v>
      </c>
      <c r="F1436" s="6"/>
    </row>
    <row r="1437" spans="1:6" ht="30" customHeight="1">
      <c r="A1437" s="6">
        <v>1435</v>
      </c>
      <c r="B1437" s="6" t="str">
        <f>"2728202011251517582132"</f>
        <v>2728202011251517582132</v>
      </c>
      <c r="C1437" s="6" t="s">
        <v>7</v>
      </c>
      <c r="D1437" s="6" t="str">
        <f>"陈秋艳"</f>
        <v>陈秋艳</v>
      </c>
      <c r="E1437" s="6" t="str">
        <f>"1993-10-27"</f>
        <v>1993-10-27</v>
      </c>
      <c r="F1437" s="6"/>
    </row>
    <row r="1438" spans="1:6" ht="30" customHeight="1">
      <c r="A1438" s="6">
        <v>1436</v>
      </c>
      <c r="B1438" s="6" t="str">
        <f>"2728202011251528282134"</f>
        <v>2728202011251528282134</v>
      </c>
      <c r="C1438" s="6" t="s">
        <v>7</v>
      </c>
      <c r="D1438" s="6" t="str">
        <f>"陈觉"</f>
        <v>陈觉</v>
      </c>
      <c r="E1438" s="6" t="str">
        <f>"1991-08-03"</f>
        <v>1991-08-03</v>
      </c>
      <c r="F1438" s="6"/>
    </row>
    <row r="1439" spans="1:6" ht="30" customHeight="1">
      <c r="A1439" s="6">
        <v>1437</v>
      </c>
      <c r="B1439" s="6" t="str">
        <f>"2728202011251536472135"</f>
        <v>2728202011251536472135</v>
      </c>
      <c r="C1439" s="6" t="s">
        <v>7</v>
      </c>
      <c r="D1439" s="6" t="str">
        <f>"黎健"</f>
        <v>黎健</v>
      </c>
      <c r="E1439" s="6" t="str">
        <f>"1995-10-17"</f>
        <v>1995-10-17</v>
      </c>
      <c r="F1439" s="6"/>
    </row>
    <row r="1440" spans="1:6" ht="30" customHeight="1">
      <c r="A1440" s="6">
        <v>1438</v>
      </c>
      <c r="B1440" s="6" t="str">
        <f>"2728202011251545082138"</f>
        <v>2728202011251545082138</v>
      </c>
      <c r="C1440" s="6" t="s">
        <v>7</v>
      </c>
      <c r="D1440" s="6" t="str">
        <f>"胡俊雷"</f>
        <v>胡俊雷</v>
      </c>
      <c r="E1440" s="6" t="str">
        <f>"1994-07-06"</f>
        <v>1994-07-06</v>
      </c>
      <c r="F1440" s="6"/>
    </row>
    <row r="1441" spans="1:6" ht="30" customHeight="1">
      <c r="A1441" s="6">
        <v>1439</v>
      </c>
      <c r="B1441" s="6" t="str">
        <f>"2728202011251552372141"</f>
        <v>2728202011251552372141</v>
      </c>
      <c r="C1441" s="6" t="s">
        <v>7</v>
      </c>
      <c r="D1441" s="6" t="str">
        <f>"林雪"</f>
        <v>林雪</v>
      </c>
      <c r="E1441" s="6" t="str">
        <f>"1992-07-19"</f>
        <v>1992-07-19</v>
      </c>
      <c r="F1441" s="6"/>
    </row>
    <row r="1442" spans="1:6" ht="30" customHeight="1">
      <c r="A1442" s="6">
        <v>1440</v>
      </c>
      <c r="B1442" s="6" t="str">
        <f>"2728202011251552572142"</f>
        <v>2728202011251552572142</v>
      </c>
      <c r="C1442" s="6" t="s">
        <v>7</v>
      </c>
      <c r="D1442" s="6" t="str">
        <f>"陈瑶"</f>
        <v>陈瑶</v>
      </c>
      <c r="E1442" s="6" t="str">
        <f>"1993-12-21"</f>
        <v>1993-12-21</v>
      </c>
      <c r="F1442" s="6"/>
    </row>
    <row r="1443" spans="1:6" ht="30" customHeight="1">
      <c r="A1443" s="6">
        <v>1441</v>
      </c>
      <c r="B1443" s="6" t="str">
        <f>"2728202011251557502146"</f>
        <v>2728202011251557502146</v>
      </c>
      <c r="C1443" s="6" t="s">
        <v>7</v>
      </c>
      <c r="D1443" s="6" t="str">
        <f>"赵曼"</f>
        <v>赵曼</v>
      </c>
      <c r="E1443" s="6" t="str">
        <f>"1989-10-05"</f>
        <v>1989-10-05</v>
      </c>
      <c r="F1443" s="6"/>
    </row>
    <row r="1444" spans="1:6" ht="30" customHeight="1">
      <c r="A1444" s="6">
        <v>1442</v>
      </c>
      <c r="B1444" s="6" t="str">
        <f>"2728202011251623072152"</f>
        <v>2728202011251623072152</v>
      </c>
      <c r="C1444" s="6" t="s">
        <v>7</v>
      </c>
      <c r="D1444" s="6" t="str">
        <f>"黄明天"</f>
        <v>黄明天</v>
      </c>
      <c r="E1444" s="6" t="str">
        <f>"1989-12-12"</f>
        <v>1989-12-12</v>
      </c>
      <c r="F1444" s="6"/>
    </row>
    <row r="1445" spans="1:6" ht="30" customHeight="1">
      <c r="A1445" s="6">
        <v>1443</v>
      </c>
      <c r="B1445" s="6" t="str">
        <f>"2728202011251625412153"</f>
        <v>2728202011251625412153</v>
      </c>
      <c r="C1445" s="6" t="s">
        <v>7</v>
      </c>
      <c r="D1445" s="6" t="str">
        <f>"吉才哲 "</f>
        <v>吉才哲 </v>
      </c>
      <c r="E1445" s="6" t="str">
        <f>"1999-05-02"</f>
        <v>1999-05-02</v>
      </c>
      <c r="F1445" s="6"/>
    </row>
    <row r="1446" spans="1:6" ht="30" customHeight="1">
      <c r="A1446" s="6">
        <v>1444</v>
      </c>
      <c r="B1446" s="6" t="str">
        <f>"2728202011251630062156"</f>
        <v>2728202011251630062156</v>
      </c>
      <c r="C1446" s="6" t="s">
        <v>7</v>
      </c>
      <c r="D1446" s="6" t="str">
        <f>"覃绕"</f>
        <v>覃绕</v>
      </c>
      <c r="E1446" s="6" t="str">
        <f>"1992-04-01"</f>
        <v>1992-04-01</v>
      </c>
      <c r="F1446" s="6"/>
    </row>
    <row r="1447" spans="1:6" ht="30" customHeight="1">
      <c r="A1447" s="6">
        <v>1445</v>
      </c>
      <c r="B1447" s="6" t="str">
        <f>"2728202011251646072162"</f>
        <v>2728202011251646072162</v>
      </c>
      <c r="C1447" s="6" t="s">
        <v>7</v>
      </c>
      <c r="D1447" s="6" t="str">
        <f>"王楠"</f>
        <v>王楠</v>
      </c>
      <c r="E1447" s="6" t="str">
        <f>"1994-11-17"</f>
        <v>1994-11-17</v>
      </c>
      <c r="F1447" s="6"/>
    </row>
    <row r="1448" spans="1:6" ht="30" customHeight="1">
      <c r="A1448" s="6">
        <v>1446</v>
      </c>
      <c r="B1448" s="6" t="str">
        <f>"2728202011251646332163"</f>
        <v>2728202011251646332163</v>
      </c>
      <c r="C1448" s="6" t="s">
        <v>7</v>
      </c>
      <c r="D1448" s="6" t="str">
        <f>"罗志保"</f>
        <v>罗志保</v>
      </c>
      <c r="E1448" s="6" t="str">
        <f>"1993-01-19"</f>
        <v>1993-01-19</v>
      </c>
      <c r="F1448" s="6"/>
    </row>
    <row r="1449" spans="1:6" ht="30" customHeight="1">
      <c r="A1449" s="6">
        <v>1447</v>
      </c>
      <c r="B1449" s="6" t="str">
        <f>"2728202011251700242165"</f>
        <v>2728202011251700242165</v>
      </c>
      <c r="C1449" s="6" t="s">
        <v>7</v>
      </c>
      <c r="D1449" s="6" t="str">
        <f>"王明慈"</f>
        <v>王明慈</v>
      </c>
      <c r="E1449" s="6" t="str">
        <f>"1998-06-19"</f>
        <v>1998-06-19</v>
      </c>
      <c r="F1449" s="6"/>
    </row>
    <row r="1450" spans="1:6" ht="30" customHeight="1">
      <c r="A1450" s="6">
        <v>1448</v>
      </c>
      <c r="B1450" s="6" t="str">
        <f>"2728202011251701002166"</f>
        <v>2728202011251701002166</v>
      </c>
      <c r="C1450" s="6" t="s">
        <v>7</v>
      </c>
      <c r="D1450" s="6" t="str">
        <f>"李小体"</f>
        <v>李小体</v>
      </c>
      <c r="E1450" s="6" t="str">
        <f>"1999-10-16"</f>
        <v>1999-10-16</v>
      </c>
      <c r="F1450" s="6"/>
    </row>
    <row r="1451" spans="1:6" ht="30" customHeight="1">
      <c r="A1451" s="6">
        <v>1449</v>
      </c>
      <c r="B1451" s="6" t="str">
        <f>"2728202011251703032167"</f>
        <v>2728202011251703032167</v>
      </c>
      <c r="C1451" s="6" t="s">
        <v>7</v>
      </c>
      <c r="D1451" s="6" t="str">
        <f>"洪盛钊"</f>
        <v>洪盛钊</v>
      </c>
      <c r="E1451" s="6" t="str">
        <f>"1994-05-26"</f>
        <v>1994-05-26</v>
      </c>
      <c r="F1451" s="6"/>
    </row>
    <row r="1452" spans="1:6" ht="30" customHeight="1">
      <c r="A1452" s="6">
        <v>1450</v>
      </c>
      <c r="B1452" s="6" t="str">
        <f>"2728202011251705242168"</f>
        <v>2728202011251705242168</v>
      </c>
      <c r="C1452" s="6" t="s">
        <v>7</v>
      </c>
      <c r="D1452" s="6" t="str">
        <f>"陈瑜"</f>
        <v>陈瑜</v>
      </c>
      <c r="E1452" s="6" t="str">
        <f>"1990-08-25"</f>
        <v>1990-08-25</v>
      </c>
      <c r="F1452" s="6"/>
    </row>
    <row r="1453" spans="1:6" ht="30" customHeight="1">
      <c r="A1453" s="6">
        <v>1451</v>
      </c>
      <c r="B1453" s="6" t="str">
        <f>"2728202011251707082169"</f>
        <v>2728202011251707082169</v>
      </c>
      <c r="C1453" s="6" t="s">
        <v>7</v>
      </c>
      <c r="D1453" s="6" t="str">
        <f>"王慧艳"</f>
        <v>王慧艳</v>
      </c>
      <c r="E1453" s="6" t="str">
        <f>"1991-12-13"</f>
        <v>1991-12-13</v>
      </c>
      <c r="F1453" s="6"/>
    </row>
    <row r="1454" spans="1:6" ht="30" customHeight="1">
      <c r="A1454" s="6">
        <v>1452</v>
      </c>
      <c r="B1454" s="6" t="str">
        <f>"2728202011251708062170"</f>
        <v>2728202011251708062170</v>
      </c>
      <c r="C1454" s="6" t="s">
        <v>7</v>
      </c>
      <c r="D1454" s="6" t="str">
        <f>"吉智华"</f>
        <v>吉智华</v>
      </c>
      <c r="E1454" s="6" t="str">
        <f>"1991-09-20"</f>
        <v>1991-09-20</v>
      </c>
      <c r="F1454" s="6"/>
    </row>
    <row r="1455" spans="1:6" ht="30" customHeight="1">
      <c r="A1455" s="6">
        <v>1453</v>
      </c>
      <c r="B1455" s="6" t="str">
        <f>"2728202011251708442171"</f>
        <v>2728202011251708442171</v>
      </c>
      <c r="C1455" s="6" t="s">
        <v>7</v>
      </c>
      <c r="D1455" s="6" t="str">
        <f>"邓伟健"</f>
        <v>邓伟健</v>
      </c>
      <c r="E1455" s="6" t="str">
        <f>"1994-10-28"</f>
        <v>1994-10-28</v>
      </c>
      <c r="F1455" s="6"/>
    </row>
    <row r="1456" spans="1:6" ht="33.75" customHeight="1">
      <c r="A1456" s="6">
        <v>1454</v>
      </c>
      <c r="B1456" s="6" t="str">
        <f>"2728202011251729232174"</f>
        <v>2728202011251729232174</v>
      </c>
      <c r="C1456" s="6" t="s">
        <v>7</v>
      </c>
      <c r="D1456" s="6" t="str">
        <f>"蔡风琴"</f>
        <v>蔡风琴</v>
      </c>
      <c r="E1456" s="6" t="str">
        <f>"1994-08-18"</f>
        <v>1994-08-18</v>
      </c>
      <c r="F1456" s="6"/>
    </row>
    <row r="1457" spans="1:6" ht="30" customHeight="1">
      <c r="A1457" s="6">
        <v>1455</v>
      </c>
      <c r="B1457" s="6" t="str">
        <f>"2728202011251730182176"</f>
        <v>2728202011251730182176</v>
      </c>
      <c r="C1457" s="6" t="s">
        <v>7</v>
      </c>
      <c r="D1457" s="6" t="str">
        <f>"罗明杰"</f>
        <v>罗明杰</v>
      </c>
      <c r="E1457" s="6" t="str">
        <f>"1998-02-27"</f>
        <v>1998-02-27</v>
      </c>
      <c r="F1457" s="6"/>
    </row>
    <row r="1458" spans="1:6" ht="30" customHeight="1">
      <c r="A1458" s="6">
        <v>1456</v>
      </c>
      <c r="B1458" s="6" t="str">
        <f>"2728202011251738092181"</f>
        <v>2728202011251738092181</v>
      </c>
      <c r="C1458" s="6" t="s">
        <v>7</v>
      </c>
      <c r="D1458" s="6" t="str">
        <f>"万琦"</f>
        <v>万琦</v>
      </c>
      <c r="E1458" s="6" t="str">
        <f>"1990-05-04"</f>
        <v>1990-05-04</v>
      </c>
      <c r="F1458" s="6"/>
    </row>
    <row r="1459" spans="1:6" ht="30" customHeight="1">
      <c r="A1459" s="6">
        <v>1457</v>
      </c>
      <c r="B1459" s="6" t="str">
        <f>"2728202011251738102182"</f>
        <v>2728202011251738102182</v>
      </c>
      <c r="C1459" s="6" t="s">
        <v>7</v>
      </c>
      <c r="D1459" s="6" t="str">
        <f>"李美婷"</f>
        <v>李美婷</v>
      </c>
      <c r="E1459" s="6" t="str">
        <f>"1997-01-23"</f>
        <v>1997-01-23</v>
      </c>
      <c r="F1459" s="6"/>
    </row>
    <row r="1460" spans="1:6" ht="30" customHeight="1">
      <c r="A1460" s="6">
        <v>1458</v>
      </c>
      <c r="B1460" s="6" t="str">
        <f>"2728202011251744342186"</f>
        <v>2728202011251744342186</v>
      </c>
      <c r="C1460" s="6" t="s">
        <v>7</v>
      </c>
      <c r="D1460" s="6" t="str">
        <f>"赵逸群"</f>
        <v>赵逸群</v>
      </c>
      <c r="E1460" s="6" t="str">
        <f>"1993-03-19"</f>
        <v>1993-03-19</v>
      </c>
      <c r="F1460" s="6"/>
    </row>
    <row r="1461" spans="1:6" ht="30" customHeight="1">
      <c r="A1461" s="6">
        <v>1459</v>
      </c>
      <c r="B1461" s="6" t="str">
        <f>"2728202011251748252187"</f>
        <v>2728202011251748252187</v>
      </c>
      <c r="C1461" s="6" t="s">
        <v>7</v>
      </c>
      <c r="D1461" s="6" t="str">
        <f>"曾小柳"</f>
        <v>曾小柳</v>
      </c>
      <c r="E1461" s="6" t="str">
        <f>"1996-12-25"</f>
        <v>1996-12-25</v>
      </c>
      <c r="F1461" s="6"/>
    </row>
    <row r="1462" spans="1:6" ht="30" customHeight="1">
      <c r="A1462" s="6">
        <v>1460</v>
      </c>
      <c r="B1462" s="6" t="str">
        <f>"2728202011251752422188"</f>
        <v>2728202011251752422188</v>
      </c>
      <c r="C1462" s="6" t="s">
        <v>7</v>
      </c>
      <c r="D1462" s="6" t="str">
        <f>"苏考"</f>
        <v>苏考</v>
      </c>
      <c r="E1462" s="6" t="str">
        <f>"1996-03-04"</f>
        <v>1996-03-04</v>
      </c>
      <c r="F1462" s="6"/>
    </row>
    <row r="1463" spans="1:6" ht="30" customHeight="1">
      <c r="A1463" s="6">
        <v>1461</v>
      </c>
      <c r="B1463" s="6" t="str">
        <f>"2728202011251753282190"</f>
        <v>2728202011251753282190</v>
      </c>
      <c r="C1463" s="6" t="s">
        <v>7</v>
      </c>
      <c r="D1463" s="6" t="str">
        <f>"符绪伟"</f>
        <v>符绪伟</v>
      </c>
      <c r="E1463" s="6" t="str">
        <f>"1998-09-01"</f>
        <v>1998-09-01</v>
      </c>
      <c r="F1463" s="6"/>
    </row>
    <row r="1464" spans="1:6" ht="30" customHeight="1">
      <c r="A1464" s="6">
        <v>1462</v>
      </c>
      <c r="B1464" s="6" t="str">
        <f>"2728202011251756392191"</f>
        <v>2728202011251756392191</v>
      </c>
      <c r="C1464" s="6" t="s">
        <v>7</v>
      </c>
      <c r="D1464" s="6" t="str">
        <f>"黎丽文"</f>
        <v>黎丽文</v>
      </c>
      <c r="E1464" s="6" t="str">
        <f>"1995-04-05"</f>
        <v>1995-04-05</v>
      </c>
      <c r="F1464" s="6"/>
    </row>
    <row r="1465" spans="1:6" ht="30" customHeight="1">
      <c r="A1465" s="6">
        <v>1463</v>
      </c>
      <c r="B1465" s="6" t="str">
        <f>"2728202011251759272193"</f>
        <v>2728202011251759272193</v>
      </c>
      <c r="C1465" s="6" t="s">
        <v>7</v>
      </c>
      <c r="D1465" s="6" t="str">
        <f>"胡展华"</f>
        <v>胡展华</v>
      </c>
      <c r="E1465" s="6" t="str">
        <f>"1997-03-28"</f>
        <v>1997-03-28</v>
      </c>
      <c r="F1465" s="6"/>
    </row>
    <row r="1466" spans="1:6" ht="30" customHeight="1">
      <c r="A1466" s="6">
        <v>1464</v>
      </c>
      <c r="B1466" s="6" t="str">
        <f>"2728202011251808342194"</f>
        <v>2728202011251808342194</v>
      </c>
      <c r="C1466" s="6" t="s">
        <v>7</v>
      </c>
      <c r="D1466" s="6" t="str">
        <f>"周潇宇"</f>
        <v>周潇宇</v>
      </c>
      <c r="E1466" s="6" t="str">
        <f>"1997-04-29"</f>
        <v>1997-04-29</v>
      </c>
      <c r="F1466" s="6"/>
    </row>
    <row r="1467" spans="1:6" ht="30" customHeight="1">
      <c r="A1467" s="6">
        <v>1465</v>
      </c>
      <c r="B1467" s="6" t="str">
        <f>"2728202011251817392198"</f>
        <v>2728202011251817392198</v>
      </c>
      <c r="C1467" s="6" t="s">
        <v>7</v>
      </c>
      <c r="D1467" s="6" t="str">
        <f>"王琴"</f>
        <v>王琴</v>
      </c>
      <c r="E1467" s="6" t="str">
        <f>"1993-10-25"</f>
        <v>1993-10-25</v>
      </c>
      <c r="F1467" s="6"/>
    </row>
    <row r="1468" spans="1:6" ht="30" customHeight="1">
      <c r="A1468" s="6">
        <v>1466</v>
      </c>
      <c r="B1468" s="6" t="str">
        <f>"2728202011251831522200"</f>
        <v>2728202011251831522200</v>
      </c>
      <c r="C1468" s="6" t="s">
        <v>7</v>
      </c>
      <c r="D1468" s="6" t="str">
        <f>"曹明月"</f>
        <v>曹明月</v>
      </c>
      <c r="E1468" s="6" t="str">
        <f>"1989-01-12"</f>
        <v>1989-01-12</v>
      </c>
      <c r="F1468" s="6"/>
    </row>
    <row r="1469" spans="1:6" ht="30" customHeight="1">
      <c r="A1469" s="6">
        <v>1467</v>
      </c>
      <c r="B1469" s="6" t="str">
        <f>"2728202011251833512201"</f>
        <v>2728202011251833512201</v>
      </c>
      <c r="C1469" s="6" t="s">
        <v>7</v>
      </c>
      <c r="D1469" s="6" t="str">
        <f>"郑小正"</f>
        <v>郑小正</v>
      </c>
      <c r="E1469" s="6" t="str">
        <f>"1991-01-05"</f>
        <v>1991-01-05</v>
      </c>
      <c r="F1469" s="6"/>
    </row>
    <row r="1470" spans="1:6" ht="30" customHeight="1">
      <c r="A1470" s="6">
        <v>1468</v>
      </c>
      <c r="B1470" s="6" t="str">
        <f>"2728202011251841332203"</f>
        <v>2728202011251841332203</v>
      </c>
      <c r="C1470" s="6" t="s">
        <v>7</v>
      </c>
      <c r="D1470" s="6" t="str">
        <f>"吴秋青"</f>
        <v>吴秋青</v>
      </c>
      <c r="E1470" s="6" t="str">
        <f>"1985-07-15"</f>
        <v>1985-07-15</v>
      </c>
      <c r="F1470" s="6"/>
    </row>
    <row r="1471" spans="1:6" ht="30" customHeight="1">
      <c r="A1471" s="6">
        <v>1469</v>
      </c>
      <c r="B1471" s="6" t="str">
        <f>"2728202011251844132204"</f>
        <v>2728202011251844132204</v>
      </c>
      <c r="C1471" s="6" t="s">
        <v>7</v>
      </c>
      <c r="D1471" s="6" t="str">
        <f>"陈林"</f>
        <v>陈林</v>
      </c>
      <c r="E1471" s="6" t="str">
        <f>"1995-11-07"</f>
        <v>1995-11-07</v>
      </c>
      <c r="F1471" s="6"/>
    </row>
    <row r="1472" spans="1:6" ht="30" customHeight="1">
      <c r="A1472" s="6">
        <v>1470</v>
      </c>
      <c r="B1472" s="6" t="str">
        <f>"2728202011251853592206"</f>
        <v>2728202011251853592206</v>
      </c>
      <c r="C1472" s="6" t="s">
        <v>7</v>
      </c>
      <c r="D1472" s="6" t="str">
        <f>"蔡乐"</f>
        <v>蔡乐</v>
      </c>
      <c r="E1472" s="6" t="str">
        <f>"1996-02-07"</f>
        <v>1996-02-07</v>
      </c>
      <c r="F1472" s="6"/>
    </row>
    <row r="1473" spans="1:6" ht="30" customHeight="1">
      <c r="A1473" s="6">
        <v>1471</v>
      </c>
      <c r="B1473" s="6" t="str">
        <f>"2728202011251857152209"</f>
        <v>2728202011251857152209</v>
      </c>
      <c r="C1473" s="6" t="s">
        <v>7</v>
      </c>
      <c r="D1473" s="6" t="str">
        <f>"符武胄"</f>
        <v>符武胄</v>
      </c>
      <c r="E1473" s="6" t="str">
        <f>"2000-12-17"</f>
        <v>2000-12-17</v>
      </c>
      <c r="F1473" s="6"/>
    </row>
    <row r="1474" spans="1:6" ht="30" customHeight="1">
      <c r="A1474" s="6">
        <v>1472</v>
      </c>
      <c r="B1474" s="6" t="str">
        <f>"2728202011251901152211"</f>
        <v>2728202011251901152211</v>
      </c>
      <c r="C1474" s="6" t="s">
        <v>7</v>
      </c>
      <c r="D1474" s="6" t="str">
        <f>"张强"</f>
        <v>张强</v>
      </c>
      <c r="E1474" s="6" t="str">
        <f>"1993-04-07"</f>
        <v>1993-04-07</v>
      </c>
      <c r="F1474" s="6"/>
    </row>
    <row r="1475" spans="1:6" ht="30" customHeight="1">
      <c r="A1475" s="6">
        <v>1473</v>
      </c>
      <c r="B1475" s="6" t="str">
        <f>"2728202011251914172216"</f>
        <v>2728202011251914172216</v>
      </c>
      <c r="C1475" s="6" t="s">
        <v>7</v>
      </c>
      <c r="D1475" s="6" t="str">
        <f>"高元瑞"</f>
        <v>高元瑞</v>
      </c>
      <c r="E1475" s="6" t="str">
        <f>"1997-10-07"</f>
        <v>1997-10-07</v>
      </c>
      <c r="F1475" s="6"/>
    </row>
    <row r="1476" spans="1:6" ht="30" customHeight="1">
      <c r="A1476" s="6">
        <v>1474</v>
      </c>
      <c r="B1476" s="6" t="str">
        <f>"2728202011251916552218"</f>
        <v>2728202011251916552218</v>
      </c>
      <c r="C1476" s="6" t="s">
        <v>7</v>
      </c>
      <c r="D1476" s="6" t="str">
        <f>"文哲"</f>
        <v>文哲</v>
      </c>
      <c r="E1476" s="6" t="str">
        <f>"1995-10-31"</f>
        <v>1995-10-31</v>
      </c>
      <c r="F1476" s="6"/>
    </row>
    <row r="1477" spans="1:6" ht="30" customHeight="1">
      <c r="A1477" s="6">
        <v>1475</v>
      </c>
      <c r="B1477" s="6" t="str">
        <f>"2728202011251922232220"</f>
        <v>2728202011251922232220</v>
      </c>
      <c r="C1477" s="6" t="s">
        <v>7</v>
      </c>
      <c r="D1477" s="6" t="str">
        <f>"曾学香"</f>
        <v>曾学香</v>
      </c>
      <c r="E1477" s="6" t="str">
        <f>"1992-10-05"</f>
        <v>1992-10-05</v>
      </c>
      <c r="F1477" s="6"/>
    </row>
    <row r="1478" spans="1:6" ht="30" customHeight="1">
      <c r="A1478" s="6">
        <v>1476</v>
      </c>
      <c r="B1478" s="6" t="str">
        <f>"2728202011251923452221"</f>
        <v>2728202011251923452221</v>
      </c>
      <c r="C1478" s="6" t="s">
        <v>7</v>
      </c>
      <c r="D1478" s="6" t="str">
        <f>"肖志爱"</f>
        <v>肖志爱</v>
      </c>
      <c r="E1478" s="6" t="str">
        <f>"1992-12-21"</f>
        <v>1992-12-21</v>
      </c>
      <c r="F1478" s="6"/>
    </row>
    <row r="1479" spans="1:6" ht="30" customHeight="1">
      <c r="A1479" s="6">
        <v>1477</v>
      </c>
      <c r="B1479" s="6" t="str">
        <f>"2728202011251925422223"</f>
        <v>2728202011251925422223</v>
      </c>
      <c r="C1479" s="6" t="s">
        <v>7</v>
      </c>
      <c r="D1479" s="6" t="str">
        <f>"邢增榜"</f>
        <v>邢增榜</v>
      </c>
      <c r="E1479" s="6" t="str">
        <f>"1996-09-29"</f>
        <v>1996-09-29</v>
      </c>
      <c r="F1479" s="6"/>
    </row>
    <row r="1480" spans="1:6" ht="30" customHeight="1">
      <c r="A1480" s="6">
        <v>1478</v>
      </c>
      <c r="B1480" s="6" t="str">
        <f>"2728202011251927272224"</f>
        <v>2728202011251927272224</v>
      </c>
      <c r="C1480" s="6" t="s">
        <v>7</v>
      </c>
      <c r="D1480" s="6" t="str">
        <f>"蓝金岛"</f>
        <v>蓝金岛</v>
      </c>
      <c r="E1480" s="6" t="str">
        <f>"1995-12-05"</f>
        <v>1995-12-05</v>
      </c>
      <c r="F1480" s="6"/>
    </row>
    <row r="1481" spans="1:6" ht="30" customHeight="1">
      <c r="A1481" s="6">
        <v>1479</v>
      </c>
      <c r="B1481" s="6" t="str">
        <f>"2728202011251929002226"</f>
        <v>2728202011251929002226</v>
      </c>
      <c r="C1481" s="6" t="s">
        <v>7</v>
      </c>
      <c r="D1481" s="6" t="str">
        <f>"王子芯"</f>
        <v>王子芯</v>
      </c>
      <c r="E1481" s="6" t="str">
        <f>"1992-10-14"</f>
        <v>1992-10-14</v>
      </c>
      <c r="F1481" s="6"/>
    </row>
    <row r="1482" spans="1:6" ht="30" customHeight="1">
      <c r="A1482" s="6">
        <v>1480</v>
      </c>
      <c r="B1482" s="6" t="str">
        <f>"2728202011251929162227"</f>
        <v>2728202011251929162227</v>
      </c>
      <c r="C1482" s="6" t="s">
        <v>7</v>
      </c>
      <c r="D1482" s="6" t="str">
        <f>"洪芳玲"</f>
        <v>洪芳玲</v>
      </c>
      <c r="E1482" s="6" t="str">
        <f>"1998-03-16"</f>
        <v>1998-03-16</v>
      </c>
      <c r="F1482" s="6"/>
    </row>
    <row r="1483" spans="1:6" ht="30" customHeight="1">
      <c r="A1483" s="6">
        <v>1481</v>
      </c>
      <c r="B1483" s="6" t="str">
        <f>"2728202011251944242231"</f>
        <v>2728202011251944242231</v>
      </c>
      <c r="C1483" s="6" t="s">
        <v>7</v>
      </c>
      <c r="D1483" s="6" t="str">
        <f>"任海滔"</f>
        <v>任海滔</v>
      </c>
      <c r="E1483" s="6" t="str">
        <f>"1989-11-15"</f>
        <v>1989-11-15</v>
      </c>
      <c r="F1483" s="6"/>
    </row>
    <row r="1484" spans="1:6" ht="30" customHeight="1">
      <c r="A1484" s="6">
        <v>1482</v>
      </c>
      <c r="B1484" s="6" t="str">
        <f>"2728202011251958062234"</f>
        <v>2728202011251958062234</v>
      </c>
      <c r="C1484" s="6" t="s">
        <v>7</v>
      </c>
      <c r="D1484" s="6" t="str">
        <f>"符凯"</f>
        <v>符凯</v>
      </c>
      <c r="E1484" s="6" t="str">
        <f>"1988-11-23"</f>
        <v>1988-11-23</v>
      </c>
      <c r="F1484" s="6"/>
    </row>
    <row r="1485" spans="1:6" ht="30" customHeight="1">
      <c r="A1485" s="6">
        <v>1483</v>
      </c>
      <c r="B1485" s="6" t="str">
        <f>"2728202011252002032235"</f>
        <v>2728202011252002032235</v>
      </c>
      <c r="C1485" s="6" t="s">
        <v>7</v>
      </c>
      <c r="D1485" s="6" t="str">
        <f>"符佳宽"</f>
        <v>符佳宽</v>
      </c>
      <c r="E1485" s="6" t="str">
        <f>"1993-05-15"</f>
        <v>1993-05-15</v>
      </c>
      <c r="F1485" s="6"/>
    </row>
    <row r="1486" spans="1:6" ht="30" customHeight="1">
      <c r="A1486" s="6">
        <v>1484</v>
      </c>
      <c r="B1486" s="6" t="str">
        <f>"2728202011252003322236"</f>
        <v>2728202011252003322236</v>
      </c>
      <c r="C1486" s="6" t="s">
        <v>7</v>
      </c>
      <c r="D1486" s="6" t="str">
        <f>"骆晓亮"</f>
        <v>骆晓亮</v>
      </c>
      <c r="E1486" s="6" t="str">
        <f>"1993-11-19"</f>
        <v>1993-11-19</v>
      </c>
      <c r="F1486" s="6"/>
    </row>
    <row r="1487" spans="1:6" ht="30" customHeight="1">
      <c r="A1487" s="6">
        <v>1485</v>
      </c>
      <c r="B1487" s="6" t="str">
        <f>"2728202011252005152237"</f>
        <v>2728202011252005152237</v>
      </c>
      <c r="C1487" s="6" t="s">
        <v>7</v>
      </c>
      <c r="D1487" s="6" t="str">
        <f>"纪翠婷"</f>
        <v>纪翠婷</v>
      </c>
      <c r="E1487" s="6" t="str">
        <f>"1998-12-05"</f>
        <v>1998-12-05</v>
      </c>
      <c r="F1487" s="6"/>
    </row>
    <row r="1488" spans="1:6" ht="30" customHeight="1">
      <c r="A1488" s="6">
        <v>1486</v>
      </c>
      <c r="B1488" s="6" t="str">
        <f>"2728202011252006092239"</f>
        <v>2728202011252006092239</v>
      </c>
      <c r="C1488" s="6" t="s">
        <v>7</v>
      </c>
      <c r="D1488" s="6" t="str">
        <f>"潘美颖"</f>
        <v>潘美颖</v>
      </c>
      <c r="E1488" s="6" t="str">
        <f>"1993-09-12"</f>
        <v>1993-09-12</v>
      </c>
      <c r="F1488" s="6"/>
    </row>
    <row r="1489" spans="1:6" ht="30" customHeight="1">
      <c r="A1489" s="6">
        <v>1487</v>
      </c>
      <c r="B1489" s="6" t="str">
        <f>"2728202011252008332240"</f>
        <v>2728202011252008332240</v>
      </c>
      <c r="C1489" s="6" t="s">
        <v>7</v>
      </c>
      <c r="D1489" s="6" t="str">
        <f>"符丽平"</f>
        <v>符丽平</v>
      </c>
      <c r="E1489" s="6" t="str">
        <f>"1986-10-15"</f>
        <v>1986-10-15</v>
      </c>
      <c r="F1489" s="6"/>
    </row>
    <row r="1490" spans="1:6" ht="30" customHeight="1">
      <c r="A1490" s="6">
        <v>1488</v>
      </c>
      <c r="B1490" s="6" t="str">
        <f>"2728202011252015232241"</f>
        <v>2728202011252015232241</v>
      </c>
      <c r="C1490" s="6" t="s">
        <v>7</v>
      </c>
      <c r="D1490" s="6" t="str">
        <f>"张碧娜"</f>
        <v>张碧娜</v>
      </c>
      <c r="E1490" s="6" t="str">
        <f>"1992-07-27"</f>
        <v>1992-07-27</v>
      </c>
      <c r="F1490" s="6"/>
    </row>
    <row r="1491" spans="1:6" ht="30" customHeight="1">
      <c r="A1491" s="6">
        <v>1489</v>
      </c>
      <c r="B1491" s="6" t="str">
        <f>"2728202011252018552243"</f>
        <v>2728202011252018552243</v>
      </c>
      <c r="C1491" s="6" t="s">
        <v>7</v>
      </c>
      <c r="D1491" s="6" t="str">
        <f>"岑娜"</f>
        <v>岑娜</v>
      </c>
      <c r="E1491" s="6" t="str">
        <f>"1994-09-03"</f>
        <v>1994-09-03</v>
      </c>
      <c r="F1491" s="6"/>
    </row>
    <row r="1492" spans="1:6" ht="30" customHeight="1">
      <c r="A1492" s="6">
        <v>1490</v>
      </c>
      <c r="B1492" s="6" t="str">
        <f>"2728202011252021312245"</f>
        <v>2728202011252021312245</v>
      </c>
      <c r="C1492" s="6" t="s">
        <v>7</v>
      </c>
      <c r="D1492" s="6" t="str">
        <f>"高一波"</f>
        <v>高一波</v>
      </c>
      <c r="E1492" s="6" t="str">
        <f>"1997-07-22"</f>
        <v>1997-07-22</v>
      </c>
      <c r="F1492" s="6"/>
    </row>
    <row r="1493" spans="1:6" ht="30" customHeight="1">
      <c r="A1493" s="6">
        <v>1491</v>
      </c>
      <c r="B1493" s="6" t="str">
        <f>"2728202011252021552246"</f>
        <v>2728202011252021552246</v>
      </c>
      <c r="C1493" s="6" t="s">
        <v>7</v>
      </c>
      <c r="D1493" s="6" t="str">
        <f>"李佳烨"</f>
        <v>李佳烨</v>
      </c>
      <c r="E1493" s="6" t="str">
        <f>"1997-12-27"</f>
        <v>1997-12-27</v>
      </c>
      <c r="F1493" s="6"/>
    </row>
    <row r="1494" spans="1:6" ht="30" customHeight="1">
      <c r="A1494" s="6">
        <v>1492</v>
      </c>
      <c r="B1494" s="6" t="str">
        <f>"2728202011252026242247"</f>
        <v>2728202011252026242247</v>
      </c>
      <c r="C1494" s="6" t="s">
        <v>7</v>
      </c>
      <c r="D1494" s="6" t="str">
        <f>"陈彩凤"</f>
        <v>陈彩凤</v>
      </c>
      <c r="E1494" s="6" t="str">
        <f>"1995-09-05"</f>
        <v>1995-09-05</v>
      </c>
      <c r="F1494" s="6"/>
    </row>
    <row r="1495" spans="1:6" ht="30" customHeight="1">
      <c r="A1495" s="6">
        <v>1493</v>
      </c>
      <c r="B1495" s="6" t="str">
        <f>"2728202011252035532248"</f>
        <v>2728202011252035532248</v>
      </c>
      <c r="C1495" s="6" t="s">
        <v>7</v>
      </c>
      <c r="D1495" s="6" t="str">
        <f>"陈家豪"</f>
        <v>陈家豪</v>
      </c>
      <c r="E1495" s="6" t="str">
        <f>"1994-10-18"</f>
        <v>1994-10-18</v>
      </c>
      <c r="F1495" s="6"/>
    </row>
    <row r="1496" spans="1:6" ht="30" customHeight="1">
      <c r="A1496" s="6">
        <v>1494</v>
      </c>
      <c r="B1496" s="6" t="str">
        <f>"2728202011252038582249"</f>
        <v>2728202011252038582249</v>
      </c>
      <c r="C1496" s="6" t="s">
        <v>7</v>
      </c>
      <c r="D1496" s="6" t="str">
        <f>"蔡鲷钰"</f>
        <v>蔡鲷钰</v>
      </c>
      <c r="E1496" s="6" t="str">
        <f>"1997-03-12"</f>
        <v>1997-03-12</v>
      </c>
      <c r="F1496" s="6"/>
    </row>
    <row r="1497" spans="1:6" ht="30" customHeight="1">
      <c r="A1497" s="6">
        <v>1495</v>
      </c>
      <c r="B1497" s="6" t="str">
        <f>"2728202011252039392250"</f>
        <v>2728202011252039392250</v>
      </c>
      <c r="C1497" s="6" t="s">
        <v>7</v>
      </c>
      <c r="D1497" s="6" t="str">
        <f>"林上妹"</f>
        <v>林上妹</v>
      </c>
      <c r="E1497" s="6" t="str">
        <f>"1994-02-28"</f>
        <v>1994-02-28</v>
      </c>
      <c r="F1497" s="6"/>
    </row>
    <row r="1498" spans="1:6" ht="30" customHeight="1">
      <c r="A1498" s="6">
        <v>1496</v>
      </c>
      <c r="B1498" s="6" t="str">
        <f>"2728202011252040422251"</f>
        <v>2728202011252040422251</v>
      </c>
      <c r="C1498" s="6" t="s">
        <v>7</v>
      </c>
      <c r="D1498" s="6" t="str">
        <f>"林强"</f>
        <v>林强</v>
      </c>
      <c r="E1498" s="6" t="str">
        <f>"1998-04-02"</f>
        <v>1998-04-02</v>
      </c>
      <c r="F1498" s="6"/>
    </row>
    <row r="1499" spans="1:6" ht="30" customHeight="1">
      <c r="A1499" s="6">
        <v>1497</v>
      </c>
      <c r="B1499" s="6" t="str">
        <f>"2728202011252041582252"</f>
        <v>2728202011252041582252</v>
      </c>
      <c r="C1499" s="6" t="s">
        <v>7</v>
      </c>
      <c r="D1499" s="6" t="str">
        <f>"苏隆靖"</f>
        <v>苏隆靖</v>
      </c>
      <c r="E1499" s="6" t="str">
        <f>"1990-09-25"</f>
        <v>1990-09-25</v>
      </c>
      <c r="F1499" s="6"/>
    </row>
    <row r="1500" spans="1:6" ht="30" customHeight="1">
      <c r="A1500" s="6">
        <v>1498</v>
      </c>
      <c r="B1500" s="6" t="str">
        <f>"2728202011252044192253"</f>
        <v>2728202011252044192253</v>
      </c>
      <c r="C1500" s="6" t="s">
        <v>7</v>
      </c>
      <c r="D1500" s="6" t="str">
        <f>"麦紫华"</f>
        <v>麦紫华</v>
      </c>
      <c r="E1500" s="6" t="str">
        <f>"1998-05-01"</f>
        <v>1998-05-01</v>
      </c>
      <c r="F1500" s="6"/>
    </row>
    <row r="1501" spans="1:6" ht="30" customHeight="1">
      <c r="A1501" s="6">
        <v>1499</v>
      </c>
      <c r="B1501" s="6" t="str">
        <f>"2728202011252050432254"</f>
        <v>2728202011252050432254</v>
      </c>
      <c r="C1501" s="6" t="s">
        <v>7</v>
      </c>
      <c r="D1501" s="6" t="str">
        <f>"符式峰"</f>
        <v>符式峰</v>
      </c>
      <c r="E1501" s="6" t="str">
        <f>"1994-08-18"</f>
        <v>1994-08-18</v>
      </c>
      <c r="F1501" s="6"/>
    </row>
    <row r="1502" spans="1:6" ht="30" customHeight="1">
      <c r="A1502" s="6">
        <v>1500</v>
      </c>
      <c r="B1502" s="6" t="str">
        <f>"2728202011252054552255"</f>
        <v>2728202011252054552255</v>
      </c>
      <c r="C1502" s="6" t="s">
        <v>7</v>
      </c>
      <c r="D1502" s="6" t="str">
        <f>"黄起颖"</f>
        <v>黄起颖</v>
      </c>
      <c r="E1502" s="6" t="str">
        <f>"1996-03-17"</f>
        <v>1996-03-17</v>
      </c>
      <c r="F1502" s="6"/>
    </row>
    <row r="1503" spans="1:6" ht="30" customHeight="1">
      <c r="A1503" s="6">
        <v>1501</v>
      </c>
      <c r="B1503" s="6" t="str">
        <f>"2728202011252102162258"</f>
        <v>2728202011252102162258</v>
      </c>
      <c r="C1503" s="6" t="s">
        <v>7</v>
      </c>
      <c r="D1503" s="6" t="str">
        <f>"陈玉婷"</f>
        <v>陈玉婷</v>
      </c>
      <c r="E1503" s="6" t="str">
        <f>"1996-08-08"</f>
        <v>1996-08-08</v>
      </c>
      <c r="F1503" s="6"/>
    </row>
    <row r="1504" spans="1:6" ht="30" customHeight="1">
      <c r="A1504" s="6">
        <v>1502</v>
      </c>
      <c r="B1504" s="6" t="str">
        <f>"2728202011252105292259"</f>
        <v>2728202011252105292259</v>
      </c>
      <c r="C1504" s="6" t="s">
        <v>7</v>
      </c>
      <c r="D1504" s="6" t="str">
        <f>"潘丽"</f>
        <v>潘丽</v>
      </c>
      <c r="E1504" s="6" t="str">
        <f>"1997-07-10"</f>
        <v>1997-07-10</v>
      </c>
      <c r="F1504" s="6"/>
    </row>
    <row r="1505" spans="1:6" ht="30" customHeight="1">
      <c r="A1505" s="6">
        <v>1503</v>
      </c>
      <c r="B1505" s="6" t="str">
        <f>"2728202011252106292260"</f>
        <v>2728202011252106292260</v>
      </c>
      <c r="C1505" s="6" t="s">
        <v>7</v>
      </c>
      <c r="D1505" s="6" t="str">
        <f>"蔡山泉"</f>
        <v>蔡山泉</v>
      </c>
      <c r="E1505" s="6" t="str">
        <f>"1993-11-05"</f>
        <v>1993-11-05</v>
      </c>
      <c r="F1505" s="6"/>
    </row>
    <row r="1506" spans="1:6" ht="30" customHeight="1">
      <c r="A1506" s="6">
        <v>1504</v>
      </c>
      <c r="B1506" s="6" t="str">
        <f>"2728202011252110312262"</f>
        <v>2728202011252110312262</v>
      </c>
      <c r="C1506" s="6" t="s">
        <v>7</v>
      </c>
      <c r="D1506" s="6" t="str">
        <f>"黄伟"</f>
        <v>黄伟</v>
      </c>
      <c r="E1506" s="6" t="str">
        <f>"1987-08-19"</f>
        <v>1987-08-19</v>
      </c>
      <c r="F1506" s="6"/>
    </row>
    <row r="1507" spans="1:6" ht="30" customHeight="1">
      <c r="A1507" s="6">
        <v>1505</v>
      </c>
      <c r="B1507" s="6" t="str">
        <f>"2728202011252111482263"</f>
        <v>2728202011252111482263</v>
      </c>
      <c r="C1507" s="6" t="s">
        <v>7</v>
      </c>
      <c r="D1507" s="6" t="str">
        <f>"周凯"</f>
        <v>周凯</v>
      </c>
      <c r="E1507" s="6" t="str">
        <f>"1995-09-01"</f>
        <v>1995-09-01</v>
      </c>
      <c r="F1507" s="6"/>
    </row>
    <row r="1508" spans="1:6" ht="30" customHeight="1">
      <c r="A1508" s="6">
        <v>1506</v>
      </c>
      <c r="B1508" s="6" t="str">
        <f>"2728202011252113392264"</f>
        <v>2728202011252113392264</v>
      </c>
      <c r="C1508" s="6" t="s">
        <v>7</v>
      </c>
      <c r="D1508" s="6" t="str">
        <f>"王增朝"</f>
        <v>王增朝</v>
      </c>
      <c r="E1508" s="6" t="str">
        <f>"1992-04-12"</f>
        <v>1992-04-12</v>
      </c>
      <c r="F1508" s="6"/>
    </row>
    <row r="1509" spans="1:6" ht="30" customHeight="1">
      <c r="A1509" s="6">
        <v>1507</v>
      </c>
      <c r="B1509" s="6" t="str">
        <f>"2728202011252118052267"</f>
        <v>2728202011252118052267</v>
      </c>
      <c r="C1509" s="6" t="s">
        <v>7</v>
      </c>
      <c r="D1509" s="6" t="str">
        <f>"翁莉丽"</f>
        <v>翁莉丽</v>
      </c>
      <c r="E1509" s="6" t="str">
        <f>"1997-10-26"</f>
        <v>1997-10-26</v>
      </c>
      <c r="F1509" s="6"/>
    </row>
    <row r="1510" spans="1:6" ht="30" customHeight="1">
      <c r="A1510" s="6">
        <v>1508</v>
      </c>
      <c r="B1510" s="6" t="str">
        <f>"2728202011252120422269"</f>
        <v>2728202011252120422269</v>
      </c>
      <c r="C1510" s="6" t="s">
        <v>7</v>
      </c>
      <c r="D1510" s="6" t="str">
        <f>"赖雅馨"</f>
        <v>赖雅馨</v>
      </c>
      <c r="E1510" s="6" t="str">
        <f>"1997-10-11"</f>
        <v>1997-10-11</v>
      </c>
      <c r="F1510" s="6"/>
    </row>
    <row r="1511" spans="1:6" ht="30" customHeight="1">
      <c r="A1511" s="6">
        <v>1509</v>
      </c>
      <c r="B1511" s="6" t="str">
        <f>"2728202011252132262274"</f>
        <v>2728202011252132262274</v>
      </c>
      <c r="C1511" s="6" t="s">
        <v>7</v>
      </c>
      <c r="D1511" s="6" t="str">
        <f>"张晓鹏"</f>
        <v>张晓鹏</v>
      </c>
      <c r="E1511" s="6" t="str">
        <f>"1986-11-07"</f>
        <v>1986-11-07</v>
      </c>
      <c r="F1511" s="6"/>
    </row>
    <row r="1512" spans="1:6" ht="30" customHeight="1">
      <c r="A1512" s="6">
        <v>1510</v>
      </c>
      <c r="B1512" s="6" t="str">
        <f>"2728202011252133222275"</f>
        <v>2728202011252133222275</v>
      </c>
      <c r="C1512" s="6" t="s">
        <v>7</v>
      </c>
      <c r="D1512" s="6" t="str">
        <f>"蒲祉辛"</f>
        <v>蒲祉辛</v>
      </c>
      <c r="E1512" s="6" t="str">
        <f>"1998-06-01"</f>
        <v>1998-06-01</v>
      </c>
      <c r="F1512" s="6"/>
    </row>
    <row r="1513" spans="1:6" ht="30" customHeight="1">
      <c r="A1513" s="6">
        <v>1511</v>
      </c>
      <c r="B1513" s="6" t="str">
        <f>"2728202011252135052276"</f>
        <v>2728202011252135052276</v>
      </c>
      <c r="C1513" s="6" t="s">
        <v>7</v>
      </c>
      <c r="D1513" s="6" t="str">
        <f>"张光芬"</f>
        <v>张光芬</v>
      </c>
      <c r="E1513" s="6" t="str">
        <f>"1994-03-14"</f>
        <v>1994-03-14</v>
      </c>
      <c r="F1513" s="6"/>
    </row>
    <row r="1514" spans="1:6" ht="30" customHeight="1">
      <c r="A1514" s="6">
        <v>1512</v>
      </c>
      <c r="B1514" s="6" t="str">
        <f>"2728202011252142492280"</f>
        <v>2728202011252142492280</v>
      </c>
      <c r="C1514" s="6" t="s">
        <v>7</v>
      </c>
      <c r="D1514" s="6" t="str">
        <f>"文妍妍"</f>
        <v>文妍妍</v>
      </c>
      <c r="E1514" s="6" t="str">
        <f>"1997-01-12"</f>
        <v>1997-01-12</v>
      </c>
      <c r="F1514" s="6"/>
    </row>
    <row r="1515" spans="1:6" ht="30" customHeight="1">
      <c r="A1515" s="6">
        <v>1513</v>
      </c>
      <c r="B1515" s="6" t="str">
        <f>"2728202011252143472281"</f>
        <v>2728202011252143472281</v>
      </c>
      <c r="C1515" s="6" t="s">
        <v>7</v>
      </c>
      <c r="D1515" s="6" t="str">
        <f>"高上华"</f>
        <v>高上华</v>
      </c>
      <c r="E1515" s="6" t="str">
        <f>"1987-11-18"</f>
        <v>1987-11-18</v>
      </c>
      <c r="F1515" s="6"/>
    </row>
    <row r="1516" spans="1:6" ht="30" customHeight="1">
      <c r="A1516" s="6">
        <v>1514</v>
      </c>
      <c r="B1516" s="6" t="str">
        <f>"2728202011252147122282"</f>
        <v>2728202011252147122282</v>
      </c>
      <c r="C1516" s="6" t="s">
        <v>7</v>
      </c>
      <c r="D1516" s="6" t="str">
        <f>"张仁杰"</f>
        <v>张仁杰</v>
      </c>
      <c r="E1516" s="6" t="str">
        <f>"1992-04-07"</f>
        <v>1992-04-07</v>
      </c>
      <c r="F1516" s="6"/>
    </row>
    <row r="1517" spans="1:6" ht="30" customHeight="1">
      <c r="A1517" s="6">
        <v>1515</v>
      </c>
      <c r="B1517" s="6" t="str">
        <f>"2728202011252148362283"</f>
        <v>2728202011252148362283</v>
      </c>
      <c r="C1517" s="6" t="s">
        <v>7</v>
      </c>
      <c r="D1517" s="6" t="str">
        <f>"王彩霞"</f>
        <v>王彩霞</v>
      </c>
      <c r="E1517" s="6" t="str">
        <f>"1996-04-26"</f>
        <v>1996-04-26</v>
      </c>
      <c r="F1517" s="6"/>
    </row>
    <row r="1518" spans="1:6" ht="30" customHeight="1">
      <c r="A1518" s="6">
        <v>1516</v>
      </c>
      <c r="B1518" s="6" t="str">
        <f>"2728202011252149542284"</f>
        <v>2728202011252149542284</v>
      </c>
      <c r="C1518" s="6" t="s">
        <v>7</v>
      </c>
      <c r="D1518" s="6" t="str">
        <f>"孙贻文"</f>
        <v>孙贻文</v>
      </c>
      <c r="E1518" s="6" t="str">
        <f>"1988-02-21"</f>
        <v>1988-02-21</v>
      </c>
      <c r="F1518" s="6"/>
    </row>
    <row r="1519" spans="1:6" ht="30" customHeight="1">
      <c r="A1519" s="6">
        <v>1517</v>
      </c>
      <c r="B1519" s="6" t="str">
        <f>"2728202011252153382286"</f>
        <v>2728202011252153382286</v>
      </c>
      <c r="C1519" s="6" t="s">
        <v>7</v>
      </c>
      <c r="D1519" s="6" t="str">
        <f>"唐忠阡"</f>
        <v>唐忠阡</v>
      </c>
      <c r="E1519" s="6" t="str">
        <f>"1998-08-13"</f>
        <v>1998-08-13</v>
      </c>
      <c r="F1519" s="6"/>
    </row>
    <row r="1520" spans="1:6" ht="30" customHeight="1">
      <c r="A1520" s="6">
        <v>1518</v>
      </c>
      <c r="B1520" s="6" t="str">
        <f>"2728202011252154152287"</f>
        <v>2728202011252154152287</v>
      </c>
      <c r="C1520" s="6" t="s">
        <v>7</v>
      </c>
      <c r="D1520" s="6" t="str">
        <f>"陈兴园"</f>
        <v>陈兴园</v>
      </c>
      <c r="E1520" s="6" t="str">
        <f>"1996-12-28"</f>
        <v>1996-12-28</v>
      </c>
      <c r="F1520" s="6"/>
    </row>
    <row r="1521" spans="1:6" ht="30" customHeight="1">
      <c r="A1521" s="6">
        <v>1519</v>
      </c>
      <c r="B1521" s="6" t="str">
        <f>"2728202011252158452288"</f>
        <v>2728202011252158452288</v>
      </c>
      <c r="C1521" s="6" t="s">
        <v>7</v>
      </c>
      <c r="D1521" s="6" t="str">
        <f>"陈永照"</f>
        <v>陈永照</v>
      </c>
      <c r="E1521" s="6" t="str">
        <f>"1988-06-17"</f>
        <v>1988-06-17</v>
      </c>
      <c r="F1521" s="6"/>
    </row>
    <row r="1522" spans="1:6" ht="30" customHeight="1">
      <c r="A1522" s="6">
        <v>1520</v>
      </c>
      <c r="B1522" s="6" t="str">
        <f>"2728202011252201102290"</f>
        <v>2728202011252201102290</v>
      </c>
      <c r="C1522" s="6" t="s">
        <v>7</v>
      </c>
      <c r="D1522" s="6" t="str">
        <f>"莫道光"</f>
        <v>莫道光</v>
      </c>
      <c r="E1522" s="6" t="str">
        <f>"1996-10-08"</f>
        <v>1996-10-08</v>
      </c>
      <c r="F1522" s="6"/>
    </row>
    <row r="1523" spans="1:6" ht="30" customHeight="1">
      <c r="A1523" s="6">
        <v>1521</v>
      </c>
      <c r="B1523" s="6" t="str">
        <f>"2728202011252201122291"</f>
        <v>2728202011252201122291</v>
      </c>
      <c r="C1523" s="6" t="s">
        <v>7</v>
      </c>
      <c r="D1523" s="6" t="str">
        <f>"严明波"</f>
        <v>严明波</v>
      </c>
      <c r="E1523" s="6" t="str">
        <f>"1997-02-14"</f>
        <v>1997-02-14</v>
      </c>
      <c r="F1523" s="6"/>
    </row>
    <row r="1524" spans="1:6" ht="30" customHeight="1">
      <c r="A1524" s="6">
        <v>1522</v>
      </c>
      <c r="B1524" s="6" t="str">
        <f>"2728202011252203192292"</f>
        <v>2728202011252203192292</v>
      </c>
      <c r="C1524" s="6" t="s">
        <v>7</v>
      </c>
      <c r="D1524" s="6" t="str">
        <f>"林红杏"</f>
        <v>林红杏</v>
      </c>
      <c r="E1524" s="6" t="str">
        <f>"1991-07-13"</f>
        <v>1991-07-13</v>
      </c>
      <c r="F1524" s="6"/>
    </row>
    <row r="1525" spans="1:6" ht="30" customHeight="1">
      <c r="A1525" s="6">
        <v>1523</v>
      </c>
      <c r="B1525" s="6" t="str">
        <f>"2728202011252205352294"</f>
        <v>2728202011252205352294</v>
      </c>
      <c r="C1525" s="6" t="s">
        <v>7</v>
      </c>
      <c r="D1525" s="6" t="str">
        <f>"胡首婷"</f>
        <v>胡首婷</v>
      </c>
      <c r="E1525" s="6" t="str">
        <f>"1992-05-05"</f>
        <v>1992-05-05</v>
      </c>
      <c r="F1525" s="6"/>
    </row>
    <row r="1526" spans="1:6" ht="30" customHeight="1">
      <c r="A1526" s="6">
        <v>1524</v>
      </c>
      <c r="B1526" s="6" t="str">
        <f>"2728202011252209292295"</f>
        <v>2728202011252209292295</v>
      </c>
      <c r="C1526" s="6" t="s">
        <v>7</v>
      </c>
      <c r="D1526" s="6" t="str">
        <f>"屈琪"</f>
        <v>屈琪</v>
      </c>
      <c r="E1526" s="6" t="str">
        <f>"1994-10-02"</f>
        <v>1994-10-02</v>
      </c>
      <c r="F1526" s="6"/>
    </row>
    <row r="1527" spans="1:6" ht="30" customHeight="1">
      <c r="A1527" s="6">
        <v>1525</v>
      </c>
      <c r="B1527" s="6" t="str">
        <f>"2728202011252212182297"</f>
        <v>2728202011252212182297</v>
      </c>
      <c r="C1527" s="6" t="s">
        <v>7</v>
      </c>
      <c r="D1527" s="6" t="str">
        <f>"陈雪宜"</f>
        <v>陈雪宜</v>
      </c>
      <c r="E1527" s="6" t="str">
        <f>"1993-11-08"</f>
        <v>1993-11-08</v>
      </c>
      <c r="F1527" s="6"/>
    </row>
    <row r="1528" spans="1:6" ht="30" customHeight="1">
      <c r="A1528" s="6">
        <v>1526</v>
      </c>
      <c r="B1528" s="6" t="str">
        <f>"2728202011252213002298"</f>
        <v>2728202011252213002298</v>
      </c>
      <c r="C1528" s="6" t="s">
        <v>7</v>
      </c>
      <c r="D1528" s="6" t="str">
        <f>"王彩丽"</f>
        <v>王彩丽</v>
      </c>
      <c r="E1528" s="6" t="str">
        <f>"1997-08-05"</f>
        <v>1997-08-05</v>
      </c>
      <c r="F1528" s="6"/>
    </row>
    <row r="1529" spans="1:6" ht="30" customHeight="1">
      <c r="A1529" s="6">
        <v>1527</v>
      </c>
      <c r="B1529" s="6" t="str">
        <f>"2728202011252214402299"</f>
        <v>2728202011252214402299</v>
      </c>
      <c r="C1529" s="6" t="s">
        <v>7</v>
      </c>
      <c r="D1529" s="6" t="str">
        <f>"王彩丹"</f>
        <v>王彩丹</v>
      </c>
      <c r="E1529" s="6" t="str">
        <f>"1997-06-10"</f>
        <v>1997-06-10</v>
      </c>
      <c r="F1529" s="6"/>
    </row>
    <row r="1530" spans="1:6" ht="30" customHeight="1">
      <c r="A1530" s="6">
        <v>1528</v>
      </c>
      <c r="B1530" s="6" t="str">
        <f>"2728202011252216272300"</f>
        <v>2728202011252216272300</v>
      </c>
      <c r="C1530" s="6" t="s">
        <v>7</v>
      </c>
      <c r="D1530" s="6" t="str">
        <f>"陈代炼"</f>
        <v>陈代炼</v>
      </c>
      <c r="E1530" s="6" t="str">
        <f>"1995-08-12"</f>
        <v>1995-08-12</v>
      </c>
      <c r="F1530" s="6"/>
    </row>
    <row r="1531" spans="1:6" ht="30" customHeight="1">
      <c r="A1531" s="6">
        <v>1529</v>
      </c>
      <c r="B1531" s="6" t="str">
        <f>"2728202011252216382301"</f>
        <v>2728202011252216382301</v>
      </c>
      <c r="C1531" s="6" t="s">
        <v>7</v>
      </c>
      <c r="D1531" s="6" t="str">
        <f>"吉家俊"</f>
        <v>吉家俊</v>
      </c>
      <c r="E1531" s="6" t="str">
        <f>"1993-08-13"</f>
        <v>1993-08-13</v>
      </c>
      <c r="F1531" s="6"/>
    </row>
    <row r="1532" spans="1:6" ht="30" customHeight="1">
      <c r="A1532" s="6">
        <v>1530</v>
      </c>
      <c r="B1532" s="6" t="str">
        <f>"2728202011252217502302"</f>
        <v>2728202011252217502302</v>
      </c>
      <c r="C1532" s="6" t="s">
        <v>7</v>
      </c>
      <c r="D1532" s="6" t="str">
        <f>"王佩佩"</f>
        <v>王佩佩</v>
      </c>
      <c r="E1532" s="6" t="str">
        <f>"1994-11-14"</f>
        <v>1994-11-14</v>
      </c>
      <c r="F1532" s="6"/>
    </row>
    <row r="1533" spans="1:6" ht="30" customHeight="1">
      <c r="A1533" s="6">
        <v>1531</v>
      </c>
      <c r="B1533" s="6" t="str">
        <f>"2728202011252225192305"</f>
        <v>2728202011252225192305</v>
      </c>
      <c r="C1533" s="6" t="s">
        <v>7</v>
      </c>
      <c r="D1533" s="6" t="str">
        <f>"王春金"</f>
        <v>王春金</v>
      </c>
      <c r="E1533" s="6" t="str">
        <f>"1988-10-02"</f>
        <v>1988-10-02</v>
      </c>
      <c r="F1533" s="6"/>
    </row>
    <row r="1534" spans="1:6" ht="30" customHeight="1">
      <c r="A1534" s="6">
        <v>1532</v>
      </c>
      <c r="B1534" s="6" t="str">
        <f>"2728202011252226292306"</f>
        <v>2728202011252226292306</v>
      </c>
      <c r="C1534" s="6" t="s">
        <v>7</v>
      </c>
      <c r="D1534" s="6" t="str">
        <f>"李国崇"</f>
        <v>李国崇</v>
      </c>
      <c r="E1534" s="6" t="str">
        <f>"1999-01-03"</f>
        <v>1999-01-03</v>
      </c>
      <c r="F1534" s="6"/>
    </row>
    <row r="1535" spans="1:6" ht="30" customHeight="1">
      <c r="A1535" s="6">
        <v>1533</v>
      </c>
      <c r="B1535" s="6" t="str">
        <f>"2728202011252226552307"</f>
        <v>2728202011252226552307</v>
      </c>
      <c r="C1535" s="6" t="s">
        <v>7</v>
      </c>
      <c r="D1535" s="6" t="str">
        <f>"陈虹妙"</f>
        <v>陈虹妙</v>
      </c>
      <c r="E1535" s="6" t="str">
        <f>"1997-10-28"</f>
        <v>1997-10-28</v>
      </c>
      <c r="F1535" s="6"/>
    </row>
    <row r="1536" spans="1:6" ht="30" customHeight="1">
      <c r="A1536" s="6">
        <v>1534</v>
      </c>
      <c r="B1536" s="6" t="str">
        <f>"2728202011252232322309"</f>
        <v>2728202011252232322309</v>
      </c>
      <c r="C1536" s="6" t="s">
        <v>7</v>
      </c>
      <c r="D1536" s="6" t="str">
        <f>"周杏"</f>
        <v>周杏</v>
      </c>
      <c r="E1536" s="6" t="str">
        <f>"1998-09-25"</f>
        <v>1998-09-25</v>
      </c>
      <c r="F1536" s="6"/>
    </row>
    <row r="1537" spans="1:6" ht="30" customHeight="1">
      <c r="A1537" s="6">
        <v>1535</v>
      </c>
      <c r="B1537" s="6" t="str">
        <f>"2728202011252237152310"</f>
        <v>2728202011252237152310</v>
      </c>
      <c r="C1537" s="6" t="s">
        <v>7</v>
      </c>
      <c r="D1537" s="6" t="str">
        <f>"陈纪斌"</f>
        <v>陈纪斌</v>
      </c>
      <c r="E1537" s="6" t="str">
        <f>"1995-09-10"</f>
        <v>1995-09-10</v>
      </c>
      <c r="F1537" s="6"/>
    </row>
    <row r="1538" spans="1:6" ht="30" customHeight="1">
      <c r="A1538" s="6">
        <v>1536</v>
      </c>
      <c r="B1538" s="6" t="str">
        <f>"2728202011252237192311"</f>
        <v>2728202011252237192311</v>
      </c>
      <c r="C1538" s="6" t="s">
        <v>7</v>
      </c>
      <c r="D1538" s="6" t="str">
        <f>"吴俊"</f>
        <v>吴俊</v>
      </c>
      <c r="E1538" s="6" t="str">
        <f>"1996-08-21"</f>
        <v>1996-08-21</v>
      </c>
      <c r="F1538" s="6"/>
    </row>
    <row r="1539" spans="1:6" ht="30" customHeight="1">
      <c r="A1539" s="6">
        <v>1537</v>
      </c>
      <c r="B1539" s="6" t="str">
        <f>"2728202011252238012312"</f>
        <v>2728202011252238012312</v>
      </c>
      <c r="C1539" s="6" t="s">
        <v>7</v>
      </c>
      <c r="D1539" s="6" t="str">
        <f>"林萌超"</f>
        <v>林萌超</v>
      </c>
      <c r="E1539" s="6" t="str">
        <f>"1990-03-20"</f>
        <v>1990-03-20</v>
      </c>
      <c r="F1539" s="6"/>
    </row>
    <row r="1540" spans="1:6" ht="30" customHeight="1">
      <c r="A1540" s="6">
        <v>1538</v>
      </c>
      <c r="B1540" s="6" t="str">
        <f>"2728202011252239372314"</f>
        <v>2728202011252239372314</v>
      </c>
      <c r="C1540" s="6" t="s">
        <v>7</v>
      </c>
      <c r="D1540" s="6" t="str">
        <f>"符静静"</f>
        <v>符静静</v>
      </c>
      <c r="E1540" s="6" t="str">
        <f>"1995-03-14"</f>
        <v>1995-03-14</v>
      </c>
      <c r="F1540" s="6"/>
    </row>
    <row r="1541" spans="1:6" ht="30" customHeight="1">
      <c r="A1541" s="6">
        <v>1539</v>
      </c>
      <c r="B1541" s="6" t="str">
        <f>"2728202011252241302316"</f>
        <v>2728202011252241302316</v>
      </c>
      <c r="C1541" s="6" t="s">
        <v>7</v>
      </c>
      <c r="D1541" s="6" t="str">
        <f>"刘立萍"</f>
        <v>刘立萍</v>
      </c>
      <c r="E1541" s="6" t="str">
        <f>"1987-02-05"</f>
        <v>1987-02-05</v>
      </c>
      <c r="F1541" s="6"/>
    </row>
    <row r="1542" spans="1:6" ht="30" customHeight="1">
      <c r="A1542" s="6">
        <v>1540</v>
      </c>
      <c r="B1542" s="6" t="str">
        <f>"2728202011252244162318"</f>
        <v>2728202011252244162318</v>
      </c>
      <c r="C1542" s="6" t="s">
        <v>7</v>
      </c>
      <c r="D1542" s="6" t="str">
        <f>"谢芳丽"</f>
        <v>谢芳丽</v>
      </c>
      <c r="E1542" s="6" t="str">
        <f>"1995-01-01"</f>
        <v>1995-01-01</v>
      </c>
      <c r="F1542" s="6"/>
    </row>
    <row r="1543" spans="1:6" ht="30" customHeight="1">
      <c r="A1543" s="6">
        <v>1541</v>
      </c>
      <c r="B1543" s="6" t="str">
        <f>"2728202011252244182319"</f>
        <v>2728202011252244182319</v>
      </c>
      <c r="C1543" s="6" t="s">
        <v>7</v>
      </c>
      <c r="D1543" s="6" t="str">
        <f>"王国家"</f>
        <v>王国家</v>
      </c>
      <c r="E1543" s="6" t="str">
        <f>"1995-04-18"</f>
        <v>1995-04-18</v>
      </c>
      <c r="F1543" s="6"/>
    </row>
    <row r="1544" spans="1:6" ht="30" customHeight="1">
      <c r="A1544" s="6">
        <v>1542</v>
      </c>
      <c r="B1544" s="6" t="str">
        <f>"2728202011252246472320"</f>
        <v>2728202011252246472320</v>
      </c>
      <c r="C1544" s="6" t="s">
        <v>7</v>
      </c>
      <c r="D1544" s="6" t="str">
        <f>"张泽玲"</f>
        <v>张泽玲</v>
      </c>
      <c r="E1544" s="6" t="str">
        <f>"1991-04-25"</f>
        <v>1991-04-25</v>
      </c>
      <c r="F1544" s="6"/>
    </row>
    <row r="1545" spans="1:6" ht="30" customHeight="1">
      <c r="A1545" s="6">
        <v>1543</v>
      </c>
      <c r="B1545" s="6" t="str">
        <f>"2728202011252249512322"</f>
        <v>2728202011252249512322</v>
      </c>
      <c r="C1545" s="6" t="s">
        <v>7</v>
      </c>
      <c r="D1545" s="6" t="str">
        <f>"王平江"</f>
        <v>王平江</v>
      </c>
      <c r="E1545" s="6" t="str">
        <f>"1989-02-11"</f>
        <v>1989-02-11</v>
      </c>
      <c r="F1545" s="6"/>
    </row>
    <row r="1546" spans="1:6" ht="30" customHeight="1">
      <c r="A1546" s="6">
        <v>1544</v>
      </c>
      <c r="B1546" s="6" t="str">
        <f>"2728202011252258442325"</f>
        <v>2728202011252258442325</v>
      </c>
      <c r="C1546" s="6" t="s">
        <v>7</v>
      </c>
      <c r="D1546" s="6" t="str">
        <f>"余孙芊"</f>
        <v>余孙芊</v>
      </c>
      <c r="E1546" s="6" t="str">
        <f>"1993-08-08"</f>
        <v>1993-08-08</v>
      </c>
      <c r="F1546" s="6"/>
    </row>
    <row r="1547" spans="1:6" ht="30" customHeight="1">
      <c r="A1547" s="6">
        <v>1545</v>
      </c>
      <c r="B1547" s="6" t="str">
        <f>"2728202011252259452326"</f>
        <v>2728202011252259452326</v>
      </c>
      <c r="C1547" s="6" t="s">
        <v>7</v>
      </c>
      <c r="D1547" s="6" t="str">
        <f>"黄紫君"</f>
        <v>黄紫君</v>
      </c>
      <c r="E1547" s="6" t="str">
        <f>"1991-05-11"</f>
        <v>1991-05-11</v>
      </c>
      <c r="F1547" s="6"/>
    </row>
    <row r="1548" spans="1:6" ht="30" customHeight="1">
      <c r="A1548" s="6">
        <v>1546</v>
      </c>
      <c r="B1548" s="6" t="str">
        <f>"2728202011252259472327"</f>
        <v>2728202011252259472327</v>
      </c>
      <c r="C1548" s="6" t="s">
        <v>7</v>
      </c>
      <c r="D1548" s="6" t="str">
        <f>"刘原兰"</f>
        <v>刘原兰</v>
      </c>
      <c r="E1548" s="6" t="str">
        <f>"1998-05-20"</f>
        <v>1998-05-20</v>
      </c>
      <c r="F1548" s="6"/>
    </row>
    <row r="1549" spans="1:6" ht="30" customHeight="1">
      <c r="A1549" s="6">
        <v>1547</v>
      </c>
      <c r="B1549" s="6" t="str">
        <f>"2728202011252301162329"</f>
        <v>2728202011252301162329</v>
      </c>
      <c r="C1549" s="6" t="s">
        <v>7</v>
      </c>
      <c r="D1549" s="6" t="str">
        <f>"符芷颖"</f>
        <v>符芷颖</v>
      </c>
      <c r="E1549" s="6" t="str">
        <f>"1992-12-02"</f>
        <v>1992-12-02</v>
      </c>
      <c r="F1549" s="6"/>
    </row>
    <row r="1550" spans="1:6" ht="30" customHeight="1">
      <c r="A1550" s="6">
        <v>1548</v>
      </c>
      <c r="B1550" s="6" t="str">
        <f>"2728202011252323072336"</f>
        <v>2728202011252323072336</v>
      </c>
      <c r="C1550" s="6" t="s">
        <v>7</v>
      </c>
      <c r="D1550" s="6" t="str">
        <f>"吴忠琴"</f>
        <v>吴忠琴</v>
      </c>
      <c r="E1550" s="6" t="str">
        <f>"1995-01-05"</f>
        <v>1995-01-05</v>
      </c>
      <c r="F1550" s="6"/>
    </row>
    <row r="1551" spans="1:6" ht="30" customHeight="1">
      <c r="A1551" s="6">
        <v>1549</v>
      </c>
      <c r="B1551" s="6" t="str">
        <f>"2728202011252333062337"</f>
        <v>2728202011252333062337</v>
      </c>
      <c r="C1551" s="6" t="s">
        <v>7</v>
      </c>
      <c r="D1551" s="6" t="str">
        <f>"廖殷"</f>
        <v>廖殷</v>
      </c>
      <c r="E1551" s="6" t="str">
        <f>"1992-09-23"</f>
        <v>1992-09-23</v>
      </c>
      <c r="F1551" s="6"/>
    </row>
    <row r="1552" spans="1:6" ht="30" customHeight="1">
      <c r="A1552" s="6">
        <v>1550</v>
      </c>
      <c r="B1552" s="6" t="str">
        <f>"2728202011252341342339"</f>
        <v>2728202011252341342339</v>
      </c>
      <c r="C1552" s="6" t="s">
        <v>7</v>
      </c>
      <c r="D1552" s="6" t="str">
        <f>"陈佳宸"</f>
        <v>陈佳宸</v>
      </c>
      <c r="E1552" s="6" t="str">
        <f>"1997-09-21"</f>
        <v>1997-09-21</v>
      </c>
      <c r="F1552" s="6"/>
    </row>
    <row r="1553" spans="1:6" ht="30" customHeight="1">
      <c r="A1553" s="6">
        <v>1551</v>
      </c>
      <c r="B1553" s="6" t="str">
        <f>"2728202011252341492340"</f>
        <v>2728202011252341492340</v>
      </c>
      <c r="C1553" s="6" t="s">
        <v>7</v>
      </c>
      <c r="D1553" s="6" t="str">
        <f>"陈慧"</f>
        <v>陈慧</v>
      </c>
      <c r="E1553" s="6" t="str">
        <f>"1994-10-07"</f>
        <v>1994-10-07</v>
      </c>
      <c r="F1553" s="6"/>
    </row>
    <row r="1554" spans="1:6" ht="30" customHeight="1">
      <c r="A1554" s="6">
        <v>1552</v>
      </c>
      <c r="B1554" s="6" t="str">
        <f>"2728202011252351242343"</f>
        <v>2728202011252351242343</v>
      </c>
      <c r="C1554" s="6" t="s">
        <v>7</v>
      </c>
      <c r="D1554" s="6" t="str">
        <f>"曾谦"</f>
        <v>曾谦</v>
      </c>
      <c r="E1554" s="6" t="str">
        <f>"1992-05-29"</f>
        <v>1992-05-29</v>
      </c>
      <c r="F1554" s="6"/>
    </row>
    <row r="1555" spans="1:6" ht="30" customHeight="1">
      <c r="A1555" s="6">
        <v>1553</v>
      </c>
      <c r="B1555" s="6" t="str">
        <f>"2728202011252353532344"</f>
        <v>2728202011252353532344</v>
      </c>
      <c r="C1555" s="6" t="s">
        <v>7</v>
      </c>
      <c r="D1555" s="6" t="str">
        <f>"郑媛"</f>
        <v>郑媛</v>
      </c>
      <c r="E1555" s="6" t="str">
        <f>"1995-01-11"</f>
        <v>1995-01-11</v>
      </c>
      <c r="F1555" s="6"/>
    </row>
    <row r="1556" spans="1:6" ht="30" customHeight="1">
      <c r="A1556" s="6">
        <v>1554</v>
      </c>
      <c r="B1556" s="6" t="str">
        <f>"2728202011252359342345"</f>
        <v>2728202011252359342345</v>
      </c>
      <c r="C1556" s="6" t="s">
        <v>7</v>
      </c>
      <c r="D1556" s="6" t="str">
        <f>"邢亚端"</f>
        <v>邢亚端</v>
      </c>
      <c r="E1556" s="6" t="str">
        <f>"1995-07-16"</f>
        <v>1995-07-16</v>
      </c>
      <c r="F1556" s="6"/>
    </row>
    <row r="1557" spans="1:6" ht="30" customHeight="1">
      <c r="A1557" s="6">
        <v>1555</v>
      </c>
      <c r="B1557" s="6" t="str">
        <f>"2728202011260006142347"</f>
        <v>2728202011260006142347</v>
      </c>
      <c r="C1557" s="6" t="s">
        <v>7</v>
      </c>
      <c r="D1557" s="6" t="str">
        <f>"周岐懿"</f>
        <v>周岐懿</v>
      </c>
      <c r="E1557" s="6" t="str">
        <f>"1995-05-13"</f>
        <v>1995-05-13</v>
      </c>
      <c r="F1557" s="6"/>
    </row>
    <row r="1558" spans="1:6" ht="30" customHeight="1">
      <c r="A1558" s="6">
        <v>1556</v>
      </c>
      <c r="B1558" s="6" t="str">
        <f>"2728202011260009202348"</f>
        <v>2728202011260009202348</v>
      </c>
      <c r="C1558" s="6" t="s">
        <v>7</v>
      </c>
      <c r="D1558" s="6" t="str">
        <f>"张劲"</f>
        <v>张劲</v>
      </c>
      <c r="E1558" s="6" t="str">
        <f>"1987-08-15"</f>
        <v>1987-08-15</v>
      </c>
      <c r="F1558" s="6"/>
    </row>
    <row r="1559" spans="1:6" ht="30" customHeight="1">
      <c r="A1559" s="6">
        <v>1557</v>
      </c>
      <c r="B1559" s="6" t="str">
        <f>"2728202011260011532350"</f>
        <v>2728202011260011532350</v>
      </c>
      <c r="C1559" s="6" t="s">
        <v>7</v>
      </c>
      <c r="D1559" s="6" t="str">
        <f>"何宗铭"</f>
        <v>何宗铭</v>
      </c>
      <c r="E1559" s="6" t="str">
        <f>"1996-06-13"</f>
        <v>1996-06-13</v>
      </c>
      <c r="F1559" s="6"/>
    </row>
    <row r="1560" spans="1:6" ht="30" customHeight="1">
      <c r="A1560" s="6">
        <v>1558</v>
      </c>
      <c r="B1560" s="6" t="str">
        <f>"2728202011260014582351"</f>
        <v>2728202011260014582351</v>
      </c>
      <c r="C1560" s="6" t="s">
        <v>7</v>
      </c>
      <c r="D1560" s="6" t="str">
        <f>"陈善杰"</f>
        <v>陈善杰</v>
      </c>
      <c r="E1560" s="6" t="str">
        <f>"1991-08-20"</f>
        <v>1991-08-20</v>
      </c>
      <c r="F1560" s="6"/>
    </row>
    <row r="1561" spans="1:6" ht="30" customHeight="1">
      <c r="A1561" s="6">
        <v>1559</v>
      </c>
      <c r="B1561" s="6" t="str">
        <f>"2728202011260021582353"</f>
        <v>2728202011260021582353</v>
      </c>
      <c r="C1561" s="6" t="s">
        <v>7</v>
      </c>
      <c r="D1561" s="6" t="str">
        <f>"张丽慧"</f>
        <v>张丽慧</v>
      </c>
      <c r="E1561" s="6" t="str">
        <f>"1997-10-05"</f>
        <v>1997-10-05</v>
      </c>
      <c r="F1561" s="6"/>
    </row>
    <row r="1562" spans="1:6" ht="30" customHeight="1">
      <c r="A1562" s="6">
        <v>1560</v>
      </c>
      <c r="B1562" s="6" t="str">
        <f>"2728202011260025512354"</f>
        <v>2728202011260025512354</v>
      </c>
      <c r="C1562" s="6" t="s">
        <v>7</v>
      </c>
      <c r="D1562" s="6" t="str">
        <f>"周石林"</f>
        <v>周石林</v>
      </c>
      <c r="E1562" s="6" t="str">
        <f>"1996-09-18"</f>
        <v>1996-09-18</v>
      </c>
      <c r="F1562" s="6"/>
    </row>
    <row r="1563" spans="1:6" ht="30" customHeight="1">
      <c r="A1563" s="6">
        <v>1561</v>
      </c>
      <c r="B1563" s="6" t="str">
        <f>"2728202011260030232355"</f>
        <v>2728202011260030232355</v>
      </c>
      <c r="C1563" s="6" t="s">
        <v>7</v>
      </c>
      <c r="D1563" s="6" t="str">
        <f>"林俊任"</f>
        <v>林俊任</v>
      </c>
      <c r="E1563" s="6" t="str">
        <f>"1996-06-08"</f>
        <v>1996-06-08</v>
      </c>
      <c r="F1563" s="6"/>
    </row>
    <row r="1564" spans="1:6" ht="30" customHeight="1">
      <c r="A1564" s="6">
        <v>1562</v>
      </c>
      <c r="B1564" s="6" t="str">
        <f>"2728202011260032082356"</f>
        <v>2728202011260032082356</v>
      </c>
      <c r="C1564" s="6" t="s">
        <v>7</v>
      </c>
      <c r="D1564" s="6" t="str">
        <f>"赵执邦"</f>
        <v>赵执邦</v>
      </c>
      <c r="E1564" s="6" t="str">
        <f>"1991-07-08"</f>
        <v>1991-07-08</v>
      </c>
      <c r="F1564" s="6"/>
    </row>
    <row r="1565" spans="1:6" ht="30" customHeight="1">
      <c r="A1565" s="6">
        <v>1563</v>
      </c>
      <c r="B1565" s="6" t="str">
        <f>"2728202011260033132358"</f>
        <v>2728202011260033132358</v>
      </c>
      <c r="C1565" s="6" t="s">
        <v>7</v>
      </c>
      <c r="D1565" s="6" t="str">
        <f>"刘盛楠"</f>
        <v>刘盛楠</v>
      </c>
      <c r="E1565" s="6" t="str">
        <f>"1997-11-11"</f>
        <v>1997-11-11</v>
      </c>
      <c r="F1565" s="6"/>
    </row>
    <row r="1566" spans="1:6" ht="30" customHeight="1">
      <c r="A1566" s="6">
        <v>1564</v>
      </c>
      <c r="B1566" s="6" t="str">
        <f>"2728202011260038182359"</f>
        <v>2728202011260038182359</v>
      </c>
      <c r="C1566" s="6" t="s">
        <v>7</v>
      </c>
      <c r="D1566" s="6" t="str">
        <f>"符瑜"</f>
        <v>符瑜</v>
      </c>
      <c r="E1566" s="6" t="str">
        <f>"1996-07-29"</f>
        <v>1996-07-29</v>
      </c>
      <c r="F1566" s="6"/>
    </row>
    <row r="1567" spans="1:6" ht="30" customHeight="1">
      <c r="A1567" s="6">
        <v>1565</v>
      </c>
      <c r="B1567" s="6" t="str">
        <f>"2728202011260102332361"</f>
        <v>2728202011260102332361</v>
      </c>
      <c r="C1567" s="6" t="s">
        <v>7</v>
      </c>
      <c r="D1567" s="6" t="str">
        <f>"陈禧"</f>
        <v>陈禧</v>
      </c>
      <c r="E1567" s="6" t="str">
        <f>"1998-11-30"</f>
        <v>1998-11-30</v>
      </c>
      <c r="F1567" s="6"/>
    </row>
    <row r="1568" spans="1:6" ht="30" customHeight="1">
      <c r="A1568" s="6">
        <v>1566</v>
      </c>
      <c r="B1568" s="6" t="str">
        <f>"2728202011260102442362"</f>
        <v>2728202011260102442362</v>
      </c>
      <c r="C1568" s="6" t="s">
        <v>7</v>
      </c>
      <c r="D1568" s="6" t="str">
        <f>"金春焕"</f>
        <v>金春焕</v>
      </c>
      <c r="E1568" s="6" t="str">
        <f>"1997-04-04"</f>
        <v>1997-04-04</v>
      </c>
      <c r="F1568" s="6"/>
    </row>
    <row r="1569" spans="1:6" ht="30" customHeight="1">
      <c r="A1569" s="6">
        <v>1567</v>
      </c>
      <c r="B1569" s="6" t="str">
        <f>"2728202011260118082364"</f>
        <v>2728202011260118082364</v>
      </c>
      <c r="C1569" s="6" t="s">
        <v>7</v>
      </c>
      <c r="D1569" s="6" t="str">
        <f>"钟泽辉"</f>
        <v>钟泽辉</v>
      </c>
      <c r="E1569" s="6" t="str">
        <f>"1997-10-16"</f>
        <v>1997-10-16</v>
      </c>
      <c r="F1569" s="6"/>
    </row>
    <row r="1570" spans="1:6" ht="30" customHeight="1">
      <c r="A1570" s="6">
        <v>1568</v>
      </c>
      <c r="B1570" s="6" t="str">
        <f>"2728202011260408362367"</f>
        <v>2728202011260408362367</v>
      </c>
      <c r="C1570" s="6" t="s">
        <v>7</v>
      </c>
      <c r="D1570" s="6" t="str">
        <f>"黄振宗"</f>
        <v>黄振宗</v>
      </c>
      <c r="E1570" s="6" t="str">
        <f>"1996-12-11"</f>
        <v>1996-12-11</v>
      </c>
      <c r="F1570" s="6"/>
    </row>
    <row r="1571" spans="1:6" ht="30" customHeight="1">
      <c r="A1571" s="6">
        <v>1569</v>
      </c>
      <c r="B1571" s="6" t="str">
        <f>"2728202011260753262373"</f>
        <v>2728202011260753262373</v>
      </c>
      <c r="C1571" s="6" t="s">
        <v>7</v>
      </c>
      <c r="D1571" s="6" t="str">
        <f>"李亚路"</f>
        <v>李亚路</v>
      </c>
      <c r="E1571" s="6" t="str">
        <f>"1994-08-15"</f>
        <v>1994-08-15</v>
      </c>
      <c r="F1571" s="6"/>
    </row>
    <row r="1572" spans="1:6" ht="30" customHeight="1">
      <c r="A1572" s="6">
        <v>1570</v>
      </c>
      <c r="B1572" s="6" t="str">
        <f>"2728202011260754412374"</f>
        <v>2728202011260754412374</v>
      </c>
      <c r="C1572" s="6" t="s">
        <v>7</v>
      </c>
      <c r="D1572" s="6" t="str">
        <f>"王珠昌"</f>
        <v>王珠昌</v>
      </c>
      <c r="E1572" s="6" t="str">
        <f>"1993-04-18"</f>
        <v>1993-04-18</v>
      </c>
      <c r="F1572" s="6"/>
    </row>
    <row r="1573" spans="1:6" ht="30" customHeight="1">
      <c r="A1573" s="6">
        <v>1571</v>
      </c>
      <c r="B1573" s="6" t="str">
        <f>"2728202011260812332375"</f>
        <v>2728202011260812332375</v>
      </c>
      <c r="C1573" s="6" t="s">
        <v>7</v>
      </c>
      <c r="D1573" s="6" t="str">
        <f>"蔡期章"</f>
        <v>蔡期章</v>
      </c>
      <c r="E1573" s="6" t="str">
        <f>"1996-01-24"</f>
        <v>1996-01-24</v>
      </c>
      <c r="F1573" s="6"/>
    </row>
    <row r="1574" spans="1:6" ht="30" customHeight="1">
      <c r="A1574" s="6">
        <v>1572</v>
      </c>
      <c r="B1574" s="6" t="str">
        <f>"2728202011260818402376"</f>
        <v>2728202011260818402376</v>
      </c>
      <c r="C1574" s="6" t="s">
        <v>7</v>
      </c>
      <c r="D1574" s="6" t="str">
        <f>"林云"</f>
        <v>林云</v>
      </c>
      <c r="E1574" s="6" t="str">
        <f>"1992-01-30"</f>
        <v>1992-01-30</v>
      </c>
      <c r="F1574" s="6"/>
    </row>
    <row r="1575" spans="1:6" ht="30" customHeight="1">
      <c r="A1575" s="6">
        <v>1573</v>
      </c>
      <c r="B1575" s="6" t="str">
        <f>"2728202011260832352378"</f>
        <v>2728202011260832352378</v>
      </c>
      <c r="C1575" s="6" t="s">
        <v>7</v>
      </c>
      <c r="D1575" s="6" t="str">
        <f>"蕉丽珍"</f>
        <v>蕉丽珍</v>
      </c>
      <c r="E1575" s="6" t="str">
        <f>"1991-09-18"</f>
        <v>1991-09-18</v>
      </c>
      <c r="F1575" s="6"/>
    </row>
    <row r="1576" spans="1:6" ht="30" customHeight="1">
      <c r="A1576" s="6">
        <v>1574</v>
      </c>
      <c r="B1576" s="6" t="str">
        <f>"2728202011260835032379"</f>
        <v>2728202011260835032379</v>
      </c>
      <c r="C1576" s="6" t="s">
        <v>7</v>
      </c>
      <c r="D1576" s="6" t="str">
        <f>"林欣荣"</f>
        <v>林欣荣</v>
      </c>
      <c r="E1576" s="6" t="str">
        <f>"1993-02-24"</f>
        <v>1993-02-24</v>
      </c>
      <c r="F1576" s="6"/>
    </row>
    <row r="1577" spans="1:6" ht="30" customHeight="1">
      <c r="A1577" s="6">
        <v>1575</v>
      </c>
      <c r="B1577" s="6" t="str">
        <f>"2728202011260840452381"</f>
        <v>2728202011260840452381</v>
      </c>
      <c r="C1577" s="6" t="s">
        <v>7</v>
      </c>
      <c r="D1577" s="6" t="str">
        <f>"李敏"</f>
        <v>李敏</v>
      </c>
      <c r="E1577" s="6" t="str">
        <f>"1987-07-08"</f>
        <v>1987-07-08</v>
      </c>
      <c r="F1577" s="6"/>
    </row>
    <row r="1578" spans="1:6" ht="30" customHeight="1">
      <c r="A1578" s="6">
        <v>1576</v>
      </c>
      <c r="B1578" s="6" t="str">
        <f>"2728202011260847412386"</f>
        <v>2728202011260847412386</v>
      </c>
      <c r="C1578" s="6" t="s">
        <v>7</v>
      </c>
      <c r="D1578" s="6" t="str">
        <f>"庞贺之"</f>
        <v>庞贺之</v>
      </c>
      <c r="E1578" s="6" t="str">
        <f>"1988-08-13"</f>
        <v>1988-08-13</v>
      </c>
      <c r="F1578" s="6"/>
    </row>
    <row r="1579" spans="1:6" ht="30" customHeight="1">
      <c r="A1579" s="6">
        <v>1577</v>
      </c>
      <c r="B1579" s="6" t="str">
        <f>"2728202011260905322389"</f>
        <v>2728202011260905322389</v>
      </c>
      <c r="C1579" s="6" t="s">
        <v>7</v>
      </c>
      <c r="D1579" s="6" t="str">
        <f>"廖圣森"</f>
        <v>廖圣森</v>
      </c>
      <c r="E1579" s="6" t="str">
        <f>"1993-10-22"</f>
        <v>1993-10-22</v>
      </c>
      <c r="F1579" s="6"/>
    </row>
    <row r="1580" spans="1:6" ht="30" customHeight="1">
      <c r="A1580" s="6">
        <v>1578</v>
      </c>
      <c r="B1580" s="6" t="str">
        <f>"2728202011260908392390"</f>
        <v>2728202011260908392390</v>
      </c>
      <c r="C1580" s="6" t="s">
        <v>7</v>
      </c>
      <c r="D1580" s="6" t="str">
        <f>"陈孔伍"</f>
        <v>陈孔伍</v>
      </c>
      <c r="E1580" s="6" t="str">
        <f>"1994-07-10"</f>
        <v>1994-07-10</v>
      </c>
      <c r="F1580" s="6"/>
    </row>
    <row r="1581" spans="1:6" ht="30" customHeight="1">
      <c r="A1581" s="6">
        <v>1579</v>
      </c>
      <c r="B1581" s="6" t="str">
        <f>"2728202011260914412394"</f>
        <v>2728202011260914412394</v>
      </c>
      <c r="C1581" s="6" t="s">
        <v>7</v>
      </c>
      <c r="D1581" s="6" t="str">
        <f>"许云状"</f>
        <v>许云状</v>
      </c>
      <c r="E1581" s="6" t="str">
        <f>"1991-08-01"</f>
        <v>1991-08-01</v>
      </c>
      <c r="F1581" s="6"/>
    </row>
    <row r="1582" spans="1:6" ht="30" customHeight="1">
      <c r="A1582" s="6">
        <v>1580</v>
      </c>
      <c r="B1582" s="6" t="str">
        <f>"2728202011260916062396"</f>
        <v>2728202011260916062396</v>
      </c>
      <c r="C1582" s="6" t="s">
        <v>7</v>
      </c>
      <c r="D1582" s="6" t="str">
        <f>"郭玉丹"</f>
        <v>郭玉丹</v>
      </c>
      <c r="E1582" s="6" t="str">
        <f>"1993-05-02"</f>
        <v>1993-05-02</v>
      </c>
      <c r="F1582" s="6"/>
    </row>
    <row r="1583" spans="1:6" ht="30" customHeight="1">
      <c r="A1583" s="6">
        <v>1581</v>
      </c>
      <c r="B1583" s="6" t="str">
        <f>"2728202011260916422397"</f>
        <v>2728202011260916422397</v>
      </c>
      <c r="C1583" s="6" t="s">
        <v>7</v>
      </c>
      <c r="D1583" s="6" t="str">
        <f>"张丽丹"</f>
        <v>张丽丹</v>
      </c>
      <c r="E1583" s="6" t="str">
        <f>"1997-05-02"</f>
        <v>1997-05-02</v>
      </c>
      <c r="F1583" s="6"/>
    </row>
    <row r="1584" spans="1:6" ht="30" customHeight="1">
      <c r="A1584" s="6">
        <v>1582</v>
      </c>
      <c r="B1584" s="6" t="str">
        <f>"2728202011260918462398"</f>
        <v>2728202011260918462398</v>
      </c>
      <c r="C1584" s="6" t="s">
        <v>7</v>
      </c>
      <c r="D1584" s="6" t="str">
        <f>"陈泽颖"</f>
        <v>陈泽颖</v>
      </c>
      <c r="E1584" s="6" t="str">
        <f>"1997-11-15"</f>
        <v>1997-11-15</v>
      </c>
      <c r="F1584" s="6"/>
    </row>
    <row r="1585" spans="1:6" ht="30" customHeight="1">
      <c r="A1585" s="6">
        <v>1583</v>
      </c>
      <c r="B1585" s="6" t="str">
        <f>"2728202011260918562399"</f>
        <v>2728202011260918562399</v>
      </c>
      <c r="C1585" s="6" t="s">
        <v>7</v>
      </c>
      <c r="D1585" s="6" t="str">
        <f>"陈翔"</f>
        <v>陈翔</v>
      </c>
      <c r="E1585" s="6" t="str">
        <f>"1987-07-24"</f>
        <v>1987-07-24</v>
      </c>
      <c r="F1585" s="6"/>
    </row>
    <row r="1586" spans="1:6" ht="30" customHeight="1">
      <c r="A1586" s="6">
        <v>1584</v>
      </c>
      <c r="B1586" s="6" t="str">
        <f>"2728202011260919552401"</f>
        <v>2728202011260919552401</v>
      </c>
      <c r="C1586" s="6" t="s">
        <v>7</v>
      </c>
      <c r="D1586" s="6" t="str">
        <f>"赵国荣"</f>
        <v>赵国荣</v>
      </c>
      <c r="E1586" s="6" t="str">
        <f>"1996-04-10"</f>
        <v>1996-04-10</v>
      </c>
      <c r="F1586" s="6"/>
    </row>
    <row r="1587" spans="1:6" ht="30" customHeight="1">
      <c r="A1587" s="6">
        <v>1585</v>
      </c>
      <c r="B1587" s="6" t="str">
        <f>"2728202011260925012403"</f>
        <v>2728202011260925012403</v>
      </c>
      <c r="C1587" s="6" t="s">
        <v>7</v>
      </c>
      <c r="D1587" s="6" t="str">
        <f>"李业存"</f>
        <v>李业存</v>
      </c>
      <c r="E1587" s="6" t="str">
        <f>"1996-04-07"</f>
        <v>1996-04-07</v>
      </c>
      <c r="F1587" s="6"/>
    </row>
    <row r="1588" spans="1:6" ht="30" customHeight="1">
      <c r="A1588" s="6">
        <v>1586</v>
      </c>
      <c r="B1588" s="6" t="str">
        <f>"2728202011260929372405"</f>
        <v>2728202011260929372405</v>
      </c>
      <c r="C1588" s="6" t="s">
        <v>7</v>
      </c>
      <c r="D1588" s="6" t="str">
        <f>"周慧"</f>
        <v>周慧</v>
      </c>
      <c r="E1588" s="6" t="str">
        <f>"1992-12-09"</f>
        <v>1992-12-09</v>
      </c>
      <c r="F1588" s="6"/>
    </row>
    <row r="1589" spans="1:6" ht="30" customHeight="1">
      <c r="A1589" s="6">
        <v>1587</v>
      </c>
      <c r="B1589" s="6" t="str">
        <f>"2728202011260929592406"</f>
        <v>2728202011260929592406</v>
      </c>
      <c r="C1589" s="6" t="s">
        <v>7</v>
      </c>
      <c r="D1589" s="6" t="str">
        <f>"纪新妙 "</f>
        <v>纪新妙 </v>
      </c>
      <c r="E1589" s="6" t="str">
        <f>"1993-06-07"</f>
        <v>1993-06-07</v>
      </c>
      <c r="F1589" s="6"/>
    </row>
    <row r="1590" spans="1:6" ht="30" customHeight="1">
      <c r="A1590" s="6">
        <v>1588</v>
      </c>
      <c r="B1590" s="6" t="str">
        <f>"2728202011260934382407"</f>
        <v>2728202011260934382407</v>
      </c>
      <c r="C1590" s="6" t="s">
        <v>7</v>
      </c>
      <c r="D1590" s="6" t="str">
        <f>"孙志泉"</f>
        <v>孙志泉</v>
      </c>
      <c r="E1590" s="6" t="str">
        <f>"1995-06-24"</f>
        <v>1995-06-24</v>
      </c>
      <c r="F1590" s="6"/>
    </row>
    <row r="1591" spans="1:6" ht="30" customHeight="1">
      <c r="A1591" s="6">
        <v>1589</v>
      </c>
      <c r="B1591" s="6" t="str">
        <f>"2728202011260940352411"</f>
        <v>2728202011260940352411</v>
      </c>
      <c r="C1591" s="6" t="s">
        <v>7</v>
      </c>
      <c r="D1591" s="6" t="str">
        <f>"杨定慰"</f>
        <v>杨定慰</v>
      </c>
      <c r="E1591" s="6" t="str">
        <f>"1994-12-27"</f>
        <v>1994-12-27</v>
      </c>
      <c r="F1591" s="6"/>
    </row>
    <row r="1592" spans="1:6" ht="30" customHeight="1">
      <c r="A1592" s="6">
        <v>1590</v>
      </c>
      <c r="B1592" s="6" t="str">
        <f>"2728202011260951412413"</f>
        <v>2728202011260951412413</v>
      </c>
      <c r="C1592" s="6" t="s">
        <v>7</v>
      </c>
      <c r="D1592" s="6" t="str">
        <f>"吴小珂"</f>
        <v>吴小珂</v>
      </c>
      <c r="E1592" s="6" t="str">
        <f>"1994-08-02"</f>
        <v>1994-08-02</v>
      </c>
      <c r="F1592" s="6"/>
    </row>
    <row r="1593" spans="1:6" ht="30" customHeight="1">
      <c r="A1593" s="6">
        <v>1591</v>
      </c>
      <c r="B1593" s="6" t="str">
        <f>"2728202011260951482414"</f>
        <v>2728202011260951482414</v>
      </c>
      <c r="C1593" s="6" t="s">
        <v>7</v>
      </c>
      <c r="D1593" s="6" t="str">
        <f>"张丽花"</f>
        <v>张丽花</v>
      </c>
      <c r="E1593" s="6" t="str">
        <f>"1990-10-13"</f>
        <v>1990-10-13</v>
      </c>
      <c r="F1593" s="6"/>
    </row>
    <row r="1594" spans="1:6" ht="30" customHeight="1">
      <c r="A1594" s="6">
        <v>1592</v>
      </c>
      <c r="B1594" s="6" t="str">
        <f>"2728202011260956522418"</f>
        <v>2728202011260956522418</v>
      </c>
      <c r="C1594" s="6" t="s">
        <v>7</v>
      </c>
      <c r="D1594" s="6" t="str">
        <f>"符米慧"</f>
        <v>符米慧</v>
      </c>
      <c r="E1594" s="6" t="str">
        <f>"1996-02-23"</f>
        <v>1996-02-23</v>
      </c>
      <c r="F1594" s="6"/>
    </row>
    <row r="1595" spans="1:6" ht="30" customHeight="1">
      <c r="A1595" s="6">
        <v>1593</v>
      </c>
      <c r="B1595" s="6" t="str">
        <f>"2728202011261002052420"</f>
        <v>2728202011261002052420</v>
      </c>
      <c r="C1595" s="6" t="s">
        <v>7</v>
      </c>
      <c r="D1595" s="6" t="str">
        <f>"周岸"</f>
        <v>周岸</v>
      </c>
      <c r="E1595" s="6" t="str">
        <f>"1995-01-08"</f>
        <v>1995-01-08</v>
      </c>
      <c r="F1595" s="6"/>
    </row>
    <row r="1596" spans="1:6" ht="30" customHeight="1">
      <c r="A1596" s="6">
        <v>1594</v>
      </c>
      <c r="B1596" s="6" t="str">
        <f>"2728202011261002312422"</f>
        <v>2728202011261002312422</v>
      </c>
      <c r="C1596" s="6" t="s">
        <v>7</v>
      </c>
      <c r="D1596" s="6" t="str">
        <f>"谭月"</f>
        <v>谭月</v>
      </c>
      <c r="E1596" s="6" t="str">
        <f>"1994-04-04"</f>
        <v>1994-04-04</v>
      </c>
      <c r="F1596" s="6"/>
    </row>
    <row r="1597" spans="1:6" ht="30" customHeight="1">
      <c r="A1597" s="6">
        <v>1595</v>
      </c>
      <c r="B1597" s="6" t="str">
        <f>"2728202011261003192423"</f>
        <v>2728202011261003192423</v>
      </c>
      <c r="C1597" s="6" t="s">
        <v>7</v>
      </c>
      <c r="D1597" s="6" t="str">
        <f>"周昕雨"</f>
        <v>周昕雨</v>
      </c>
      <c r="E1597" s="6" t="str">
        <f>"1997-03-16"</f>
        <v>1997-03-16</v>
      </c>
      <c r="F1597" s="6"/>
    </row>
    <row r="1598" spans="1:6" ht="30" customHeight="1">
      <c r="A1598" s="6">
        <v>1596</v>
      </c>
      <c r="B1598" s="6" t="str">
        <f>"2728202011261008502425"</f>
        <v>2728202011261008502425</v>
      </c>
      <c r="C1598" s="6" t="s">
        <v>7</v>
      </c>
      <c r="D1598" s="6" t="str">
        <f>"卢玉芳"</f>
        <v>卢玉芳</v>
      </c>
      <c r="E1598" s="6" t="str">
        <f>"1990-08-16"</f>
        <v>1990-08-16</v>
      </c>
      <c r="F1598" s="6"/>
    </row>
    <row r="1599" spans="1:6" ht="30" customHeight="1">
      <c r="A1599" s="6">
        <v>1597</v>
      </c>
      <c r="B1599" s="6" t="str">
        <f>"2728202011261012022429"</f>
        <v>2728202011261012022429</v>
      </c>
      <c r="C1599" s="6" t="s">
        <v>7</v>
      </c>
      <c r="D1599" s="6" t="str">
        <f>"赵金龙"</f>
        <v>赵金龙</v>
      </c>
      <c r="E1599" s="6" t="str">
        <f>"1996-01-01"</f>
        <v>1996-01-01</v>
      </c>
      <c r="F1599" s="6"/>
    </row>
    <row r="1600" spans="1:6" ht="30" customHeight="1">
      <c r="A1600" s="6">
        <v>1598</v>
      </c>
      <c r="B1600" s="6" t="str">
        <f>"2728202011261013062430"</f>
        <v>2728202011261013062430</v>
      </c>
      <c r="C1600" s="6" t="s">
        <v>7</v>
      </c>
      <c r="D1600" s="6" t="str">
        <f>"许小芳"</f>
        <v>许小芳</v>
      </c>
      <c r="E1600" s="6" t="str">
        <f>"1997-02-12"</f>
        <v>1997-02-12</v>
      </c>
      <c r="F1600" s="6"/>
    </row>
    <row r="1601" spans="1:6" ht="30" customHeight="1">
      <c r="A1601" s="6">
        <v>1599</v>
      </c>
      <c r="B1601" s="6" t="str">
        <f>"2728202011261018042431"</f>
        <v>2728202011261018042431</v>
      </c>
      <c r="C1601" s="6" t="s">
        <v>7</v>
      </c>
      <c r="D1601" s="6" t="str">
        <f>"秦义翔"</f>
        <v>秦义翔</v>
      </c>
      <c r="E1601" s="6" t="str">
        <f>"1995-08-03"</f>
        <v>1995-08-03</v>
      </c>
      <c r="F1601" s="6"/>
    </row>
    <row r="1602" spans="1:6" ht="30" customHeight="1">
      <c r="A1602" s="6">
        <v>1600</v>
      </c>
      <c r="B1602" s="6" t="str">
        <f>"2728202011261027492433"</f>
        <v>2728202011261027492433</v>
      </c>
      <c r="C1602" s="6" t="s">
        <v>7</v>
      </c>
      <c r="D1602" s="6" t="str">
        <f>"张志杰"</f>
        <v>张志杰</v>
      </c>
      <c r="E1602" s="6" t="str">
        <f>"1999-05-12"</f>
        <v>1999-05-12</v>
      </c>
      <c r="F1602" s="6"/>
    </row>
    <row r="1603" spans="1:6" ht="30" customHeight="1">
      <c r="A1603" s="6">
        <v>1601</v>
      </c>
      <c r="B1603" s="6" t="str">
        <f>"2728202011261038252434"</f>
        <v>2728202011261038252434</v>
      </c>
      <c r="C1603" s="6" t="s">
        <v>7</v>
      </c>
      <c r="D1603" s="6" t="str">
        <f>"邢维丽"</f>
        <v>邢维丽</v>
      </c>
      <c r="E1603" s="6" t="str">
        <f>"1990-01-03"</f>
        <v>1990-01-03</v>
      </c>
      <c r="F1603" s="6"/>
    </row>
    <row r="1604" spans="1:6" ht="30" customHeight="1">
      <c r="A1604" s="6">
        <v>1602</v>
      </c>
      <c r="B1604" s="6" t="str">
        <f>"2728202011261044472435"</f>
        <v>2728202011261044472435</v>
      </c>
      <c r="C1604" s="6" t="s">
        <v>7</v>
      </c>
      <c r="D1604" s="6" t="str">
        <f>"高胜群"</f>
        <v>高胜群</v>
      </c>
      <c r="E1604" s="6" t="str">
        <f>"1990-01-01"</f>
        <v>1990-01-01</v>
      </c>
      <c r="F1604" s="6"/>
    </row>
    <row r="1605" spans="1:6" ht="30" customHeight="1">
      <c r="A1605" s="6">
        <v>1603</v>
      </c>
      <c r="B1605" s="6" t="str">
        <f>"2728202011261049322437"</f>
        <v>2728202011261049322437</v>
      </c>
      <c r="C1605" s="6" t="s">
        <v>7</v>
      </c>
      <c r="D1605" s="6" t="str">
        <f>"徐珂豪"</f>
        <v>徐珂豪</v>
      </c>
      <c r="E1605" s="6" t="str">
        <f>"1998-07-10"</f>
        <v>1998-07-10</v>
      </c>
      <c r="F1605" s="6"/>
    </row>
    <row r="1606" spans="1:6" ht="30" customHeight="1">
      <c r="A1606" s="6">
        <v>1604</v>
      </c>
      <c r="B1606" s="6" t="str">
        <f>"2728202011261051162439"</f>
        <v>2728202011261051162439</v>
      </c>
      <c r="C1606" s="6" t="s">
        <v>7</v>
      </c>
      <c r="D1606" s="6" t="str">
        <f>"王艺晓"</f>
        <v>王艺晓</v>
      </c>
      <c r="E1606" s="6" t="str">
        <f>"1991-12-18"</f>
        <v>1991-12-18</v>
      </c>
      <c r="F1606" s="6"/>
    </row>
    <row r="1607" spans="1:6" ht="30" customHeight="1">
      <c r="A1607" s="6">
        <v>1605</v>
      </c>
      <c r="B1607" s="6" t="str">
        <f>"2728202011261051572440"</f>
        <v>2728202011261051572440</v>
      </c>
      <c r="C1607" s="6" t="s">
        <v>7</v>
      </c>
      <c r="D1607" s="6" t="str">
        <f>"吉莹莹"</f>
        <v>吉莹莹</v>
      </c>
      <c r="E1607" s="6" t="str">
        <f>"1996-04-10"</f>
        <v>1996-04-10</v>
      </c>
      <c r="F1607" s="6"/>
    </row>
    <row r="1608" spans="1:6" ht="30" customHeight="1">
      <c r="A1608" s="6">
        <v>1606</v>
      </c>
      <c r="B1608" s="6" t="str">
        <f>"2728202011261052172441"</f>
        <v>2728202011261052172441</v>
      </c>
      <c r="C1608" s="6" t="s">
        <v>7</v>
      </c>
      <c r="D1608" s="6" t="str">
        <f>"蕉慧兰"</f>
        <v>蕉慧兰</v>
      </c>
      <c r="E1608" s="6" t="str">
        <f>"1997-02-28"</f>
        <v>1997-02-28</v>
      </c>
      <c r="F1608" s="6"/>
    </row>
    <row r="1609" spans="1:6" ht="30" customHeight="1">
      <c r="A1609" s="6">
        <v>1607</v>
      </c>
      <c r="B1609" s="6" t="str">
        <f>"2728202011261055502443"</f>
        <v>2728202011261055502443</v>
      </c>
      <c r="C1609" s="6" t="s">
        <v>7</v>
      </c>
      <c r="D1609" s="6" t="str">
        <f>"陈泽培"</f>
        <v>陈泽培</v>
      </c>
      <c r="E1609" s="6" t="str">
        <f>"1995-12-08"</f>
        <v>1995-12-08</v>
      </c>
      <c r="F1609" s="6"/>
    </row>
    <row r="1610" spans="1:6" ht="30" customHeight="1">
      <c r="A1610" s="6">
        <v>1608</v>
      </c>
      <c r="B1610" s="6" t="str">
        <f>"2728202011261057422444"</f>
        <v>2728202011261057422444</v>
      </c>
      <c r="C1610" s="6" t="s">
        <v>7</v>
      </c>
      <c r="D1610" s="6" t="str">
        <f>"董子薇"</f>
        <v>董子薇</v>
      </c>
      <c r="E1610" s="6" t="str">
        <f>"1996-07-17"</f>
        <v>1996-07-17</v>
      </c>
      <c r="F1610" s="6"/>
    </row>
    <row r="1611" spans="1:6" ht="30" customHeight="1">
      <c r="A1611" s="6">
        <v>1609</v>
      </c>
      <c r="B1611" s="6" t="str">
        <f>"2728202011261100082445"</f>
        <v>2728202011261100082445</v>
      </c>
      <c r="C1611" s="6" t="s">
        <v>7</v>
      </c>
      <c r="D1611" s="6" t="str">
        <f>"李国攀"</f>
        <v>李国攀</v>
      </c>
      <c r="E1611" s="6" t="str">
        <f>"1991-03-24"</f>
        <v>1991-03-24</v>
      </c>
      <c r="F1611" s="6"/>
    </row>
    <row r="1612" spans="1:6" ht="30" customHeight="1">
      <c r="A1612" s="6">
        <v>1610</v>
      </c>
      <c r="B1612" s="6" t="str">
        <f>"2728202011261105002448"</f>
        <v>2728202011261105002448</v>
      </c>
      <c r="C1612" s="6" t="s">
        <v>7</v>
      </c>
      <c r="D1612" s="6" t="str">
        <f>"谢世阳"</f>
        <v>谢世阳</v>
      </c>
      <c r="E1612" s="6" t="str">
        <f>"1996-02-17"</f>
        <v>1996-02-17</v>
      </c>
      <c r="F1612" s="6"/>
    </row>
    <row r="1613" spans="1:6" ht="30" customHeight="1">
      <c r="A1613" s="6">
        <v>1611</v>
      </c>
      <c r="B1613" s="6" t="str">
        <f>"2728202011261107452449"</f>
        <v>2728202011261107452449</v>
      </c>
      <c r="C1613" s="6" t="s">
        <v>7</v>
      </c>
      <c r="D1613" s="6" t="str">
        <f>"钟垂武"</f>
        <v>钟垂武</v>
      </c>
      <c r="E1613" s="6" t="str">
        <f>"1995-10-02"</f>
        <v>1995-10-02</v>
      </c>
      <c r="F1613" s="6"/>
    </row>
    <row r="1614" spans="1:6" ht="30" customHeight="1">
      <c r="A1614" s="6">
        <v>1612</v>
      </c>
      <c r="B1614" s="6" t="str">
        <f>"2728202011261112502450"</f>
        <v>2728202011261112502450</v>
      </c>
      <c r="C1614" s="6" t="s">
        <v>7</v>
      </c>
      <c r="D1614" s="6" t="str">
        <f>"李帝伟"</f>
        <v>李帝伟</v>
      </c>
      <c r="E1614" s="6" t="str">
        <f>"1995-06-03"</f>
        <v>1995-06-03</v>
      </c>
      <c r="F1614" s="6"/>
    </row>
    <row r="1615" spans="1:6" ht="30" customHeight="1">
      <c r="A1615" s="6">
        <v>1613</v>
      </c>
      <c r="B1615" s="6" t="str">
        <f>"2728202011261117262451"</f>
        <v>2728202011261117262451</v>
      </c>
      <c r="C1615" s="6" t="s">
        <v>7</v>
      </c>
      <c r="D1615" s="6" t="str">
        <f>"吴金娜"</f>
        <v>吴金娜</v>
      </c>
      <c r="E1615" s="6" t="str">
        <f>"1997-08-11"</f>
        <v>1997-08-11</v>
      </c>
      <c r="F1615" s="6"/>
    </row>
    <row r="1616" spans="1:6" ht="30" customHeight="1">
      <c r="A1616" s="6">
        <v>1614</v>
      </c>
      <c r="B1616" s="6" t="str">
        <f>"2728202011261117402453"</f>
        <v>2728202011261117402453</v>
      </c>
      <c r="C1616" s="6" t="s">
        <v>7</v>
      </c>
      <c r="D1616" s="6" t="str">
        <f>"周佳"</f>
        <v>周佳</v>
      </c>
      <c r="E1616" s="6" t="str">
        <f>"1995-01-10"</f>
        <v>1995-01-10</v>
      </c>
      <c r="F1616" s="6"/>
    </row>
    <row r="1617" spans="1:6" ht="30" customHeight="1">
      <c r="A1617" s="6">
        <v>1615</v>
      </c>
      <c r="B1617" s="6" t="str">
        <f>"2728202011261121592454"</f>
        <v>2728202011261121592454</v>
      </c>
      <c r="C1617" s="6" t="s">
        <v>7</v>
      </c>
      <c r="D1617" s="6" t="str">
        <f>"苏迈"</f>
        <v>苏迈</v>
      </c>
      <c r="E1617" s="6" t="str">
        <f>"1996-01-01"</f>
        <v>1996-01-01</v>
      </c>
      <c r="F1617" s="6"/>
    </row>
    <row r="1618" spans="1:6" ht="30" customHeight="1">
      <c r="A1618" s="6">
        <v>1616</v>
      </c>
      <c r="B1618" s="6" t="str">
        <f>"2728202011261125402457"</f>
        <v>2728202011261125402457</v>
      </c>
      <c r="C1618" s="6" t="s">
        <v>7</v>
      </c>
      <c r="D1618" s="6" t="str">
        <f>"卓翠婷"</f>
        <v>卓翠婷</v>
      </c>
      <c r="E1618" s="6" t="str">
        <f>"1995-09-07"</f>
        <v>1995-09-07</v>
      </c>
      <c r="F1618" s="6"/>
    </row>
    <row r="1619" spans="1:6" ht="30" customHeight="1">
      <c r="A1619" s="6">
        <v>1617</v>
      </c>
      <c r="B1619" s="6" t="str">
        <f>"2728202011261125552459"</f>
        <v>2728202011261125552459</v>
      </c>
      <c r="C1619" s="6" t="s">
        <v>7</v>
      </c>
      <c r="D1619" s="6" t="str">
        <f>"张小帆"</f>
        <v>张小帆</v>
      </c>
      <c r="E1619" s="6" t="str">
        <f>"1987-12-27"</f>
        <v>1987-12-27</v>
      </c>
      <c r="F1619" s="6"/>
    </row>
    <row r="1620" spans="1:6" ht="30" customHeight="1">
      <c r="A1620" s="6">
        <v>1618</v>
      </c>
      <c r="B1620" s="6" t="str">
        <f>"2728202011261126122460"</f>
        <v>2728202011261126122460</v>
      </c>
      <c r="C1620" s="6" t="s">
        <v>7</v>
      </c>
      <c r="D1620" s="6" t="str">
        <f>"林桃"</f>
        <v>林桃</v>
      </c>
      <c r="E1620" s="6" t="str">
        <f>"1999-09-28"</f>
        <v>1999-09-28</v>
      </c>
      <c r="F1620" s="6"/>
    </row>
    <row r="1621" spans="1:6" ht="30" customHeight="1">
      <c r="A1621" s="6">
        <v>1619</v>
      </c>
      <c r="B1621" s="6" t="str">
        <f>"2728202011261128582462"</f>
        <v>2728202011261128582462</v>
      </c>
      <c r="C1621" s="6" t="s">
        <v>7</v>
      </c>
      <c r="D1621" s="6" t="str">
        <f>"穆玉珅"</f>
        <v>穆玉珅</v>
      </c>
      <c r="E1621" s="6" t="str">
        <f>"1992-05-24"</f>
        <v>1992-05-24</v>
      </c>
      <c r="F1621" s="6"/>
    </row>
    <row r="1622" spans="1:6" ht="30" customHeight="1">
      <c r="A1622" s="6">
        <v>1620</v>
      </c>
      <c r="B1622" s="6" t="str">
        <f>"2728202011261134202465"</f>
        <v>2728202011261134202465</v>
      </c>
      <c r="C1622" s="6" t="s">
        <v>7</v>
      </c>
      <c r="D1622" s="6" t="str">
        <f>"陈祥妙"</f>
        <v>陈祥妙</v>
      </c>
      <c r="E1622" s="6" t="str">
        <f>"1995-11-08"</f>
        <v>1995-11-08</v>
      </c>
      <c r="F1622" s="6"/>
    </row>
    <row r="1623" spans="1:6" ht="30" customHeight="1">
      <c r="A1623" s="6">
        <v>1621</v>
      </c>
      <c r="B1623" s="6" t="str">
        <f>"2728202011261138472466"</f>
        <v>2728202011261138472466</v>
      </c>
      <c r="C1623" s="6" t="s">
        <v>7</v>
      </c>
      <c r="D1623" s="6" t="str">
        <f>"张明辉"</f>
        <v>张明辉</v>
      </c>
      <c r="E1623" s="6" t="str">
        <f>"1990-03-04"</f>
        <v>1990-03-04</v>
      </c>
      <c r="F1623" s="6"/>
    </row>
    <row r="1624" spans="1:6" ht="30" customHeight="1">
      <c r="A1624" s="6">
        <v>1622</v>
      </c>
      <c r="B1624" s="6" t="str">
        <f>"2728202011261139512468"</f>
        <v>2728202011261139512468</v>
      </c>
      <c r="C1624" s="6" t="s">
        <v>7</v>
      </c>
      <c r="D1624" s="6" t="str">
        <f>"王小雪"</f>
        <v>王小雪</v>
      </c>
      <c r="E1624" s="6" t="str">
        <f>"1997-03-18"</f>
        <v>1997-03-18</v>
      </c>
      <c r="F1624" s="6"/>
    </row>
    <row r="1625" spans="1:6" ht="30" customHeight="1">
      <c r="A1625" s="6">
        <v>1623</v>
      </c>
      <c r="B1625" s="6" t="str">
        <f>"2728202011261156032473"</f>
        <v>2728202011261156032473</v>
      </c>
      <c r="C1625" s="6" t="s">
        <v>7</v>
      </c>
      <c r="D1625" s="6" t="str">
        <f>"林菊宝"</f>
        <v>林菊宝</v>
      </c>
      <c r="E1625" s="6" t="str">
        <f>"1991-07-10"</f>
        <v>1991-07-10</v>
      </c>
      <c r="F1625" s="6"/>
    </row>
    <row r="1626" spans="1:6" ht="30" customHeight="1">
      <c r="A1626" s="6">
        <v>1624</v>
      </c>
      <c r="B1626" s="6" t="str">
        <f>"2728202011261158132474"</f>
        <v>2728202011261158132474</v>
      </c>
      <c r="C1626" s="6" t="s">
        <v>7</v>
      </c>
      <c r="D1626" s="6" t="str">
        <f>"林莹莹"</f>
        <v>林莹莹</v>
      </c>
      <c r="E1626" s="6" t="str">
        <f>"1993-06-24"</f>
        <v>1993-06-24</v>
      </c>
      <c r="F1626" s="6"/>
    </row>
    <row r="1627" spans="1:6" ht="30" customHeight="1">
      <c r="A1627" s="6">
        <v>1625</v>
      </c>
      <c r="B1627" s="6" t="str">
        <f>"2728202011261203072475"</f>
        <v>2728202011261203072475</v>
      </c>
      <c r="C1627" s="6" t="s">
        <v>7</v>
      </c>
      <c r="D1627" s="6" t="str">
        <f>"吴多举"</f>
        <v>吴多举</v>
      </c>
      <c r="E1627" s="6" t="str">
        <f>"1995-04-15"</f>
        <v>1995-04-15</v>
      </c>
      <c r="F1627" s="6"/>
    </row>
    <row r="1628" spans="1:6" ht="30" customHeight="1">
      <c r="A1628" s="6">
        <v>1626</v>
      </c>
      <c r="B1628" s="6" t="str">
        <f>"2728202011261210522477"</f>
        <v>2728202011261210522477</v>
      </c>
      <c r="C1628" s="6" t="s">
        <v>7</v>
      </c>
      <c r="D1628" s="6" t="str">
        <f>"周媛"</f>
        <v>周媛</v>
      </c>
      <c r="E1628" s="6" t="str">
        <f>"1989-12-17"</f>
        <v>1989-12-17</v>
      </c>
      <c r="F1628" s="6"/>
    </row>
    <row r="1629" spans="1:6" ht="30" customHeight="1">
      <c r="A1629" s="6">
        <v>1627</v>
      </c>
      <c r="B1629" s="6" t="str">
        <f>"2728202011261212082478"</f>
        <v>2728202011261212082478</v>
      </c>
      <c r="C1629" s="6" t="s">
        <v>7</v>
      </c>
      <c r="D1629" s="6" t="str">
        <f>"潘东"</f>
        <v>潘东</v>
      </c>
      <c r="E1629" s="6" t="str">
        <f>"1998-01-08"</f>
        <v>1998-01-08</v>
      </c>
      <c r="F1629" s="6"/>
    </row>
    <row r="1630" spans="1:6" ht="30" customHeight="1">
      <c r="A1630" s="6">
        <v>1628</v>
      </c>
      <c r="B1630" s="6" t="str">
        <f>"2728202011261212422479"</f>
        <v>2728202011261212422479</v>
      </c>
      <c r="C1630" s="6" t="s">
        <v>7</v>
      </c>
      <c r="D1630" s="6" t="str">
        <f>"曾庆健"</f>
        <v>曾庆健</v>
      </c>
      <c r="E1630" s="6" t="str">
        <f>"1995-06-11"</f>
        <v>1995-06-11</v>
      </c>
      <c r="F1630" s="6"/>
    </row>
    <row r="1631" spans="1:6" ht="30" customHeight="1">
      <c r="A1631" s="6">
        <v>1629</v>
      </c>
      <c r="B1631" s="6" t="str">
        <f>"2728202011261216122480"</f>
        <v>2728202011261216122480</v>
      </c>
      <c r="C1631" s="6" t="s">
        <v>7</v>
      </c>
      <c r="D1631" s="6" t="str">
        <f>"唐陶静"</f>
        <v>唐陶静</v>
      </c>
      <c r="E1631" s="6" t="str">
        <f>"1997-06-23"</f>
        <v>1997-06-23</v>
      </c>
      <c r="F1631" s="6"/>
    </row>
    <row r="1632" spans="1:6" ht="30" customHeight="1">
      <c r="A1632" s="6">
        <v>1630</v>
      </c>
      <c r="B1632" s="6" t="str">
        <f>"2728202011261219392481"</f>
        <v>2728202011261219392481</v>
      </c>
      <c r="C1632" s="6" t="s">
        <v>7</v>
      </c>
      <c r="D1632" s="6" t="str">
        <f>"陈芮莹"</f>
        <v>陈芮莹</v>
      </c>
      <c r="E1632" s="6" t="str">
        <f>"1993-11-08"</f>
        <v>1993-11-08</v>
      </c>
      <c r="F1632" s="6"/>
    </row>
    <row r="1633" spans="1:6" ht="30" customHeight="1">
      <c r="A1633" s="6">
        <v>1631</v>
      </c>
      <c r="B1633" s="6" t="str">
        <f>"2728202011261221362482"</f>
        <v>2728202011261221362482</v>
      </c>
      <c r="C1633" s="6" t="s">
        <v>7</v>
      </c>
      <c r="D1633" s="6" t="str">
        <f>"谭文清"</f>
        <v>谭文清</v>
      </c>
      <c r="E1633" s="6" t="str">
        <f>"1994-02-01"</f>
        <v>1994-02-01</v>
      </c>
      <c r="F1633" s="6"/>
    </row>
    <row r="1634" spans="1:6" ht="30" customHeight="1">
      <c r="A1634" s="6">
        <v>1632</v>
      </c>
      <c r="B1634" s="6" t="str">
        <f>"2728202011261221382483"</f>
        <v>2728202011261221382483</v>
      </c>
      <c r="C1634" s="6" t="s">
        <v>7</v>
      </c>
      <c r="D1634" s="6" t="str">
        <f>"吴俊翔"</f>
        <v>吴俊翔</v>
      </c>
      <c r="E1634" s="6" t="str">
        <f>"1997-03-08"</f>
        <v>1997-03-08</v>
      </c>
      <c r="F1634" s="6"/>
    </row>
    <row r="1635" spans="1:6" ht="30" customHeight="1">
      <c r="A1635" s="6">
        <v>1633</v>
      </c>
      <c r="B1635" s="6" t="str">
        <f>"2728202011261223082485"</f>
        <v>2728202011261223082485</v>
      </c>
      <c r="C1635" s="6" t="s">
        <v>7</v>
      </c>
      <c r="D1635" s="6" t="str">
        <f>"苏比"</f>
        <v>苏比</v>
      </c>
      <c r="E1635" s="6" t="str">
        <f>"1996-03-01"</f>
        <v>1996-03-01</v>
      </c>
      <c r="F1635" s="6"/>
    </row>
    <row r="1636" spans="1:6" ht="30" customHeight="1">
      <c r="A1636" s="6">
        <v>1634</v>
      </c>
      <c r="B1636" s="6" t="str">
        <f>"2728202011261223192486"</f>
        <v>2728202011261223192486</v>
      </c>
      <c r="C1636" s="6" t="s">
        <v>7</v>
      </c>
      <c r="D1636" s="6" t="str">
        <f>"李秀颖"</f>
        <v>李秀颖</v>
      </c>
      <c r="E1636" s="6" t="str">
        <f>"1996-06-14"</f>
        <v>1996-06-14</v>
      </c>
      <c r="F1636" s="6"/>
    </row>
    <row r="1637" spans="1:6" ht="30" customHeight="1">
      <c r="A1637" s="6">
        <v>1635</v>
      </c>
      <c r="B1637" s="6" t="str">
        <f>"2728202011261225492487"</f>
        <v>2728202011261225492487</v>
      </c>
      <c r="C1637" s="6" t="s">
        <v>7</v>
      </c>
      <c r="D1637" s="6" t="str">
        <f>"田慧"</f>
        <v>田慧</v>
      </c>
      <c r="E1637" s="6" t="str">
        <f>"1986-09-21"</f>
        <v>1986-09-21</v>
      </c>
      <c r="F1637" s="6"/>
    </row>
    <row r="1638" spans="1:6" ht="30" customHeight="1">
      <c r="A1638" s="6">
        <v>1636</v>
      </c>
      <c r="B1638" s="6" t="str">
        <f>"2728202011261226042488"</f>
        <v>2728202011261226042488</v>
      </c>
      <c r="C1638" s="6" t="s">
        <v>7</v>
      </c>
      <c r="D1638" s="6" t="str">
        <f>"肖剑磅"</f>
        <v>肖剑磅</v>
      </c>
      <c r="E1638" s="6" t="str">
        <f>"1988-03-22"</f>
        <v>1988-03-22</v>
      </c>
      <c r="F1638" s="6"/>
    </row>
    <row r="1639" spans="1:6" ht="30" customHeight="1">
      <c r="A1639" s="6">
        <v>1637</v>
      </c>
      <c r="B1639" s="6" t="str">
        <f>"2728202011261227282489"</f>
        <v>2728202011261227282489</v>
      </c>
      <c r="C1639" s="6" t="s">
        <v>7</v>
      </c>
      <c r="D1639" s="6" t="str">
        <f>"符用婷"</f>
        <v>符用婷</v>
      </c>
      <c r="E1639" s="6" t="str">
        <f>"1996-12-13"</f>
        <v>1996-12-13</v>
      </c>
      <c r="F1639" s="6"/>
    </row>
    <row r="1640" spans="1:6" ht="30" customHeight="1">
      <c r="A1640" s="6">
        <v>1638</v>
      </c>
      <c r="B1640" s="6" t="str">
        <f>"2728202011261232152490"</f>
        <v>2728202011261232152490</v>
      </c>
      <c r="C1640" s="6" t="s">
        <v>7</v>
      </c>
      <c r="D1640" s="6" t="str">
        <f>"高颖超"</f>
        <v>高颖超</v>
      </c>
      <c r="E1640" s="6" t="str">
        <f>"1992-11-22"</f>
        <v>1992-11-22</v>
      </c>
      <c r="F1640" s="6"/>
    </row>
    <row r="1641" spans="1:6" ht="30" customHeight="1">
      <c r="A1641" s="6">
        <v>1639</v>
      </c>
      <c r="B1641" s="6" t="str">
        <f>"2728202011261237502492"</f>
        <v>2728202011261237502492</v>
      </c>
      <c r="C1641" s="6" t="s">
        <v>7</v>
      </c>
      <c r="D1641" s="6" t="str">
        <f>"王树强"</f>
        <v>王树强</v>
      </c>
      <c r="E1641" s="6" t="str">
        <f>"1998-10-27"</f>
        <v>1998-10-27</v>
      </c>
      <c r="F1641" s="6"/>
    </row>
    <row r="1642" spans="1:6" ht="30" customHeight="1">
      <c r="A1642" s="6">
        <v>1640</v>
      </c>
      <c r="B1642" s="6" t="str">
        <f>"2728202011261244142494"</f>
        <v>2728202011261244142494</v>
      </c>
      <c r="C1642" s="6" t="s">
        <v>7</v>
      </c>
      <c r="D1642" s="6" t="str">
        <f>"唐理丽"</f>
        <v>唐理丽</v>
      </c>
      <c r="E1642" s="6" t="str">
        <f>"1998-04-13"</f>
        <v>1998-04-13</v>
      </c>
      <c r="F1642" s="6"/>
    </row>
    <row r="1643" spans="1:6" ht="30" customHeight="1">
      <c r="A1643" s="6">
        <v>1641</v>
      </c>
      <c r="B1643" s="6" t="str">
        <f>"2728202011261246232496"</f>
        <v>2728202011261246232496</v>
      </c>
      <c r="C1643" s="6" t="s">
        <v>7</v>
      </c>
      <c r="D1643" s="6" t="str">
        <f>"黄程秀"</f>
        <v>黄程秀</v>
      </c>
      <c r="E1643" s="6" t="str">
        <f>"1996-08-04"</f>
        <v>1996-08-04</v>
      </c>
      <c r="F1643" s="6"/>
    </row>
    <row r="1644" spans="1:6" ht="30" customHeight="1">
      <c r="A1644" s="6">
        <v>1642</v>
      </c>
      <c r="B1644" s="6" t="str">
        <f>"2728202011261246462497"</f>
        <v>2728202011261246462497</v>
      </c>
      <c r="C1644" s="6" t="s">
        <v>7</v>
      </c>
      <c r="D1644" s="6" t="str">
        <f>"麦涛旭"</f>
        <v>麦涛旭</v>
      </c>
      <c r="E1644" s="6" t="str">
        <f>"2000-04-28"</f>
        <v>2000-04-28</v>
      </c>
      <c r="F1644" s="6"/>
    </row>
    <row r="1645" spans="1:6" ht="30" customHeight="1">
      <c r="A1645" s="6">
        <v>1643</v>
      </c>
      <c r="B1645" s="6" t="str">
        <f>"2728202011261248292498"</f>
        <v>2728202011261248292498</v>
      </c>
      <c r="C1645" s="6" t="s">
        <v>7</v>
      </c>
      <c r="D1645" s="6" t="str">
        <f>"李光华"</f>
        <v>李光华</v>
      </c>
      <c r="E1645" s="6" t="str">
        <f>"1995-12-08"</f>
        <v>1995-12-08</v>
      </c>
      <c r="F1645" s="6"/>
    </row>
    <row r="1646" spans="1:6" ht="30" customHeight="1">
      <c r="A1646" s="6">
        <v>1644</v>
      </c>
      <c r="B1646" s="6" t="str">
        <f>"2728202011261250012499"</f>
        <v>2728202011261250012499</v>
      </c>
      <c r="C1646" s="6" t="s">
        <v>7</v>
      </c>
      <c r="D1646" s="6" t="str">
        <f>"羊庆恩"</f>
        <v>羊庆恩</v>
      </c>
      <c r="E1646" s="6" t="str">
        <f>"1993-01-19"</f>
        <v>1993-01-19</v>
      </c>
      <c r="F1646" s="6"/>
    </row>
    <row r="1647" spans="1:6" ht="30" customHeight="1">
      <c r="A1647" s="6">
        <v>1645</v>
      </c>
      <c r="B1647" s="6" t="str">
        <f>"2728202011261253592501"</f>
        <v>2728202011261253592501</v>
      </c>
      <c r="C1647" s="6" t="s">
        <v>7</v>
      </c>
      <c r="D1647" s="6" t="str">
        <f>"薛堡之"</f>
        <v>薛堡之</v>
      </c>
      <c r="E1647" s="6" t="str">
        <f>"1994-05-25"</f>
        <v>1994-05-25</v>
      </c>
      <c r="F1647" s="6"/>
    </row>
    <row r="1648" spans="1:6" ht="30" customHeight="1">
      <c r="A1648" s="6">
        <v>1646</v>
      </c>
      <c r="B1648" s="6" t="str">
        <f>"2728202011261258212506"</f>
        <v>2728202011261258212506</v>
      </c>
      <c r="C1648" s="6" t="s">
        <v>7</v>
      </c>
      <c r="D1648" s="6" t="str">
        <f>"盆丽英"</f>
        <v>盆丽英</v>
      </c>
      <c r="E1648" s="6" t="str">
        <f>"1996-01-03"</f>
        <v>1996-01-03</v>
      </c>
      <c r="F1648" s="6"/>
    </row>
    <row r="1649" spans="1:6" ht="30" customHeight="1">
      <c r="A1649" s="6">
        <v>1647</v>
      </c>
      <c r="B1649" s="6" t="str">
        <f>"2728202011261300392508"</f>
        <v>2728202011261300392508</v>
      </c>
      <c r="C1649" s="6" t="s">
        <v>7</v>
      </c>
      <c r="D1649" s="6" t="str">
        <f>"王晓丹"</f>
        <v>王晓丹</v>
      </c>
      <c r="E1649" s="6" t="str">
        <f>"1995-06-10"</f>
        <v>1995-06-10</v>
      </c>
      <c r="F1649" s="6"/>
    </row>
    <row r="1650" spans="1:6" ht="30" customHeight="1">
      <c r="A1650" s="6">
        <v>1648</v>
      </c>
      <c r="B1650" s="6" t="str">
        <f>"2728202011261302012510"</f>
        <v>2728202011261302012510</v>
      </c>
      <c r="C1650" s="6" t="s">
        <v>7</v>
      </c>
      <c r="D1650" s="6" t="str">
        <f>"罗佳欣"</f>
        <v>罗佳欣</v>
      </c>
      <c r="E1650" s="6" t="str">
        <f>"1997-03-16"</f>
        <v>1997-03-16</v>
      </c>
      <c r="F1650" s="6"/>
    </row>
    <row r="1651" spans="1:6" ht="30" customHeight="1">
      <c r="A1651" s="6">
        <v>1649</v>
      </c>
      <c r="B1651" s="6" t="str">
        <f>"2728202011261303272511"</f>
        <v>2728202011261303272511</v>
      </c>
      <c r="C1651" s="6" t="s">
        <v>7</v>
      </c>
      <c r="D1651" s="6" t="str">
        <f>"麦世婷"</f>
        <v>麦世婷</v>
      </c>
      <c r="E1651" s="6" t="str">
        <f>"1993-02-19"</f>
        <v>1993-02-19</v>
      </c>
      <c r="F1651" s="6"/>
    </row>
    <row r="1652" spans="1:6" ht="30" customHeight="1">
      <c r="A1652" s="6">
        <v>1650</v>
      </c>
      <c r="B1652" s="6" t="str">
        <f>"2728202011261304172512"</f>
        <v>2728202011261304172512</v>
      </c>
      <c r="C1652" s="6" t="s">
        <v>7</v>
      </c>
      <c r="D1652" s="6" t="str">
        <f>"张新伟"</f>
        <v>张新伟</v>
      </c>
      <c r="E1652" s="6" t="str">
        <f>"1997-12-05"</f>
        <v>1997-12-05</v>
      </c>
      <c r="F1652" s="6"/>
    </row>
    <row r="1653" spans="1:6" ht="30" customHeight="1">
      <c r="A1653" s="6">
        <v>1651</v>
      </c>
      <c r="B1653" s="6" t="str">
        <f>"2728202011261307042513"</f>
        <v>2728202011261307042513</v>
      </c>
      <c r="C1653" s="6" t="s">
        <v>7</v>
      </c>
      <c r="D1653" s="6" t="str">
        <f>"任娇娇"</f>
        <v>任娇娇</v>
      </c>
      <c r="E1653" s="6" t="str">
        <f>"1995-08-27"</f>
        <v>1995-08-27</v>
      </c>
      <c r="F1653" s="6"/>
    </row>
    <row r="1654" spans="1:6" ht="30" customHeight="1">
      <c r="A1654" s="6">
        <v>1652</v>
      </c>
      <c r="B1654" s="6" t="str">
        <f>"2728202011261307522514"</f>
        <v>2728202011261307522514</v>
      </c>
      <c r="C1654" s="6" t="s">
        <v>7</v>
      </c>
      <c r="D1654" s="6" t="str">
        <f>"朱顺凡"</f>
        <v>朱顺凡</v>
      </c>
      <c r="E1654" s="6" t="str">
        <f>"1998-06-27"</f>
        <v>1998-06-27</v>
      </c>
      <c r="F1654" s="6"/>
    </row>
    <row r="1655" spans="1:6" ht="30" customHeight="1">
      <c r="A1655" s="6">
        <v>1653</v>
      </c>
      <c r="B1655" s="6" t="str">
        <f>"2728202011261308522515"</f>
        <v>2728202011261308522515</v>
      </c>
      <c r="C1655" s="6" t="s">
        <v>7</v>
      </c>
      <c r="D1655" s="6" t="str">
        <f>"王传凯"</f>
        <v>王传凯</v>
      </c>
      <c r="E1655" s="6" t="str">
        <f>"1998-09-14"</f>
        <v>1998-09-14</v>
      </c>
      <c r="F1655" s="6"/>
    </row>
    <row r="1656" spans="1:6" ht="30" customHeight="1">
      <c r="A1656" s="6">
        <v>1654</v>
      </c>
      <c r="B1656" s="6" t="str">
        <f>"2728202011261309312516"</f>
        <v>2728202011261309312516</v>
      </c>
      <c r="C1656" s="6" t="s">
        <v>7</v>
      </c>
      <c r="D1656" s="6" t="str">
        <f>"杨少芳"</f>
        <v>杨少芳</v>
      </c>
      <c r="E1656" s="6" t="str">
        <f>"1990-11-23"</f>
        <v>1990-11-23</v>
      </c>
      <c r="F1656" s="6"/>
    </row>
    <row r="1657" spans="1:6" ht="30" customHeight="1">
      <c r="A1657" s="6">
        <v>1655</v>
      </c>
      <c r="B1657" s="6" t="str">
        <f>"2728202011261321582518"</f>
        <v>2728202011261321582518</v>
      </c>
      <c r="C1657" s="6" t="s">
        <v>7</v>
      </c>
      <c r="D1657" s="6" t="str">
        <f>"孙琼鹏"</f>
        <v>孙琼鹏</v>
      </c>
      <c r="E1657" s="6" t="str">
        <f>"1995-01-15"</f>
        <v>1995-01-15</v>
      </c>
      <c r="F1657" s="6"/>
    </row>
    <row r="1658" spans="1:6" ht="30" customHeight="1">
      <c r="A1658" s="6">
        <v>1656</v>
      </c>
      <c r="B1658" s="6" t="str">
        <f>"2728202011261327442523"</f>
        <v>2728202011261327442523</v>
      </c>
      <c r="C1658" s="6" t="s">
        <v>7</v>
      </c>
      <c r="D1658" s="6" t="str">
        <f>"卢招武"</f>
        <v>卢招武</v>
      </c>
      <c r="E1658" s="6" t="str">
        <f>"1988-04-13"</f>
        <v>1988-04-13</v>
      </c>
      <c r="F1658" s="6"/>
    </row>
    <row r="1659" spans="1:6" ht="30" customHeight="1">
      <c r="A1659" s="6">
        <v>1657</v>
      </c>
      <c r="B1659" s="6" t="str">
        <f>"2728202011261328262524"</f>
        <v>2728202011261328262524</v>
      </c>
      <c r="C1659" s="6" t="s">
        <v>7</v>
      </c>
      <c r="D1659" s="6" t="str">
        <f>"罗震龙"</f>
        <v>罗震龙</v>
      </c>
      <c r="E1659" s="6" t="str">
        <f>"1991-03-17"</f>
        <v>1991-03-17</v>
      </c>
      <c r="F1659" s="6"/>
    </row>
    <row r="1660" spans="1:6" ht="30" customHeight="1">
      <c r="A1660" s="6">
        <v>1658</v>
      </c>
      <c r="B1660" s="6" t="str">
        <f>"2728202011261329562525"</f>
        <v>2728202011261329562525</v>
      </c>
      <c r="C1660" s="6" t="s">
        <v>7</v>
      </c>
      <c r="D1660" s="6" t="str">
        <f>"苏天婷"</f>
        <v>苏天婷</v>
      </c>
      <c r="E1660" s="6" t="str">
        <f>"1997-02-07"</f>
        <v>1997-02-07</v>
      </c>
      <c r="F1660" s="6"/>
    </row>
    <row r="1661" spans="1:6" ht="30" customHeight="1">
      <c r="A1661" s="6">
        <v>1659</v>
      </c>
      <c r="B1661" s="6" t="str">
        <f>"2728202011261334282526"</f>
        <v>2728202011261334282526</v>
      </c>
      <c r="C1661" s="6" t="s">
        <v>7</v>
      </c>
      <c r="D1661" s="6" t="str">
        <f>"黄基雄"</f>
        <v>黄基雄</v>
      </c>
      <c r="E1661" s="6" t="str">
        <f>"1997-03-05"</f>
        <v>1997-03-05</v>
      </c>
      <c r="F1661" s="6"/>
    </row>
    <row r="1662" spans="1:6" ht="30" customHeight="1">
      <c r="A1662" s="6">
        <v>1660</v>
      </c>
      <c r="B1662" s="6" t="str">
        <f>"2728202011261338362527"</f>
        <v>2728202011261338362527</v>
      </c>
      <c r="C1662" s="6" t="s">
        <v>7</v>
      </c>
      <c r="D1662" s="6" t="str">
        <f>"胡宁芝"</f>
        <v>胡宁芝</v>
      </c>
      <c r="E1662" s="6" t="str">
        <f>"1995-12-09"</f>
        <v>1995-12-09</v>
      </c>
      <c r="F1662" s="6"/>
    </row>
    <row r="1663" spans="1:6" ht="30" customHeight="1">
      <c r="A1663" s="6">
        <v>1661</v>
      </c>
      <c r="B1663" s="6" t="str">
        <f>"2728202011261341462530"</f>
        <v>2728202011261341462530</v>
      </c>
      <c r="C1663" s="6" t="s">
        <v>7</v>
      </c>
      <c r="D1663" s="6" t="str">
        <f>"游雪纯"</f>
        <v>游雪纯</v>
      </c>
      <c r="E1663" s="6" t="str">
        <f>"1997-02-02"</f>
        <v>1997-02-02</v>
      </c>
      <c r="F1663" s="6"/>
    </row>
    <row r="1664" spans="1:6" ht="30" customHeight="1">
      <c r="A1664" s="6">
        <v>1662</v>
      </c>
      <c r="B1664" s="6" t="str">
        <f>"2728202011261342182531"</f>
        <v>2728202011261342182531</v>
      </c>
      <c r="C1664" s="6" t="s">
        <v>7</v>
      </c>
      <c r="D1664" s="6" t="str">
        <f>"兰傲"</f>
        <v>兰傲</v>
      </c>
      <c r="E1664" s="6" t="str">
        <f>"1995-02-22"</f>
        <v>1995-02-22</v>
      </c>
      <c r="F1664" s="6"/>
    </row>
    <row r="1665" spans="1:6" ht="30" customHeight="1">
      <c r="A1665" s="6">
        <v>1663</v>
      </c>
      <c r="B1665" s="6" t="str">
        <f>"2728202011261346112533"</f>
        <v>2728202011261346112533</v>
      </c>
      <c r="C1665" s="6" t="s">
        <v>7</v>
      </c>
      <c r="D1665" s="6" t="str">
        <f>"方晓琳"</f>
        <v>方晓琳</v>
      </c>
      <c r="E1665" s="6" t="str">
        <f>"1994-04-23"</f>
        <v>1994-04-23</v>
      </c>
      <c r="F1665" s="6"/>
    </row>
    <row r="1666" spans="1:6" ht="30" customHeight="1">
      <c r="A1666" s="6">
        <v>1664</v>
      </c>
      <c r="B1666" s="6" t="str">
        <f>"2728202011261346332534"</f>
        <v>2728202011261346332534</v>
      </c>
      <c r="C1666" s="6" t="s">
        <v>7</v>
      </c>
      <c r="D1666" s="6" t="str">
        <f>"吴莲雪"</f>
        <v>吴莲雪</v>
      </c>
      <c r="E1666" s="6" t="str">
        <f>"1990-03-05"</f>
        <v>1990-03-05</v>
      </c>
      <c r="F1666" s="6"/>
    </row>
    <row r="1667" spans="1:6" ht="30" customHeight="1">
      <c r="A1667" s="6">
        <v>1665</v>
      </c>
      <c r="B1667" s="6" t="str">
        <f>"2728202011261348232536"</f>
        <v>2728202011261348232536</v>
      </c>
      <c r="C1667" s="6" t="s">
        <v>7</v>
      </c>
      <c r="D1667" s="6" t="str">
        <f>"高开伟"</f>
        <v>高开伟</v>
      </c>
      <c r="E1667" s="6" t="str">
        <f>"1997-02-10"</f>
        <v>1997-02-10</v>
      </c>
      <c r="F1667" s="6"/>
    </row>
    <row r="1668" spans="1:6" ht="30" customHeight="1">
      <c r="A1668" s="6">
        <v>1666</v>
      </c>
      <c r="B1668" s="6" t="str">
        <f>"2728202011261348382537"</f>
        <v>2728202011261348382537</v>
      </c>
      <c r="C1668" s="6" t="s">
        <v>7</v>
      </c>
      <c r="D1668" s="6" t="str">
        <f>"牛艳萍"</f>
        <v>牛艳萍</v>
      </c>
      <c r="E1668" s="6" t="str">
        <f>"1990-09-12"</f>
        <v>1990-09-12</v>
      </c>
      <c r="F1668" s="6"/>
    </row>
    <row r="1669" spans="1:6" ht="30" customHeight="1">
      <c r="A1669" s="6">
        <v>1667</v>
      </c>
      <c r="B1669" s="6" t="str">
        <f>"2728202011261350262538"</f>
        <v>2728202011261350262538</v>
      </c>
      <c r="C1669" s="6" t="s">
        <v>7</v>
      </c>
      <c r="D1669" s="6" t="str">
        <f>"张燕"</f>
        <v>张燕</v>
      </c>
      <c r="E1669" s="6" t="str">
        <f>"1996-06-27"</f>
        <v>1996-06-27</v>
      </c>
      <c r="F1669" s="6"/>
    </row>
    <row r="1670" spans="1:6" ht="30" customHeight="1">
      <c r="A1670" s="6">
        <v>1668</v>
      </c>
      <c r="B1670" s="6" t="str">
        <f>"2728202011261359202542"</f>
        <v>2728202011261359202542</v>
      </c>
      <c r="C1670" s="6" t="s">
        <v>7</v>
      </c>
      <c r="D1670" s="6" t="str">
        <f>"贾子豪"</f>
        <v>贾子豪</v>
      </c>
      <c r="E1670" s="6" t="str">
        <f>"1997-07-07"</f>
        <v>1997-07-07</v>
      </c>
      <c r="F1670" s="6"/>
    </row>
    <row r="1671" spans="1:6" ht="30" customHeight="1">
      <c r="A1671" s="6">
        <v>1669</v>
      </c>
      <c r="B1671" s="6" t="str">
        <f>"2728202011261406022544"</f>
        <v>2728202011261406022544</v>
      </c>
      <c r="C1671" s="6" t="s">
        <v>7</v>
      </c>
      <c r="D1671" s="6" t="str">
        <f>"李韵"</f>
        <v>李韵</v>
      </c>
      <c r="E1671" s="6" t="str">
        <f>"1992-06-23"</f>
        <v>1992-06-23</v>
      </c>
      <c r="F1671" s="6"/>
    </row>
    <row r="1672" spans="1:6" ht="30" customHeight="1">
      <c r="A1672" s="6">
        <v>1670</v>
      </c>
      <c r="B1672" s="6" t="str">
        <f>"2728202011261406332545"</f>
        <v>2728202011261406332545</v>
      </c>
      <c r="C1672" s="6" t="s">
        <v>7</v>
      </c>
      <c r="D1672" s="6" t="str">
        <f>"张俊婷"</f>
        <v>张俊婷</v>
      </c>
      <c r="E1672" s="6" t="str">
        <f>"1991-10-02"</f>
        <v>1991-10-02</v>
      </c>
      <c r="F1672" s="6"/>
    </row>
    <row r="1673" spans="1:6" ht="30" customHeight="1">
      <c r="A1673" s="6">
        <v>1671</v>
      </c>
      <c r="B1673" s="6" t="str">
        <f>"2728202011261406382546"</f>
        <v>2728202011261406382546</v>
      </c>
      <c r="C1673" s="6" t="s">
        <v>7</v>
      </c>
      <c r="D1673" s="6" t="str">
        <f>"张敏"</f>
        <v>张敏</v>
      </c>
      <c r="E1673" s="6" t="str">
        <f>"1997-09-12"</f>
        <v>1997-09-12</v>
      </c>
      <c r="F1673" s="6"/>
    </row>
    <row r="1674" spans="1:6" ht="30" customHeight="1">
      <c r="A1674" s="6">
        <v>1672</v>
      </c>
      <c r="B1674" s="6" t="str">
        <f>"2728202011261415262549"</f>
        <v>2728202011261415262549</v>
      </c>
      <c r="C1674" s="6" t="s">
        <v>7</v>
      </c>
      <c r="D1674" s="6" t="str">
        <f>"孙路红"</f>
        <v>孙路红</v>
      </c>
      <c r="E1674" s="6" t="str">
        <f>"1985-02-27"</f>
        <v>1985-02-27</v>
      </c>
      <c r="F1674" s="6"/>
    </row>
    <row r="1675" spans="1:6" ht="30" customHeight="1">
      <c r="A1675" s="6">
        <v>1673</v>
      </c>
      <c r="B1675" s="6" t="str">
        <f>"2728202011261416552551"</f>
        <v>2728202011261416552551</v>
      </c>
      <c r="C1675" s="6" t="s">
        <v>7</v>
      </c>
      <c r="D1675" s="6" t="str">
        <f>"王正川"</f>
        <v>王正川</v>
      </c>
      <c r="E1675" s="6" t="str">
        <f>"1995-10-15"</f>
        <v>1995-10-15</v>
      </c>
      <c r="F1675" s="6"/>
    </row>
    <row r="1676" spans="1:6" ht="30" customHeight="1">
      <c r="A1676" s="6">
        <v>1674</v>
      </c>
      <c r="B1676" s="6" t="str">
        <f>"2728202011261417192552"</f>
        <v>2728202011261417192552</v>
      </c>
      <c r="C1676" s="6" t="s">
        <v>7</v>
      </c>
      <c r="D1676" s="6" t="str">
        <f>"洪月娇"</f>
        <v>洪月娇</v>
      </c>
      <c r="E1676" s="6" t="str">
        <f>"1997-08-12"</f>
        <v>1997-08-12</v>
      </c>
      <c r="F1676" s="6"/>
    </row>
    <row r="1677" spans="1:6" ht="30" customHeight="1">
      <c r="A1677" s="6">
        <v>1675</v>
      </c>
      <c r="B1677" s="6" t="str">
        <f>"2728202011261418032553"</f>
        <v>2728202011261418032553</v>
      </c>
      <c r="C1677" s="6" t="s">
        <v>7</v>
      </c>
      <c r="D1677" s="6" t="str">
        <f>"汪凡珠"</f>
        <v>汪凡珠</v>
      </c>
      <c r="E1677" s="6" t="str">
        <f>"1996-01-09"</f>
        <v>1996-01-09</v>
      </c>
      <c r="F1677" s="6"/>
    </row>
    <row r="1678" spans="1:6" ht="30" customHeight="1">
      <c r="A1678" s="6">
        <v>1676</v>
      </c>
      <c r="B1678" s="6" t="str">
        <f>"2728202011261422402556"</f>
        <v>2728202011261422402556</v>
      </c>
      <c r="C1678" s="6" t="s">
        <v>7</v>
      </c>
      <c r="D1678" s="6" t="str">
        <f>"尹朝贤"</f>
        <v>尹朝贤</v>
      </c>
      <c r="E1678" s="6" t="str">
        <f>"1985-05-18"</f>
        <v>1985-05-18</v>
      </c>
      <c r="F1678" s="6"/>
    </row>
    <row r="1679" spans="1:6" ht="30" customHeight="1">
      <c r="A1679" s="6">
        <v>1677</v>
      </c>
      <c r="B1679" s="6" t="str">
        <f>"2728202011261432192558"</f>
        <v>2728202011261432192558</v>
      </c>
      <c r="C1679" s="6" t="s">
        <v>7</v>
      </c>
      <c r="D1679" s="6" t="str">
        <f>"符峰"</f>
        <v>符峰</v>
      </c>
      <c r="E1679" s="6" t="str">
        <f>"1995-09-19"</f>
        <v>1995-09-19</v>
      </c>
      <c r="F1679" s="6"/>
    </row>
    <row r="1680" spans="1:6" ht="30" customHeight="1">
      <c r="A1680" s="6">
        <v>1678</v>
      </c>
      <c r="B1680" s="6" t="str">
        <f>"2728202011261448392561"</f>
        <v>2728202011261448392561</v>
      </c>
      <c r="C1680" s="6" t="s">
        <v>7</v>
      </c>
      <c r="D1680" s="6" t="str">
        <f>"张悦"</f>
        <v>张悦</v>
      </c>
      <c r="E1680" s="6" t="str">
        <f>"1994-12-18"</f>
        <v>1994-12-18</v>
      </c>
      <c r="F1680" s="6"/>
    </row>
    <row r="1681" spans="1:6" ht="30" customHeight="1">
      <c r="A1681" s="6">
        <v>1679</v>
      </c>
      <c r="B1681" s="6" t="str">
        <f>"2728202011261456062565"</f>
        <v>2728202011261456062565</v>
      </c>
      <c r="C1681" s="6" t="s">
        <v>7</v>
      </c>
      <c r="D1681" s="6" t="str">
        <f>"王曼茹"</f>
        <v>王曼茹</v>
      </c>
      <c r="E1681" s="6" t="str">
        <f>"1997-04-25"</f>
        <v>1997-04-25</v>
      </c>
      <c r="F1681" s="6"/>
    </row>
    <row r="1682" spans="1:6" ht="30" customHeight="1">
      <c r="A1682" s="6">
        <v>1680</v>
      </c>
      <c r="B1682" s="6" t="str">
        <f>"2728202011261458312566"</f>
        <v>2728202011261458312566</v>
      </c>
      <c r="C1682" s="6" t="s">
        <v>7</v>
      </c>
      <c r="D1682" s="6" t="str">
        <f>"符小叶"</f>
        <v>符小叶</v>
      </c>
      <c r="E1682" s="6" t="str">
        <f>"1992-06-23"</f>
        <v>1992-06-23</v>
      </c>
      <c r="F1682" s="6"/>
    </row>
    <row r="1683" spans="1:6" ht="30" customHeight="1">
      <c r="A1683" s="6">
        <v>1681</v>
      </c>
      <c r="B1683" s="6" t="str">
        <f>"2728202011261503052567"</f>
        <v>2728202011261503052567</v>
      </c>
      <c r="C1683" s="6" t="s">
        <v>7</v>
      </c>
      <c r="D1683" s="6" t="str">
        <f>"陈亚完"</f>
        <v>陈亚完</v>
      </c>
      <c r="E1683" s="6" t="str">
        <f>"1992-07-20"</f>
        <v>1992-07-20</v>
      </c>
      <c r="F1683" s="6"/>
    </row>
    <row r="1684" spans="1:6" ht="30" customHeight="1">
      <c r="A1684" s="6">
        <v>1682</v>
      </c>
      <c r="B1684" s="6" t="str">
        <f>"2728202011261507212569"</f>
        <v>2728202011261507212569</v>
      </c>
      <c r="C1684" s="6" t="s">
        <v>7</v>
      </c>
      <c r="D1684" s="6" t="str">
        <f>"李妙"</f>
        <v>李妙</v>
      </c>
      <c r="E1684" s="6" t="str">
        <f>"1993-03-28"</f>
        <v>1993-03-28</v>
      </c>
      <c r="F1684" s="6"/>
    </row>
    <row r="1685" spans="1:6" ht="30" customHeight="1">
      <c r="A1685" s="6">
        <v>1683</v>
      </c>
      <c r="B1685" s="6" t="str">
        <f>"2728202011261512552571"</f>
        <v>2728202011261512552571</v>
      </c>
      <c r="C1685" s="6" t="s">
        <v>7</v>
      </c>
      <c r="D1685" s="6" t="str">
        <f>"苏尧"</f>
        <v>苏尧</v>
      </c>
      <c r="E1685" s="6" t="str">
        <f>"1995-05-08"</f>
        <v>1995-05-08</v>
      </c>
      <c r="F1685" s="6"/>
    </row>
    <row r="1686" spans="1:6" ht="30" customHeight="1">
      <c r="A1686" s="6">
        <v>1684</v>
      </c>
      <c r="B1686" s="6" t="str">
        <f>"2728202011261513322572"</f>
        <v>2728202011261513322572</v>
      </c>
      <c r="C1686" s="6" t="s">
        <v>7</v>
      </c>
      <c r="D1686" s="6" t="str">
        <f>"陈木丽"</f>
        <v>陈木丽</v>
      </c>
      <c r="E1686" s="6" t="str">
        <f>"1995-07-19"</f>
        <v>1995-07-19</v>
      </c>
      <c r="F1686" s="6"/>
    </row>
    <row r="1687" spans="1:6" ht="30" customHeight="1">
      <c r="A1687" s="6">
        <v>1685</v>
      </c>
      <c r="B1687" s="6" t="str">
        <f>"2728202011261516202575"</f>
        <v>2728202011261516202575</v>
      </c>
      <c r="C1687" s="6" t="s">
        <v>7</v>
      </c>
      <c r="D1687" s="6" t="str">
        <f>"黎迅"</f>
        <v>黎迅</v>
      </c>
      <c r="E1687" s="6" t="str">
        <f>"1990-08-17"</f>
        <v>1990-08-17</v>
      </c>
      <c r="F1687" s="6"/>
    </row>
    <row r="1688" spans="1:6" ht="30" customHeight="1">
      <c r="A1688" s="6">
        <v>1686</v>
      </c>
      <c r="B1688" s="6" t="str">
        <f>"2728202011261523012578"</f>
        <v>2728202011261523012578</v>
      </c>
      <c r="C1688" s="6" t="s">
        <v>7</v>
      </c>
      <c r="D1688" s="6" t="str">
        <f>"邢孔威"</f>
        <v>邢孔威</v>
      </c>
      <c r="E1688" s="6" t="str">
        <f>"1993-02-18"</f>
        <v>1993-02-18</v>
      </c>
      <c r="F1688" s="6"/>
    </row>
    <row r="1689" spans="1:6" ht="30" customHeight="1">
      <c r="A1689" s="6">
        <v>1687</v>
      </c>
      <c r="B1689" s="6" t="str">
        <f>"2728202011261526092580"</f>
        <v>2728202011261526092580</v>
      </c>
      <c r="C1689" s="6" t="s">
        <v>7</v>
      </c>
      <c r="D1689" s="6" t="str">
        <f>"陈柚宁"</f>
        <v>陈柚宁</v>
      </c>
      <c r="E1689" s="6" t="str">
        <f>"1995-10-30"</f>
        <v>1995-10-30</v>
      </c>
      <c r="F1689" s="6"/>
    </row>
    <row r="1690" spans="1:6" ht="30" customHeight="1">
      <c r="A1690" s="6">
        <v>1688</v>
      </c>
      <c r="B1690" s="6" t="str">
        <f>"2728202011261527382581"</f>
        <v>2728202011261527382581</v>
      </c>
      <c r="C1690" s="6" t="s">
        <v>7</v>
      </c>
      <c r="D1690" s="6" t="str">
        <f>"唐多林"</f>
        <v>唐多林</v>
      </c>
      <c r="E1690" s="6" t="str">
        <f>"1996-03-18"</f>
        <v>1996-03-18</v>
      </c>
      <c r="F1690" s="6"/>
    </row>
    <row r="1691" spans="1:6" ht="30" customHeight="1">
      <c r="A1691" s="6">
        <v>1689</v>
      </c>
      <c r="B1691" s="6" t="str">
        <f>"2728202011261531132583"</f>
        <v>2728202011261531132583</v>
      </c>
      <c r="C1691" s="6" t="s">
        <v>7</v>
      </c>
      <c r="D1691" s="6" t="str">
        <f>"李璐璐"</f>
        <v>李璐璐</v>
      </c>
      <c r="E1691" s="6" t="str">
        <f>"1995-07-07"</f>
        <v>1995-07-07</v>
      </c>
      <c r="F1691" s="6"/>
    </row>
    <row r="1692" spans="1:6" ht="30" customHeight="1">
      <c r="A1692" s="6">
        <v>1690</v>
      </c>
      <c r="B1692" s="6" t="str">
        <f>"2728202011261531292584"</f>
        <v>2728202011261531292584</v>
      </c>
      <c r="C1692" s="6" t="s">
        <v>7</v>
      </c>
      <c r="D1692" s="6" t="str">
        <f>"王朝培"</f>
        <v>王朝培</v>
      </c>
      <c r="E1692" s="6" t="str">
        <f>"1998-09-25"</f>
        <v>1998-09-25</v>
      </c>
      <c r="F1692" s="6"/>
    </row>
    <row r="1693" spans="1:6" ht="30" customHeight="1">
      <c r="A1693" s="6">
        <v>1691</v>
      </c>
      <c r="B1693" s="6" t="str">
        <f>"2728202011261533592585"</f>
        <v>2728202011261533592585</v>
      </c>
      <c r="C1693" s="6" t="s">
        <v>7</v>
      </c>
      <c r="D1693" s="6" t="str">
        <f>"肖钰芳"</f>
        <v>肖钰芳</v>
      </c>
      <c r="E1693" s="6" t="str">
        <f>"1998-05-10"</f>
        <v>1998-05-10</v>
      </c>
      <c r="F1693" s="6"/>
    </row>
    <row r="1694" spans="1:6" ht="30" customHeight="1">
      <c r="A1694" s="6">
        <v>1692</v>
      </c>
      <c r="B1694" s="6" t="str">
        <f>"2728202011261536482588"</f>
        <v>2728202011261536482588</v>
      </c>
      <c r="C1694" s="6" t="s">
        <v>7</v>
      </c>
      <c r="D1694" s="6" t="str">
        <f>"罗阳"</f>
        <v>罗阳</v>
      </c>
      <c r="E1694" s="6" t="str">
        <f>"1994-09-26"</f>
        <v>1994-09-26</v>
      </c>
      <c r="F1694" s="6"/>
    </row>
    <row r="1695" spans="1:6" ht="30" customHeight="1">
      <c r="A1695" s="6">
        <v>1693</v>
      </c>
      <c r="B1695" s="6" t="str">
        <f>"2728202011261537332590"</f>
        <v>2728202011261537332590</v>
      </c>
      <c r="C1695" s="6" t="s">
        <v>7</v>
      </c>
      <c r="D1695" s="6" t="str">
        <f>"陈少雨"</f>
        <v>陈少雨</v>
      </c>
      <c r="E1695" s="6" t="str">
        <f>"1987-05-10"</f>
        <v>1987-05-10</v>
      </c>
      <c r="F1695" s="6"/>
    </row>
    <row r="1696" spans="1:6" ht="30" customHeight="1">
      <c r="A1696" s="6">
        <v>1694</v>
      </c>
      <c r="B1696" s="6" t="str">
        <f>"2728202011261541192591"</f>
        <v>2728202011261541192591</v>
      </c>
      <c r="C1696" s="6" t="s">
        <v>7</v>
      </c>
      <c r="D1696" s="6" t="str">
        <f>"符流锦"</f>
        <v>符流锦</v>
      </c>
      <c r="E1696" s="6" t="str">
        <f>"1997-02-06"</f>
        <v>1997-02-06</v>
      </c>
      <c r="F1696" s="6"/>
    </row>
    <row r="1697" spans="1:6" ht="30" customHeight="1">
      <c r="A1697" s="6">
        <v>1695</v>
      </c>
      <c r="B1697" s="6" t="str">
        <f>"2728202011261541452592"</f>
        <v>2728202011261541452592</v>
      </c>
      <c r="C1697" s="6" t="s">
        <v>7</v>
      </c>
      <c r="D1697" s="6" t="str">
        <f>"符小露"</f>
        <v>符小露</v>
      </c>
      <c r="E1697" s="6" t="str">
        <f>"1995-07-20"</f>
        <v>1995-07-20</v>
      </c>
      <c r="F1697" s="6"/>
    </row>
    <row r="1698" spans="1:6" ht="30" customHeight="1">
      <c r="A1698" s="6">
        <v>1696</v>
      </c>
      <c r="B1698" s="6" t="str">
        <f>"2728202011261544282594"</f>
        <v>2728202011261544282594</v>
      </c>
      <c r="C1698" s="6" t="s">
        <v>7</v>
      </c>
      <c r="D1698" s="6" t="str">
        <f>"王丹荟"</f>
        <v>王丹荟</v>
      </c>
      <c r="E1698" s="6" t="str">
        <f>"1997-07-05"</f>
        <v>1997-07-05</v>
      </c>
      <c r="F1698" s="6"/>
    </row>
    <row r="1699" spans="1:6" ht="30" customHeight="1">
      <c r="A1699" s="6">
        <v>1697</v>
      </c>
      <c r="B1699" s="6" t="str">
        <f>"2728202011261557382602"</f>
        <v>2728202011261557382602</v>
      </c>
      <c r="C1699" s="6" t="s">
        <v>7</v>
      </c>
      <c r="D1699" s="6" t="str">
        <f>"林榕瑜"</f>
        <v>林榕瑜</v>
      </c>
      <c r="E1699" s="6" t="str">
        <f>"1995-07-20"</f>
        <v>1995-07-20</v>
      </c>
      <c r="F1699" s="6"/>
    </row>
    <row r="1700" spans="1:6" ht="30" customHeight="1">
      <c r="A1700" s="6">
        <v>1698</v>
      </c>
      <c r="B1700" s="6" t="str">
        <f>"2728202011261557582603"</f>
        <v>2728202011261557582603</v>
      </c>
      <c r="C1700" s="6" t="s">
        <v>7</v>
      </c>
      <c r="D1700" s="6" t="str">
        <f>"覃逍志"</f>
        <v>覃逍志</v>
      </c>
      <c r="E1700" s="6" t="str">
        <f>"1990-03-24"</f>
        <v>1990-03-24</v>
      </c>
      <c r="F1700" s="6"/>
    </row>
    <row r="1701" spans="1:6" ht="30" customHeight="1">
      <c r="A1701" s="6">
        <v>1699</v>
      </c>
      <c r="B1701" s="6" t="str">
        <f>"2728202011261604332605"</f>
        <v>2728202011261604332605</v>
      </c>
      <c r="C1701" s="6" t="s">
        <v>7</v>
      </c>
      <c r="D1701" s="6" t="str">
        <f>"李德君"</f>
        <v>李德君</v>
      </c>
      <c r="E1701" s="6" t="str">
        <f>"1995-05-14"</f>
        <v>1995-05-14</v>
      </c>
      <c r="F1701" s="6"/>
    </row>
    <row r="1702" spans="1:6" ht="30" customHeight="1">
      <c r="A1702" s="6">
        <v>1700</v>
      </c>
      <c r="B1702" s="6" t="str">
        <f>"2728202011261606022608"</f>
        <v>2728202011261606022608</v>
      </c>
      <c r="C1702" s="6" t="s">
        <v>7</v>
      </c>
      <c r="D1702" s="6" t="str">
        <f>"吕丹女"</f>
        <v>吕丹女</v>
      </c>
      <c r="E1702" s="6" t="str">
        <f>"1993-05-07"</f>
        <v>1993-05-07</v>
      </c>
      <c r="F1702" s="6"/>
    </row>
    <row r="1703" spans="1:6" ht="30" customHeight="1">
      <c r="A1703" s="6">
        <v>1701</v>
      </c>
      <c r="B1703" s="6" t="str">
        <f>"2728202011261608532609"</f>
        <v>2728202011261608532609</v>
      </c>
      <c r="C1703" s="6" t="s">
        <v>7</v>
      </c>
      <c r="D1703" s="6" t="str">
        <f>"王艳"</f>
        <v>王艳</v>
      </c>
      <c r="E1703" s="6" t="str">
        <f>"1993-10-10"</f>
        <v>1993-10-10</v>
      </c>
      <c r="F1703" s="6"/>
    </row>
    <row r="1704" spans="1:6" ht="30" customHeight="1">
      <c r="A1704" s="6">
        <v>1702</v>
      </c>
      <c r="B1704" s="6" t="str">
        <f>"2728202011261611042612"</f>
        <v>2728202011261611042612</v>
      </c>
      <c r="C1704" s="6" t="s">
        <v>7</v>
      </c>
      <c r="D1704" s="6" t="str">
        <f>"邓寅"</f>
        <v>邓寅</v>
      </c>
      <c r="E1704" s="6" t="str">
        <f>"1998-06-06"</f>
        <v>1998-06-06</v>
      </c>
      <c r="F1704" s="6"/>
    </row>
    <row r="1705" spans="1:6" ht="30" customHeight="1">
      <c r="A1705" s="6">
        <v>1703</v>
      </c>
      <c r="B1705" s="6" t="str">
        <f>"2728202011261613562614"</f>
        <v>2728202011261613562614</v>
      </c>
      <c r="C1705" s="6" t="s">
        <v>7</v>
      </c>
      <c r="D1705" s="6" t="str">
        <f>"符传钦"</f>
        <v>符传钦</v>
      </c>
      <c r="E1705" s="6" t="str">
        <f>"1993-05-08"</f>
        <v>1993-05-08</v>
      </c>
      <c r="F1705" s="6"/>
    </row>
    <row r="1706" spans="1:6" ht="30" customHeight="1">
      <c r="A1706" s="6">
        <v>1704</v>
      </c>
      <c r="B1706" s="6" t="str">
        <f>"2728202011261617492615"</f>
        <v>2728202011261617492615</v>
      </c>
      <c r="C1706" s="6" t="s">
        <v>7</v>
      </c>
      <c r="D1706" s="6" t="str">
        <f>"陈章琳"</f>
        <v>陈章琳</v>
      </c>
      <c r="E1706" s="6" t="str">
        <f>"1991-05-29"</f>
        <v>1991-05-29</v>
      </c>
      <c r="F1706" s="6"/>
    </row>
    <row r="1707" spans="1:6" ht="30" customHeight="1">
      <c r="A1707" s="6">
        <v>1705</v>
      </c>
      <c r="B1707" s="6" t="str">
        <f>"2728202011261619082616"</f>
        <v>2728202011261619082616</v>
      </c>
      <c r="C1707" s="6" t="s">
        <v>7</v>
      </c>
      <c r="D1707" s="6" t="str">
        <f>"陈政宏"</f>
        <v>陈政宏</v>
      </c>
      <c r="E1707" s="6" t="str">
        <f>"1995-10-19"</f>
        <v>1995-10-19</v>
      </c>
      <c r="F1707" s="6"/>
    </row>
    <row r="1708" spans="1:6" ht="30" customHeight="1">
      <c r="A1708" s="6">
        <v>1706</v>
      </c>
      <c r="B1708" s="6" t="str">
        <f>"2728202011261620422618"</f>
        <v>2728202011261620422618</v>
      </c>
      <c r="C1708" s="6" t="s">
        <v>7</v>
      </c>
      <c r="D1708" s="6" t="str">
        <f>"纪新春"</f>
        <v>纪新春</v>
      </c>
      <c r="E1708" s="6" t="str">
        <f>"1997-07-29"</f>
        <v>1997-07-29</v>
      </c>
      <c r="F1708" s="6"/>
    </row>
    <row r="1709" spans="1:6" ht="30" customHeight="1">
      <c r="A1709" s="6">
        <v>1707</v>
      </c>
      <c r="B1709" s="6" t="str">
        <f>"2728202011261621472619"</f>
        <v>2728202011261621472619</v>
      </c>
      <c r="C1709" s="6" t="s">
        <v>7</v>
      </c>
      <c r="D1709" s="6" t="str">
        <f>"陈元冲"</f>
        <v>陈元冲</v>
      </c>
      <c r="E1709" s="6" t="str">
        <f>"1988-08-21"</f>
        <v>1988-08-21</v>
      </c>
      <c r="F1709" s="6"/>
    </row>
    <row r="1710" spans="1:6" ht="30" customHeight="1">
      <c r="A1710" s="6">
        <v>1708</v>
      </c>
      <c r="B1710" s="6" t="str">
        <f>"2728202011261629252624"</f>
        <v>2728202011261629252624</v>
      </c>
      <c r="C1710" s="6" t="s">
        <v>7</v>
      </c>
      <c r="D1710" s="6" t="str">
        <f>"兰晓莹"</f>
        <v>兰晓莹</v>
      </c>
      <c r="E1710" s="6" t="str">
        <f>"1996-03-01"</f>
        <v>1996-03-01</v>
      </c>
      <c r="F1710" s="6"/>
    </row>
    <row r="1711" spans="1:6" ht="30" customHeight="1">
      <c r="A1711" s="6">
        <v>1709</v>
      </c>
      <c r="B1711" s="6" t="str">
        <f>"2728202011261633162629"</f>
        <v>2728202011261633162629</v>
      </c>
      <c r="C1711" s="6" t="s">
        <v>7</v>
      </c>
      <c r="D1711" s="6" t="str">
        <f>"林小菲"</f>
        <v>林小菲</v>
      </c>
      <c r="E1711" s="6" t="str">
        <f>"1997-07-29"</f>
        <v>1997-07-29</v>
      </c>
      <c r="F1711" s="6"/>
    </row>
    <row r="1712" spans="1:6" ht="30" customHeight="1">
      <c r="A1712" s="6">
        <v>1710</v>
      </c>
      <c r="B1712" s="6" t="str">
        <f>"2728202011261638052632"</f>
        <v>2728202011261638052632</v>
      </c>
      <c r="C1712" s="6" t="s">
        <v>7</v>
      </c>
      <c r="D1712" s="6" t="str">
        <f>"靳帮语"</f>
        <v>靳帮语</v>
      </c>
      <c r="E1712" s="6" t="str">
        <f>"1992-03-27"</f>
        <v>1992-03-27</v>
      </c>
      <c r="F1712" s="6"/>
    </row>
    <row r="1713" spans="1:6" ht="30" customHeight="1">
      <c r="A1713" s="6">
        <v>1711</v>
      </c>
      <c r="B1713" s="6" t="str">
        <f>"2728202011261641562635"</f>
        <v>2728202011261641562635</v>
      </c>
      <c r="C1713" s="6" t="s">
        <v>7</v>
      </c>
      <c r="D1713" s="6" t="str">
        <f>"李璐雅"</f>
        <v>李璐雅</v>
      </c>
      <c r="E1713" s="6" t="str">
        <f>"1995-07-22"</f>
        <v>1995-07-22</v>
      </c>
      <c r="F1713" s="6"/>
    </row>
    <row r="1714" spans="1:6" ht="30" customHeight="1">
      <c r="A1714" s="6">
        <v>1712</v>
      </c>
      <c r="B1714" s="6" t="str">
        <f>"2728202011261643362636"</f>
        <v>2728202011261643362636</v>
      </c>
      <c r="C1714" s="6" t="s">
        <v>7</v>
      </c>
      <c r="D1714" s="6" t="str">
        <f>"向诗芮"</f>
        <v>向诗芮</v>
      </c>
      <c r="E1714" s="6" t="str">
        <f>"1993-09-15"</f>
        <v>1993-09-15</v>
      </c>
      <c r="F1714" s="6"/>
    </row>
    <row r="1715" spans="1:6" ht="30" customHeight="1">
      <c r="A1715" s="6">
        <v>1713</v>
      </c>
      <c r="B1715" s="6" t="str">
        <f>"2728202011200901275"</f>
        <v>2728202011200901275</v>
      </c>
      <c r="C1715" s="6" t="s">
        <v>8</v>
      </c>
      <c r="D1715" s="6" t="str">
        <f>"黎学霁"</f>
        <v>黎学霁</v>
      </c>
      <c r="E1715" s="6" t="str">
        <f>"1997-04-19"</f>
        <v>1997-04-19</v>
      </c>
      <c r="F1715" s="6"/>
    </row>
    <row r="1716" spans="1:6" ht="30" customHeight="1">
      <c r="A1716" s="6">
        <v>1714</v>
      </c>
      <c r="B1716" s="6" t="str">
        <f>"27282020112009350468"</f>
        <v>27282020112009350468</v>
      </c>
      <c r="C1716" s="6" t="s">
        <v>8</v>
      </c>
      <c r="D1716" s="6" t="str">
        <f>"云天怡"</f>
        <v>云天怡</v>
      </c>
      <c r="E1716" s="6" t="str">
        <f>"1997-02-09"</f>
        <v>1997-02-09</v>
      </c>
      <c r="F1716" s="6"/>
    </row>
    <row r="1717" spans="1:6" ht="30" customHeight="1">
      <c r="A1717" s="6">
        <v>1715</v>
      </c>
      <c r="B1717" s="6" t="str">
        <f>"272820201120100038113"</f>
        <v>272820201120100038113</v>
      </c>
      <c r="C1717" s="6" t="s">
        <v>8</v>
      </c>
      <c r="D1717" s="6" t="str">
        <f>"符春香"</f>
        <v>符春香</v>
      </c>
      <c r="E1717" s="6" t="str">
        <f>"1986-03-22"</f>
        <v>1986-03-22</v>
      </c>
      <c r="F1717" s="6"/>
    </row>
    <row r="1718" spans="1:6" ht="30" customHeight="1">
      <c r="A1718" s="6">
        <v>1716</v>
      </c>
      <c r="B1718" s="6" t="str">
        <f>"272820201120104119173"</f>
        <v>272820201120104119173</v>
      </c>
      <c r="C1718" s="6" t="s">
        <v>8</v>
      </c>
      <c r="D1718" s="6" t="str">
        <f>"王唯实"</f>
        <v>王唯实</v>
      </c>
      <c r="E1718" s="6" t="str">
        <f>"1985-12-10"</f>
        <v>1985-12-10</v>
      </c>
      <c r="F1718" s="6"/>
    </row>
    <row r="1719" spans="1:6" ht="30" customHeight="1">
      <c r="A1719" s="6">
        <v>1717</v>
      </c>
      <c r="B1719" s="6" t="str">
        <f>"272820201120105204183"</f>
        <v>272820201120105204183</v>
      </c>
      <c r="C1719" s="6" t="s">
        <v>8</v>
      </c>
      <c r="D1719" s="6" t="str">
        <f>"石丽娟"</f>
        <v>石丽娟</v>
      </c>
      <c r="E1719" s="6" t="str">
        <f>"1998.9"</f>
        <v>1998.9</v>
      </c>
      <c r="F1719" s="6"/>
    </row>
    <row r="1720" spans="1:6" ht="30" customHeight="1">
      <c r="A1720" s="6">
        <v>1718</v>
      </c>
      <c r="B1720" s="6" t="str">
        <f>"272820201120110139193"</f>
        <v>272820201120110139193</v>
      </c>
      <c r="C1720" s="6" t="s">
        <v>8</v>
      </c>
      <c r="D1720" s="6" t="str">
        <f>"罗丽丽"</f>
        <v>罗丽丽</v>
      </c>
      <c r="E1720" s="6" t="str">
        <f>"1998-08-27"</f>
        <v>1998-08-27</v>
      </c>
      <c r="F1720" s="6"/>
    </row>
    <row r="1721" spans="1:6" ht="30" customHeight="1">
      <c r="A1721" s="6">
        <v>1719</v>
      </c>
      <c r="B1721" s="6" t="str">
        <f>"272820201120110216195"</f>
        <v>272820201120110216195</v>
      </c>
      <c r="C1721" s="6" t="s">
        <v>8</v>
      </c>
      <c r="D1721" s="6" t="str">
        <f>"何开燕"</f>
        <v>何开燕</v>
      </c>
      <c r="E1721" s="6" t="str">
        <f>"1992-07-10"</f>
        <v>1992-07-10</v>
      </c>
      <c r="F1721" s="6"/>
    </row>
    <row r="1722" spans="1:6" ht="30" customHeight="1">
      <c r="A1722" s="6">
        <v>1720</v>
      </c>
      <c r="B1722" s="6" t="str">
        <f>"272820201120115221249"</f>
        <v>272820201120115221249</v>
      </c>
      <c r="C1722" s="6" t="s">
        <v>8</v>
      </c>
      <c r="D1722" s="6" t="str">
        <f>"林志敏"</f>
        <v>林志敏</v>
      </c>
      <c r="E1722" s="6" t="str">
        <f>"1995-05-17"</f>
        <v>1995-05-17</v>
      </c>
      <c r="F1722" s="6"/>
    </row>
    <row r="1723" spans="1:6" ht="30" customHeight="1">
      <c r="A1723" s="6">
        <v>1721</v>
      </c>
      <c r="B1723" s="6" t="str">
        <f>"272820201120144453368"</f>
        <v>272820201120144453368</v>
      </c>
      <c r="C1723" s="6" t="s">
        <v>8</v>
      </c>
      <c r="D1723" s="6" t="str">
        <f>"陈丽丽"</f>
        <v>陈丽丽</v>
      </c>
      <c r="E1723" s="6" t="str">
        <f>"1997-07-29"</f>
        <v>1997-07-29</v>
      </c>
      <c r="F1723" s="6"/>
    </row>
    <row r="1724" spans="1:6" ht="30" customHeight="1">
      <c r="A1724" s="6">
        <v>1722</v>
      </c>
      <c r="B1724" s="6" t="str">
        <f>"272820201120155158419"</f>
        <v>272820201120155158419</v>
      </c>
      <c r="C1724" s="6" t="s">
        <v>8</v>
      </c>
      <c r="D1724" s="6" t="str">
        <f>"张可欣"</f>
        <v>张可欣</v>
      </c>
      <c r="E1724" s="6" t="str">
        <f>"1997-09-23"</f>
        <v>1997-09-23</v>
      </c>
      <c r="F1724" s="6"/>
    </row>
    <row r="1725" spans="1:6" ht="30" customHeight="1">
      <c r="A1725" s="6">
        <v>1723</v>
      </c>
      <c r="B1725" s="6" t="str">
        <f>"272820201120160828433"</f>
        <v>272820201120160828433</v>
      </c>
      <c r="C1725" s="6" t="s">
        <v>8</v>
      </c>
      <c r="D1725" s="6" t="str">
        <f>"王丹妮"</f>
        <v>王丹妮</v>
      </c>
      <c r="E1725" s="6" t="str">
        <f>"1997-02-12"</f>
        <v>1997-02-12</v>
      </c>
      <c r="F1725" s="6"/>
    </row>
    <row r="1726" spans="1:6" ht="30" customHeight="1">
      <c r="A1726" s="6">
        <v>1724</v>
      </c>
      <c r="B1726" s="6" t="str">
        <f>"272820201120164922466"</f>
        <v>272820201120164922466</v>
      </c>
      <c r="C1726" s="6" t="s">
        <v>8</v>
      </c>
      <c r="D1726" s="6" t="str">
        <f>"陈国良"</f>
        <v>陈国良</v>
      </c>
      <c r="E1726" s="6" t="str">
        <f>"1996-11-18"</f>
        <v>1996-11-18</v>
      </c>
      <c r="F1726" s="6"/>
    </row>
    <row r="1727" spans="1:6" ht="30" customHeight="1">
      <c r="A1727" s="6">
        <v>1725</v>
      </c>
      <c r="B1727" s="6" t="str">
        <f>"272820201120175143508"</f>
        <v>272820201120175143508</v>
      </c>
      <c r="C1727" s="6" t="s">
        <v>8</v>
      </c>
      <c r="D1727" s="6" t="str">
        <f>"麦土柳"</f>
        <v>麦土柳</v>
      </c>
      <c r="E1727" s="6" t="str">
        <f>"1994-06-04"</f>
        <v>1994-06-04</v>
      </c>
      <c r="F1727" s="6"/>
    </row>
    <row r="1728" spans="1:6" ht="30" customHeight="1">
      <c r="A1728" s="6">
        <v>1726</v>
      </c>
      <c r="B1728" s="6" t="str">
        <f>"272820201120195533565"</f>
        <v>272820201120195533565</v>
      </c>
      <c r="C1728" s="6" t="s">
        <v>8</v>
      </c>
      <c r="D1728" s="6" t="str">
        <f>"尹惠"</f>
        <v>尹惠</v>
      </c>
      <c r="E1728" s="6" t="str">
        <f>"1995-11-02"</f>
        <v>1995-11-02</v>
      </c>
      <c r="F1728" s="6"/>
    </row>
    <row r="1729" spans="1:6" ht="30" customHeight="1">
      <c r="A1729" s="6">
        <v>1727</v>
      </c>
      <c r="B1729" s="6" t="str">
        <f>"272820201120201526576"</f>
        <v>272820201120201526576</v>
      </c>
      <c r="C1729" s="6" t="s">
        <v>8</v>
      </c>
      <c r="D1729" s="6" t="str">
        <f>"张菲菲"</f>
        <v>张菲菲</v>
      </c>
      <c r="E1729" s="6" t="str">
        <f>"1999-04-01"</f>
        <v>1999-04-01</v>
      </c>
      <c r="F1729" s="6"/>
    </row>
    <row r="1730" spans="1:6" ht="30" customHeight="1">
      <c r="A1730" s="6">
        <v>1728</v>
      </c>
      <c r="B1730" s="6" t="str">
        <f>"272820201120202325584"</f>
        <v>272820201120202325584</v>
      </c>
      <c r="C1730" s="6" t="s">
        <v>8</v>
      </c>
      <c r="D1730" s="6" t="str">
        <f>"吴燕飞"</f>
        <v>吴燕飞</v>
      </c>
      <c r="E1730" s="6" t="str">
        <f>"1996-08-28"</f>
        <v>1996-08-28</v>
      </c>
      <c r="F1730" s="6"/>
    </row>
    <row r="1731" spans="1:6" ht="30" customHeight="1">
      <c r="A1731" s="6">
        <v>1729</v>
      </c>
      <c r="B1731" s="6" t="str">
        <f>"272820201120203030590"</f>
        <v>272820201120203030590</v>
      </c>
      <c r="C1731" s="6" t="s">
        <v>8</v>
      </c>
      <c r="D1731" s="6" t="str">
        <f>"陈小妃"</f>
        <v>陈小妃</v>
      </c>
      <c r="E1731" s="6" t="str">
        <f>"1997-08-04"</f>
        <v>1997-08-04</v>
      </c>
      <c r="F1731" s="6"/>
    </row>
    <row r="1732" spans="1:6" ht="30" customHeight="1">
      <c r="A1732" s="6">
        <v>1730</v>
      </c>
      <c r="B1732" s="6" t="str">
        <f>"272820201120220611635"</f>
        <v>272820201120220611635</v>
      </c>
      <c r="C1732" s="6" t="s">
        <v>8</v>
      </c>
      <c r="D1732" s="6" t="str">
        <f>"骆梓晴"</f>
        <v>骆梓晴</v>
      </c>
      <c r="E1732" s="6" t="str">
        <f>"1997-04-28"</f>
        <v>1997-04-28</v>
      </c>
      <c r="F1732" s="6"/>
    </row>
    <row r="1733" spans="1:6" ht="30" customHeight="1">
      <c r="A1733" s="6">
        <v>1731</v>
      </c>
      <c r="B1733" s="6" t="str">
        <f>"272820201120220705636"</f>
        <v>272820201120220705636</v>
      </c>
      <c r="C1733" s="6" t="s">
        <v>8</v>
      </c>
      <c r="D1733" s="6" t="str">
        <f>"潘名书"</f>
        <v>潘名书</v>
      </c>
      <c r="E1733" s="6" t="str">
        <f>"1996-10-17"</f>
        <v>1996-10-17</v>
      </c>
      <c r="F1733" s="6"/>
    </row>
    <row r="1734" spans="1:6" ht="30" customHeight="1">
      <c r="A1734" s="6">
        <v>1732</v>
      </c>
      <c r="B1734" s="6" t="str">
        <f>"272820201120234557671"</f>
        <v>272820201120234557671</v>
      </c>
      <c r="C1734" s="6" t="s">
        <v>8</v>
      </c>
      <c r="D1734" s="6" t="str">
        <f>"程心禹"</f>
        <v>程心禹</v>
      </c>
      <c r="E1734" s="6" t="str">
        <f>"1995-05-29"</f>
        <v>1995-05-29</v>
      </c>
      <c r="F1734" s="6"/>
    </row>
    <row r="1735" spans="1:6" ht="30" customHeight="1">
      <c r="A1735" s="6">
        <v>1733</v>
      </c>
      <c r="B1735" s="6" t="str">
        <f>"272820201121142813817"</f>
        <v>272820201121142813817</v>
      </c>
      <c r="C1735" s="6" t="s">
        <v>8</v>
      </c>
      <c r="D1735" s="6" t="str">
        <f>"欧淑英"</f>
        <v>欧淑英</v>
      </c>
      <c r="E1735" s="6" t="str">
        <f>"1988-01-06"</f>
        <v>1988-01-06</v>
      </c>
      <c r="F1735" s="6"/>
    </row>
    <row r="1736" spans="1:6" ht="30" customHeight="1">
      <c r="A1736" s="6">
        <v>1734</v>
      </c>
      <c r="B1736" s="6" t="str">
        <f>"272820201121143748820"</f>
        <v>272820201121143748820</v>
      </c>
      <c r="C1736" s="6" t="s">
        <v>8</v>
      </c>
      <c r="D1736" s="6" t="str">
        <f>"陈甜甜"</f>
        <v>陈甜甜</v>
      </c>
      <c r="E1736" s="6" t="str">
        <f>"1998-06-04"</f>
        <v>1998-06-04</v>
      </c>
      <c r="F1736" s="6"/>
    </row>
    <row r="1737" spans="1:6" ht="30" customHeight="1">
      <c r="A1737" s="6">
        <v>1735</v>
      </c>
      <c r="B1737" s="6" t="str">
        <f>"272820201121154930842"</f>
        <v>272820201121154930842</v>
      </c>
      <c r="C1737" s="6" t="s">
        <v>8</v>
      </c>
      <c r="D1737" s="6" t="str">
        <f>"颜业美"</f>
        <v>颜业美</v>
      </c>
      <c r="E1737" s="6" t="str">
        <f>"1997-08-31"</f>
        <v>1997-08-31</v>
      </c>
      <c r="F1737" s="6"/>
    </row>
    <row r="1738" spans="1:6" ht="30" customHeight="1">
      <c r="A1738" s="6">
        <v>1736</v>
      </c>
      <c r="B1738" s="6" t="str">
        <f>"272820201121163954856"</f>
        <v>272820201121163954856</v>
      </c>
      <c r="C1738" s="6" t="s">
        <v>8</v>
      </c>
      <c r="D1738" s="6" t="str">
        <f>"曾小穆"</f>
        <v>曾小穆</v>
      </c>
      <c r="E1738" s="6" t="str">
        <f>"1989-12-22"</f>
        <v>1989-12-22</v>
      </c>
      <c r="F1738" s="6"/>
    </row>
    <row r="1739" spans="1:6" ht="30" customHeight="1">
      <c r="A1739" s="6">
        <v>1737</v>
      </c>
      <c r="B1739" s="6" t="str">
        <f>"272820201121165555862"</f>
        <v>272820201121165555862</v>
      </c>
      <c r="C1739" s="6" t="s">
        <v>8</v>
      </c>
      <c r="D1739" s="6" t="str">
        <f>"林圣智"</f>
        <v>林圣智</v>
      </c>
      <c r="E1739" s="6" t="str">
        <f>"1994-10-21"</f>
        <v>1994-10-21</v>
      </c>
      <c r="F1739" s="6"/>
    </row>
    <row r="1740" spans="1:6" ht="30" customHeight="1">
      <c r="A1740" s="6">
        <v>1738</v>
      </c>
      <c r="B1740" s="6" t="str">
        <f>"272820201121170949869"</f>
        <v>272820201121170949869</v>
      </c>
      <c r="C1740" s="6" t="s">
        <v>8</v>
      </c>
      <c r="D1740" s="6" t="str">
        <f>"李云蔚"</f>
        <v>李云蔚</v>
      </c>
      <c r="E1740" s="6" t="str">
        <f>"1998-07-05"</f>
        <v>1998-07-05</v>
      </c>
      <c r="F1740" s="6"/>
    </row>
    <row r="1741" spans="1:6" ht="30" customHeight="1">
      <c r="A1741" s="6">
        <v>1739</v>
      </c>
      <c r="B1741" s="6" t="str">
        <f>"272820201121194224907"</f>
        <v>272820201121194224907</v>
      </c>
      <c r="C1741" s="6" t="s">
        <v>8</v>
      </c>
      <c r="D1741" s="6" t="str">
        <f>"吉微"</f>
        <v>吉微</v>
      </c>
      <c r="E1741" s="6" t="str">
        <f>"1996-06-22"</f>
        <v>1996-06-22</v>
      </c>
      <c r="F1741" s="6"/>
    </row>
    <row r="1742" spans="1:6" ht="30" customHeight="1">
      <c r="A1742" s="6">
        <v>1740</v>
      </c>
      <c r="B1742" s="6" t="str">
        <f>"272820201121194411908"</f>
        <v>272820201121194411908</v>
      </c>
      <c r="C1742" s="6" t="s">
        <v>8</v>
      </c>
      <c r="D1742" s="6" t="str">
        <f>"董明姑"</f>
        <v>董明姑</v>
      </c>
      <c r="E1742" s="6" t="str">
        <f>"1992-07-18"</f>
        <v>1992-07-18</v>
      </c>
      <c r="F1742" s="6"/>
    </row>
    <row r="1743" spans="1:6" ht="30" customHeight="1">
      <c r="A1743" s="6">
        <v>1741</v>
      </c>
      <c r="B1743" s="6" t="str">
        <f>"2728202011220932041015"</f>
        <v>2728202011220932041015</v>
      </c>
      <c r="C1743" s="6" t="s">
        <v>8</v>
      </c>
      <c r="D1743" s="6" t="str">
        <f>"文小静"</f>
        <v>文小静</v>
      </c>
      <c r="E1743" s="6" t="str">
        <f>"1995-05-06"</f>
        <v>1995-05-06</v>
      </c>
      <c r="F1743" s="6"/>
    </row>
    <row r="1744" spans="1:6" ht="30" customHeight="1">
      <c r="A1744" s="6">
        <v>1742</v>
      </c>
      <c r="B1744" s="6" t="str">
        <f>"2728202011221135251057"</f>
        <v>2728202011221135251057</v>
      </c>
      <c r="C1744" s="6" t="s">
        <v>8</v>
      </c>
      <c r="D1744" s="6" t="str">
        <f>"李敏"</f>
        <v>李敏</v>
      </c>
      <c r="E1744" s="6" t="str">
        <f>"1997-04-12"</f>
        <v>1997-04-12</v>
      </c>
      <c r="F1744" s="6"/>
    </row>
    <row r="1745" spans="1:6" ht="30" customHeight="1">
      <c r="A1745" s="6">
        <v>1743</v>
      </c>
      <c r="B1745" s="6" t="str">
        <f>"2728202011221219191070"</f>
        <v>2728202011221219191070</v>
      </c>
      <c r="C1745" s="6" t="s">
        <v>8</v>
      </c>
      <c r="D1745" s="6" t="str">
        <f>"符尤华"</f>
        <v>符尤华</v>
      </c>
      <c r="E1745" s="6" t="str">
        <f>"1996-11-08"</f>
        <v>1996-11-08</v>
      </c>
      <c r="F1745" s="6"/>
    </row>
    <row r="1746" spans="1:6" ht="30" customHeight="1">
      <c r="A1746" s="6">
        <v>1744</v>
      </c>
      <c r="B1746" s="6" t="str">
        <f>"2728202011221722441143"</f>
        <v>2728202011221722441143</v>
      </c>
      <c r="C1746" s="6" t="s">
        <v>8</v>
      </c>
      <c r="D1746" s="6" t="str">
        <f>"林仕智"</f>
        <v>林仕智</v>
      </c>
      <c r="E1746" s="6" t="str">
        <f>"1994-12-28"</f>
        <v>1994-12-28</v>
      </c>
      <c r="F1746" s="6"/>
    </row>
    <row r="1747" spans="1:6" ht="30" customHeight="1">
      <c r="A1747" s="6">
        <v>1745</v>
      </c>
      <c r="B1747" s="6" t="str">
        <f>"2728202011221819011157"</f>
        <v>2728202011221819011157</v>
      </c>
      <c r="C1747" s="6" t="s">
        <v>8</v>
      </c>
      <c r="D1747" s="6" t="str">
        <f>"符语洪"</f>
        <v>符语洪</v>
      </c>
      <c r="E1747" s="6" t="str">
        <f>"1998-10-03"</f>
        <v>1998-10-03</v>
      </c>
      <c r="F1747" s="6"/>
    </row>
    <row r="1748" spans="1:6" ht="30" customHeight="1">
      <c r="A1748" s="6">
        <v>1746</v>
      </c>
      <c r="B1748" s="6" t="str">
        <f>"2728202011221940501196"</f>
        <v>2728202011221940501196</v>
      </c>
      <c r="C1748" s="6" t="s">
        <v>8</v>
      </c>
      <c r="D1748" s="6" t="str">
        <f>"陈雅欣"</f>
        <v>陈雅欣</v>
      </c>
      <c r="E1748" s="6" t="str">
        <f>"1988-01-15"</f>
        <v>1988-01-15</v>
      </c>
      <c r="F1748" s="6"/>
    </row>
    <row r="1749" spans="1:6" ht="30" customHeight="1">
      <c r="A1749" s="6">
        <v>1747</v>
      </c>
      <c r="B1749" s="6" t="str">
        <f>"2728202011222115401231"</f>
        <v>2728202011222115401231</v>
      </c>
      <c r="C1749" s="6" t="s">
        <v>8</v>
      </c>
      <c r="D1749" s="6" t="str">
        <f>"麦璐璐"</f>
        <v>麦璐璐</v>
      </c>
      <c r="E1749" s="6" t="str">
        <f>"1995-11-15"</f>
        <v>1995-11-15</v>
      </c>
      <c r="F1749" s="6"/>
    </row>
    <row r="1750" spans="1:6" ht="30" customHeight="1">
      <c r="A1750" s="6">
        <v>1748</v>
      </c>
      <c r="B1750" s="6" t="str">
        <f>"2728202011222228251261"</f>
        <v>2728202011222228251261</v>
      </c>
      <c r="C1750" s="6" t="s">
        <v>8</v>
      </c>
      <c r="D1750" s="6" t="str">
        <f>"邱新瑶"</f>
        <v>邱新瑶</v>
      </c>
      <c r="E1750" s="6" t="str">
        <f>"1991-06-21"</f>
        <v>1991-06-21</v>
      </c>
      <c r="F1750" s="6"/>
    </row>
    <row r="1751" spans="1:6" ht="30" customHeight="1">
      <c r="A1751" s="6">
        <v>1749</v>
      </c>
      <c r="B1751" s="6" t="str">
        <f>"2728202011222236351267"</f>
        <v>2728202011222236351267</v>
      </c>
      <c r="C1751" s="6" t="s">
        <v>8</v>
      </c>
      <c r="D1751" s="6" t="str">
        <f>"吴玉菊"</f>
        <v>吴玉菊</v>
      </c>
      <c r="E1751" s="6" t="str">
        <f>"1991-08-10"</f>
        <v>1991-08-10</v>
      </c>
      <c r="F1751" s="6"/>
    </row>
    <row r="1752" spans="1:6" ht="30" customHeight="1">
      <c r="A1752" s="6">
        <v>1750</v>
      </c>
      <c r="B1752" s="6" t="str">
        <f>"2728202011230005301293"</f>
        <v>2728202011230005301293</v>
      </c>
      <c r="C1752" s="6" t="s">
        <v>8</v>
      </c>
      <c r="D1752" s="6" t="str">
        <f>"陈雯"</f>
        <v>陈雯</v>
      </c>
      <c r="E1752" s="6" t="str">
        <f>"1997-02-14"</f>
        <v>1997-02-14</v>
      </c>
      <c r="F1752" s="6"/>
    </row>
    <row r="1753" spans="1:6" ht="30" customHeight="1">
      <c r="A1753" s="6">
        <v>1751</v>
      </c>
      <c r="B1753" s="6" t="str">
        <f>"2728202011231028261381"</f>
        <v>2728202011231028261381</v>
      </c>
      <c r="C1753" s="6" t="s">
        <v>8</v>
      </c>
      <c r="D1753" s="6" t="str">
        <f>"向珉娇"</f>
        <v>向珉娇</v>
      </c>
      <c r="E1753" s="6" t="str">
        <f>"1990-01-16"</f>
        <v>1990-01-16</v>
      </c>
      <c r="F1753" s="6"/>
    </row>
    <row r="1754" spans="1:6" ht="30" customHeight="1">
      <c r="A1754" s="6">
        <v>1752</v>
      </c>
      <c r="B1754" s="6" t="str">
        <f>"2728202011231110051404"</f>
        <v>2728202011231110051404</v>
      </c>
      <c r="C1754" s="6" t="s">
        <v>8</v>
      </c>
      <c r="D1754" s="6" t="str">
        <f>"李进梅"</f>
        <v>李进梅</v>
      </c>
      <c r="E1754" s="6" t="str">
        <f>"1996-01-25"</f>
        <v>1996-01-25</v>
      </c>
      <c r="F1754" s="6"/>
    </row>
    <row r="1755" spans="1:6" ht="30" customHeight="1">
      <c r="A1755" s="6">
        <v>1753</v>
      </c>
      <c r="B1755" s="6" t="str">
        <f>"2728202011231501311486"</f>
        <v>2728202011231501311486</v>
      </c>
      <c r="C1755" s="6" t="s">
        <v>8</v>
      </c>
      <c r="D1755" s="6" t="str">
        <f>"黄妹"</f>
        <v>黄妹</v>
      </c>
      <c r="E1755" s="6" t="str">
        <f>"1997-09-26"</f>
        <v>1997-09-26</v>
      </c>
      <c r="F1755" s="6"/>
    </row>
    <row r="1756" spans="1:6" ht="30" customHeight="1">
      <c r="A1756" s="6">
        <v>1754</v>
      </c>
      <c r="B1756" s="6" t="str">
        <f>"2728202011231552411513"</f>
        <v>2728202011231552411513</v>
      </c>
      <c r="C1756" s="6" t="s">
        <v>8</v>
      </c>
      <c r="D1756" s="6" t="str">
        <f>"周悦"</f>
        <v>周悦</v>
      </c>
      <c r="E1756" s="6" t="str">
        <f>"1997-07-19"</f>
        <v>1997-07-19</v>
      </c>
      <c r="F1756" s="6"/>
    </row>
    <row r="1757" spans="1:6" ht="30" customHeight="1">
      <c r="A1757" s="6">
        <v>1755</v>
      </c>
      <c r="B1757" s="6" t="str">
        <f>"2728202011231700471546"</f>
        <v>2728202011231700471546</v>
      </c>
      <c r="C1757" s="6" t="s">
        <v>8</v>
      </c>
      <c r="D1757" s="6" t="str">
        <f>"黄华娟"</f>
        <v>黄华娟</v>
      </c>
      <c r="E1757" s="6" t="str">
        <f>"1997年10月"</f>
        <v>1997年10月</v>
      </c>
      <c r="F1757" s="6"/>
    </row>
    <row r="1758" spans="1:6" ht="30" customHeight="1">
      <c r="A1758" s="6">
        <v>1756</v>
      </c>
      <c r="B1758" s="6" t="str">
        <f>"2728202011231741011572"</f>
        <v>2728202011231741011572</v>
      </c>
      <c r="C1758" s="6" t="s">
        <v>8</v>
      </c>
      <c r="D1758" s="6" t="str">
        <f>"方慧敏"</f>
        <v>方慧敏</v>
      </c>
      <c r="E1758" s="6" t="str">
        <f>"1993-11-09"</f>
        <v>1993-11-09</v>
      </c>
      <c r="F1758" s="6"/>
    </row>
    <row r="1759" spans="1:6" ht="30" customHeight="1">
      <c r="A1759" s="6">
        <v>1757</v>
      </c>
      <c r="B1759" s="6" t="str">
        <f>"2728202011231813331580"</f>
        <v>2728202011231813331580</v>
      </c>
      <c r="C1759" s="6" t="s">
        <v>8</v>
      </c>
      <c r="D1759" s="6" t="str">
        <f>"罗燕春"</f>
        <v>罗燕春</v>
      </c>
      <c r="E1759" s="6" t="str">
        <f>"1994-09-27"</f>
        <v>1994-09-27</v>
      </c>
      <c r="F1759" s="6"/>
    </row>
    <row r="1760" spans="1:6" ht="30" customHeight="1">
      <c r="A1760" s="6">
        <v>1758</v>
      </c>
      <c r="B1760" s="6" t="str">
        <f>"2728202011231849231588"</f>
        <v>2728202011231849231588</v>
      </c>
      <c r="C1760" s="6" t="s">
        <v>8</v>
      </c>
      <c r="D1760" s="6" t="str">
        <f>"洪光林"</f>
        <v>洪光林</v>
      </c>
      <c r="E1760" s="6" t="str">
        <f>"1996-05-20"</f>
        <v>1996-05-20</v>
      </c>
      <c r="F1760" s="6"/>
    </row>
    <row r="1761" spans="1:6" ht="30" customHeight="1">
      <c r="A1761" s="6">
        <v>1759</v>
      </c>
      <c r="B1761" s="6" t="str">
        <f>"2728202011231958561614"</f>
        <v>2728202011231958561614</v>
      </c>
      <c r="C1761" s="6" t="s">
        <v>8</v>
      </c>
      <c r="D1761" s="6" t="str">
        <f>"陈积婷"</f>
        <v>陈积婷</v>
      </c>
      <c r="E1761" s="6" t="str">
        <f>"1999-01-24"</f>
        <v>1999-01-24</v>
      </c>
      <c r="F1761" s="6"/>
    </row>
    <row r="1762" spans="1:6" ht="30" customHeight="1">
      <c r="A1762" s="6">
        <v>1760</v>
      </c>
      <c r="B1762" s="6" t="str">
        <f>"2728202011232109441635"</f>
        <v>2728202011232109441635</v>
      </c>
      <c r="C1762" s="6" t="s">
        <v>8</v>
      </c>
      <c r="D1762" s="6" t="str">
        <f>"符桃小"</f>
        <v>符桃小</v>
      </c>
      <c r="E1762" s="6" t="str">
        <f>"1996-09-21"</f>
        <v>1996-09-21</v>
      </c>
      <c r="F1762" s="6"/>
    </row>
    <row r="1763" spans="1:6" ht="30" customHeight="1">
      <c r="A1763" s="6">
        <v>1761</v>
      </c>
      <c r="B1763" s="6" t="str">
        <f>"2728202011240001051676"</f>
        <v>2728202011240001051676</v>
      </c>
      <c r="C1763" s="6" t="s">
        <v>8</v>
      </c>
      <c r="D1763" s="6" t="str">
        <f>"裴华菁"</f>
        <v>裴华菁</v>
      </c>
      <c r="E1763" s="6" t="str">
        <f>"1998-01-18"</f>
        <v>1998-01-18</v>
      </c>
      <c r="F1763" s="6"/>
    </row>
    <row r="1764" spans="1:6" ht="30" customHeight="1">
      <c r="A1764" s="6">
        <v>1762</v>
      </c>
      <c r="B1764" s="6" t="str">
        <f>"2728202011240743171684"</f>
        <v>2728202011240743171684</v>
      </c>
      <c r="C1764" s="6" t="s">
        <v>8</v>
      </c>
      <c r="D1764" s="6" t="str">
        <f>"郑丕华"</f>
        <v>郑丕华</v>
      </c>
      <c r="E1764" s="6" t="str">
        <f>"1996-02-06"</f>
        <v>1996-02-06</v>
      </c>
      <c r="F1764" s="6"/>
    </row>
    <row r="1765" spans="1:6" ht="30" customHeight="1">
      <c r="A1765" s="6">
        <v>1763</v>
      </c>
      <c r="B1765" s="6" t="str">
        <f>"2728202011240853291696"</f>
        <v>2728202011240853291696</v>
      </c>
      <c r="C1765" s="6" t="s">
        <v>8</v>
      </c>
      <c r="D1765" s="6" t="str">
        <f>"陈颖"</f>
        <v>陈颖</v>
      </c>
      <c r="E1765" s="6" t="str">
        <f>"1994-08-15"</f>
        <v>1994-08-15</v>
      </c>
      <c r="F1765" s="6"/>
    </row>
    <row r="1766" spans="1:6" ht="30" customHeight="1">
      <c r="A1766" s="6">
        <v>1764</v>
      </c>
      <c r="B1766" s="6" t="str">
        <f>"2728202011240910281708"</f>
        <v>2728202011240910281708</v>
      </c>
      <c r="C1766" s="6" t="s">
        <v>8</v>
      </c>
      <c r="D1766" s="6" t="str">
        <f>"罗雅婷"</f>
        <v>罗雅婷</v>
      </c>
      <c r="E1766" s="6" t="str">
        <f>"1997-07-31"</f>
        <v>1997-07-31</v>
      </c>
      <c r="F1766" s="6"/>
    </row>
    <row r="1767" spans="1:6" ht="30" customHeight="1">
      <c r="A1767" s="6">
        <v>1765</v>
      </c>
      <c r="B1767" s="6" t="str">
        <f>"2728202011241108261757"</f>
        <v>2728202011241108261757</v>
      </c>
      <c r="C1767" s="6" t="s">
        <v>8</v>
      </c>
      <c r="D1767" s="6" t="str">
        <f>"万水菊"</f>
        <v>万水菊</v>
      </c>
      <c r="E1767" s="6" t="str">
        <f>"1991-02-28"</f>
        <v>1991-02-28</v>
      </c>
      <c r="F1767" s="6"/>
    </row>
    <row r="1768" spans="1:6" ht="30" customHeight="1">
      <c r="A1768" s="6">
        <v>1766</v>
      </c>
      <c r="B1768" s="6" t="str">
        <f>"2728202011241143011768"</f>
        <v>2728202011241143011768</v>
      </c>
      <c r="C1768" s="6" t="s">
        <v>8</v>
      </c>
      <c r="D1768" s="6" t="str">
        <f>"符美瑶"</f>
        <v>符美瑶</v>
      </c>
      <c r="E1768" s="6" t="str">
        <f>"1994-05-08"</f>
        <v>1994-05-08</v>
      </c>
      <c r="F1768" s="6"/>
    </row>
    <row r="1769" spans="1:6" ht="30" customHeight="1">
      <c r="A1769" s="6">
        <v>1767</v>
      </c>
      <c r="B1769" s="6" t="str">
        <f>"2728202011241412431807"</f>
        <v>2728202011241412431807</v>
      </c>
      <c r="C1769" s="6" t="s">
        <v>8</v>
      </c>
      <c r="D1769" s="6" t="str">
        <f>"符致越"</f>
        <v>符致越</v>
      </c>
      <c r="E1769" s="6" t="str">
        <f>"1998-01-02"</f>
        <v>1998-01-02</v>
      </c>
      <c r="F1769" s="6"/>
    </row>
    <row r="1770" spans="1:6" ht="30" customHeight="1">
      <c r="A1770" s="6">
        <v>1768</v>
      </c>
      <c r="B1770" s="6" t="str">
        <f>"2728202011241519131830"</f>
        <v>2728202011241519131830</v>
      </c>
      <c r="C1770" s="6" t="s">
        <v>8</v>
      </c>
      <c r="D1770" s="6" t="str">
        <f>"赵佳莉"</f>
        <v>赵佳莉</v>
      </c>
      <c r="E1770" s="6" t="str">
        <f>"1992-05-18"</f>
        <v>1992-05-18</v>
      </c>
      <c r="F1770" s="6"/>
    </row>
    <row r="1771" spans="1:6" ht="30" customHeight="1">
      <c r="A1771" s="6">
        <v>1769</v>
      </c>
      <c r="B1771" s="6" t="str">
        <f>"2728202011241531431838"</f>
        <v>2728202011241531431838</v>
      </c>
      <c r="C1771" s="6" t="s">
        <v>8</v>
      </c>
      <c r="D1771" s="6" t="str">
        <f>"符秀凤"</f>
        <v>符秀凤</v>
      </c>
      <c r="E1771" s="6" t="str">
        <f>"1997-08-15"</f>
        <v>1997-08-15</v>
      </c>
      <c r="F1771" s="6"/>
    </row>
    <row r="1772" spans="1:6" ht="30" customHeight="1">
      <c r="A1772" s="6">
        <v>1770</v>
      </c>
      <c r="B1772" s="6" t="str">
        <f>"2728202011241538581841"</f>
        <v>2728202011241538581841</v>
      </c>
      <c r="C1772" s="6" t="s">
        <v>8</v>
      </c>
      <c r="D1772" s="6" t="str">
        <f>"邢璐璐"</f>
        <v>邢璐璐</v>
      </c>
      <c r="E1772" s="6" t="str">
        <f>"1995-10-15"</f>
        <v>1995-10-15</v>
      </c>
      <c r="F1772" s="6"/>
    </row>
    <row r="1773" spans="1:6" ht="30" customHeight="1">
      <c r="A1773" s="6">
        <v>1771</v>
      </c>
      <c r="B1773" s="6" t="str">
        <f>"2728202011241553261846"</f>
        <v>2728202011241553261846</v>
      </c>
      <c r="C1773" s="6" t="s">
        <v>8</v>
      </c>
      <c r="D1773" s="6" t="str">
        <f>"马玉娟"</f>
        <v>马玉娟</v>
      </c>
      <c r="E1773" s="6" t="str">
        <f>"1999-09-09"</f>
        <v>1999-09-09</v>
      </c>
      <c r="F1773" s="6"/>
    </row>
    <row r="1774" spans="1:6" ht="30" customHeight="1">
      <c r="A1774" s="6">
        <v>1772</v>
      </c>
      <c r="B1774" s="6" t="str">
        <f>"2728202011241618351860"</f>
        <v>2728202011241618351860</v>
      </c>
      <c r="C1774" s="6" t="s">
        <v>8</v>
      </c>
      <c r="D1774" s="6" t="str">
        <f>"陈贤清"</f>
        <v>陈贤清</v>
      </c>
      <c r="E1774" s="6" t="str">
        <f>"1993-01-21"</f>
        <v>1993-01-21</v>
      </c>
      <c r="F1774" s="6"/>
    </row>
    <row r="1775" spans="1:6" ht="30" customHeight="1">
      <c r="A1775" s="6">
        <v>1773</v>
      </c>
      <c r="B1775" s="6" t="str">
        <f>"2728202011241650171871"</f>
        <v>2728202011241650171871</v>
      </c>
      <c r="C1775" s="6" t="s">
        <v>8</v>
      </c>
      <c r="D1775" s="6" t="str">
        <f>"符倩影"</f>
        <v>符倩影</v>
      </c>
      <c r="E1775" s="6" t="str">
        <f>"1993-06-29"</f>
        <v>1993-06-29</v>
      </c>
      <c r="F1775" s="6"/>
    </row>
    <row r="1776" spans="1:6" ht="30" customHeight="1">
      <c r="A1776" s="6">
        <v>1774</v>
      </c>
      <c r="B1776" s="6" t="str">
        <f>"2728202011241759351893"</f>
        <v>2728202011241759351893</v>
      </c>
      <c r="C1776" s="6" t="s">
        <v>8</v>
      </c>
      <c r="D1776" s="6" t="str">
        <f>"符一红"</f>
        <v>符一红</v>
      </c>
      <c r="E1776" s="6" t="str">
        <f>"1994-09-12"</f>
        <v>1994-09-12</v>
      </c>
      <c r="F1776" s="6"/>
    </row>
    <row r="1777" spans="1:6" ht="30" customHeight="1">
      <c r="A1777" s="6">
        <v>1775</v>
      </c>
      <c r="B1777" s="6" t="str">
        <f>"2728202011242008061919"</f>
        <v>2728202011242008061919</v>
      </c>
      <c r="C1777" s="6" t="s">
        <v>8</v>
      </c>
      <c r="D1777" s="6" t="str">
        <f>"林强"</f>
        <v>林强</v>
      </c>
      <c r="E1777" s="6" t="str">
        <f>"1986-06-14"</f>
        <v>1986-06-14</v>
      </c>
      <c r="F1777" s="6"/>
    </row>
    <row r="1778" spans="1:6" ht="30" customHeight="1">
      <c r="A1778" s="6">
        <v>1776</v>
      </c>
      <c r="B1778" s="6" t="str">
        <f>"2728202011242124361946"</f>
        <v>2728202011242124361946</v>
      </c>
      <c r="C1778" s="6" t="s">
        <v>8</v>
      </c>
      <c r="D1778" s="6" t="str">
        <f>"李梦怡"</f>
        <v>李梦怡</v>
      </c>
      <c r="E1778" s="6" t="str">
        <f>"1996-03-29"</f>
        <v>1996-03-29</v>
      </c>
      <c r="F1778" s="6"/>
    </row>
    <row r="1779" spans="1:6" ht="30" customHeight="1">
      <c r="A1779" s="6">
        <v>1777</v>
      </c>
      <c r="B1779" s="6" t="str">
        <f>"2728202011242334251984"</f>
        <v>2728202011242334251984</v>
      </c>
      <c r="C1779" s="6" t="s">
        <v>8</v>
      </c>
      <c r="D1779" s="6" t="str">
        <f>"陈昱妃"</f>
        <v>陈昱妃</v>
      </c>
      <c r="E1779" s="6" t="str">
        <f>"1998-09-04"</f>
        <v>1998-09-04</v>
      </c>
      <c r="F1779" s="6"/>
    </row>
    <row r="1780" spans="1:6" ht="30" customHeight="1">
      <c r="A1780" s="6">
        <v>1778</v>
      </c>
      <c r="B1780" s="6" t="str">
        <f>"2728202011250156251996"</f>
        <v>2728202011250156251996</v>
      </c>
      <c r="C1780" s="6" t="s">
        <v>8</v>
      </c>
      <c r="D1780" s="6" t="str">
        <f>"李敏"</f>
        <v>李敏</v>
      </c>
      <c r="E1780" s="6" t="str">
        <f>"1985-04-13"</f>
        <v>1985-04-13</v>
      </c>
      <c r="F1780" s="6"/>
    </row>
    <row r="1781" spans="1:6" ht="30" customHeight="1">
      <c r="A1781" s="6">
        <v>1779</v>
      </c>
      <c r="B1781" s="6" t="str">
        <f>"2728202011250844532006"</f>
        <v>2728202011250844532006</v>
      </c>
      <c r="C1781" s="6" t="s">
        <v>8</v>
      </c>
      <c r="D1781" s="6" t="str">
        <f>"曾维立"</f>
        <v>曾维立</v>
      </c>
      <c r="E1781" s="6" t="str">
        <f>"1996-02-11"</f>
        <v>1996-02-11</v>
      </c>
      <c r="F1781" s="6"/>
    </row>
    <row r="1782" spans="1:6" ht="30" customHeight="1">
      <c r="A1782" s="6">
        <v>1780</v>
      </c>
      <c r="B1782" s="6" t="str">
        <f>"2728202011251026122040"</f>
        <v>2728202011251026122040</v>
      </c>
      <c r="C1782" s="6" t="s">
        <v>8</v>
      </c>
      <c r="D1782" s="6" t="str">
        <f>"王幸子"</f>
        <v>王幸子</v>
      </c>
      <c r="E1782" s="6" t="str">
        <f>"1995-06-13"</f>
        <v>1995-06-13</v>
      </c>
      <c r="F1782" s="6"/>
    </row>
    <row r="1783" spans="1:6" ht="30" customHeight="1">
      <c r="A1783" s="6">
        <v>1781</v>
      </c>
      <c r="B1783" s="6" t="str">
        <f>"2728202011251047042048"</f>
        <v>2728202011251047042048</v>
      </c>
      <c r="C1783" s="6" t="s">
        <v>8</v>
      </c>
      <c r="D1783" s="6" t="str">
        <f>"王迷尔"</f>
        <v>王迷尔</v>
      </c>
      <c r="E1783" s="6" t="str">
        <f>"1995-03-28"</f>
        <v>1995-03-28</v>
      </c>
      <c r="F1783" s="6"/>
    </row>
    <row r="1784" spans="1:6" ht="30" customHeight="1">
      <c r="A1784" s="6">
        <v>1782</v>
      </c>
      <c r="B1784" s="6" t="str">
        <f>"2728202011251412232112"</f>
        <v>2728202011251412232112</v>
      </c>
      <c r="C1784" s="6" t="s">
        <v>8</v>
      </c>
      <c r="D1784" s="6" t="str">
        <f>"张莉莹"</f>
        <v>张莉莹</v>
      </c>
      <c r="E1784" s="6" t="str">
        <f>"1995-03-31"</f>
        <v>1995-03-31</v>
      </c>
      <c r="F1784" s="6"/>
    </row>
    <row r="1785" spans="1:6" ht="30" customHeight="1">
      <c r="A1785" s="6">
        <v>1783</v>
      </c>
      <c r="B1785" s="6" t="str">
        <f>"2728202011251731412177"</f>
        <v>2728202011251731412177</v>
      </c>
      <c r="C1785" s="6" t="s">
        <v>8</v>
      </c>
      <c r="D1785" s="6" t="str">
        <f>"钟秋苡"</f>
        <v>钟秋苡</v>
      </c>
      <c r="E1785" s="6" t="str">
        <f>"1997-10-02"</f>
        <v>1997-10-02</v>
      </c>
      <c r="F1785" s="6"/>
    </row>
    <row r="1786" spans="1:6" ht="30" customHeight="1">
      <c r="A1786" s="6">
        <v>1784</v>
      </c>
      <c r="B1786" s="6" t="str">
        <f>"2728202011251731572179"</f>
        <v>2728202011251731572179</v>
      </c>
      <c r="C1786" s="6" t="s">
        <v>8</v>
      </c>
      <c r="D1786" s="6" t="str">
        <f>"文倩"</f>
        <v>文倩</v>
      </c>
      <c r="E1786" s="6" t="str">
        <f>"1997-12-22"</f>
        <v>1997-12-22</v>
      </c>
      <c r="F1786" s="6"/>
    </row>
    <row r="1787" spans="1:6" ht="30" customHeight="1">
      <c r="A1787" s="6">
        <v>1785</v>
      </c>
      <c r="B1787" s="6" t="str">
        <f>"2728202011251739522184"</f>
        <v>2728202011251739522184</v>
      </c>
      <c r="C1787" s="6" t="s">
        <v>8</v>
      </c>
      <c r="D1787" s="6" t="str">
        <f>"吴彤靖"</f>
        <v>吴彤靖</v>
      </c>
      <c r="E1787" s="6" t="str">
        <f>"1995-09-03"</f>
        <v>1995-09-03</v>
      </c>
      <c r="F1787" s="6"/>
    </row>
    <row r="1788" spans="1:6" ht="30" customHeight="1">
      <c r="A1788" s="6">
        <v>1786</v>
      </c>
      <c r="B1788" s="6" t="str">
        <f>"2728202011251857592210"</f>
        <v>2728202011251857592210</v>
      </c>
      <c r="C1788" s="6" t="s">
        <v>8</v>
      </c>
      <c r="D1788" s="6" t="str">
        <f>"陈芬芬"</f>
        <v>陈芬芬</v>
      </c>
      <c r="E1788" s="6" t="str">
        <f>"1996-10-10"</f>
        <v>1996-10-10</v>
      </c>
      <c r="F1788" s="6"/>
    </row>
    <row r="1789" spans="1:6" ht="30" customHeight="1">
      <c r="A1789" s="6">
        <v>1787</v>
      </c>
      <c r="B1789" s="6" t="str">
        <f>"2728202011251940442230"</f>
        <v>2728202011251940442230</v>
      </c>
      <c r="C1789" s="6" t="s">
        <v>8</v>
      </c>
      <c r="D1789" s="6" t="str">
        <f>"朱秋瑾"</f>
        <v>朱秋瑾</v>
      </c>
      <c r="E1789" s="6" t="str">
        <f>"1986-09-02"</f>
        <v>1986-09-02</v>
      </c>
      <c r="F1789" s="6"/>
    </row>
    <row r="1790" spans="1:6" ht="30" customHeight="1">
      <c r="A1790" s="6">
        <v>1788</v>
      </c>
      <c r="B1790" s="6" t="str">
        <f>"2728202011252005252238"</f>
        <v>2728202011252005252238</v>
      </c>
      <c r="C1790" s="6" t="s">
        <v>8</v>
      </c>
      <c r="D1790" s="6" t="str">
        <f>"吉秋妍"</f>
        <v>吉秋妍</v>
      </c>
      <c r="E1790" s="6" t="str">
        <f>"1992-07-13"</f>
        <v>1992-07-13</v>
      </c>
      <c r="F1790" s="6"/>
    </row>
    <row r="1791" spans="1:6" ht="30" customHeight="1">
      <c r="A1791" s="6">
        <v>1789</v>
      </c>
      <c r="B1791" s="6" t="str">
        <f>"2728202011252058242256"</f>
        <v>2728202011252058242256</v>
      </c>
      <c r="C1791" s="6" t="s">
        <v>8</v>
      </c>
      <c r="D1791" s="6" t="str">
        <f>"陈青茹"</f>
        <v>陈青茹</v>
      </c>
      <c r="E1791" s="6" t="str">
        <f>"1997-07-01"</f>
        <v>1997-07-01</v>
      </c>
      <c r="F1791" s="6"/>
    </row>
    <row r="1792" spans="1:6" ht="30" customHeight="1">
      <c r="A1792" s="6">
        <v>1790</v>
      </c>
      <c r="B1792" s="6" t="str">
        <f>"2728202011252116302266"</f>
        <v>2728202011252116302266</v>
      </c>
      <c r="C1792" s="6" t="s">
        <v>8</v>
      </c>
      <c r="D1792" s="6" t="str">
        <f>"李丹"</f>
        <v>李丹</v>
      </c>
      <c r="E1792" s="6" t="str">
        <f>"1998-07-31"</f>
        <v>1998-07-31</v>
      </c>
      <c r="F1792" s="6"/>
    </row>
    <row r="1793" spans="1:6" ht="30" customHeight="1">
      <c r="A1793" s="6">
        <v>1791</v>
      </c>
      <c r="B1793" s="6" t="str">
        <f>"2728202011252140122279"</f>
        <v>2728202011252140122279</v>
      </c>
      <c r="C1793" s="6" t="s">
        <v>8</v>
      </c>
      <c r="D1793" s="6" t="str">
        <f>"罗希特"</f>
        <v>罗希特</v>
      </c>
      <c r="E1793" s="6" t="str">
        <f>"1997-01-14"</f>
        <v>1997-01-14</v>
      </c>
      <c r="F1793" s="6"/>
    </row>
    <row r="1794" spans="1:6" ht="30" customHeight="1">
      <c r="A1794" s="6">
        <v>1792</v>
      </c>
      <c r="B1794" s="6" t="str">
        <f>"2728202011260009522349"</f>
        <v>2728202011260009522349</v>
      </c>
      <c r="C1794" s="6" t="s">
        <v>8</v>
      </c>
      <c r="D1794" s="6" t="str">
        <f>"黎华华"</f>
        <v>黎华华</v>
      </c>
      <c r="E1794" s="6" t="str">
        <f>"1992-01-29"</f>
        <v>1992-01-29</v>
      </c>
      <c r="F1794" s="6"/>
    </row>
    <row r="1795" spans="1:6" ht="30" customHeight="1">
      <c r="A1795" s="6">
        <v>1793</v>
      </c>
      <c r="B1795" s="6" t="str">
        <f>"2728202011260710132369"</f>
        <v>2728202011260710132369</v>
      </c>
      <c r="C1795" s="6" t="s">
        <v>8</v>
      </c>
      <c r="D1795" s="6" t="str">
        <f>"符方丽"</f>
        <v>符方丽</v>
      </c>
      <c r="E1795" s="6" t="str">
        <f>"1998-05-09"</f>
        <v>1998-05-09</v>
      </c>
      <c r="F1795" s="6"/>
    </row>
    <row r="1796" spans="1:6" ht="30" customHeight="1">
      <c r="A1796" s="6">
        <v>1794</v>
      </c>
      <c r="B1796" s="6" t="str">
        <f>"2728202011260846152384"</f>
        <v>2728202011260846152384</v>
      </c>
      <c r="C1796" s="6" t="s">
        <v>8</v>
      </c>
      <c r="D1796" s="6" t="str">
        <f>"李婷"</f>
        <v>李婷</v>
      </c>
      <c r="E1796" s="6" t="str">
        <f>"1986-05-29"</f>
        <v>1986-05-29</v>
      </c>
      <c r="F1796" s="6"/>
    </row>
    <row r="1797" spans="1:6" ht="30" customHeight="1">
      <c r="A1797" s="6">
        <v>1795</v>
      </c>
      <c r="B1797" s="6" t="str">
        <f>"2728202011260919082400"</f>
        <v>2728202011260919082400</v>
      </c>
      <c r="C1797" s="6" t="s">
        <v>8</v>
      </c>
      <c r="D1797" s="6" t="str">
        <f>"陈玫君"</f>
        <v>陈玫君</v>
      </c>
      <c r="E1797" s="6" t="str">
        <f>"1991-10-24"</f>
        <v>1991-10-24</v>
      </c>
      <c r="F1797" s="6"/>
    </row>
    <row r="1798" spans="1:6" ht="30" customHeight="1">
      <c r="A1798" s="6">
        <v>1796</v>
      </c>
      <c r="B1798" s="6" t="str">
        <f>"2728202011261150512471"</f>
        <v>2728202011261150512471</v>
      </c>
      <c r="C1798" s="6" t="s">
        <v>8</v>
      </c>
      <c r="D1798" s="6" t="str">
        <f>"林荟"</f>
        <v>林荟</v>
      </c>
      <c r="E1798" s="6" t="str">
        <f>"1991-07-12"</f>
        <v>1991-07-12</v>
      </c>
      <c r="F1798" s="6"/>
    </row>
    <row r="1799" spans="1:6" ht="30" customHeight="1">
      <c r="A1799" s="6">
        <v>1797</v>
      </c>
      <c r="B1799" s="6" t="str">
        <f>"2728202011261323172521"</f>
        <v>2728202011261323172521</v>
      </c>
      <c r="C1799" s="6" t="s">
        <v>8</v>
      </c>
      <c r="D1799" s="6" t="str">
        <f>"陈庆兰"</f>
        <v>陈庆兰</v>
      </c>
      <c r="E1799" s="6" t="str">
        <f>"1988-08-10"</f>
        <v>1988-08-10</v>
      </c>
      <c r="F1799" s="6"/>
    </row>
    <row r="1800" spans="1:6" ht="30" customHeight="1">
      <c r="A1800" s="6">
        <v>1798</v>
      </c>
      <c r="B1800" s="6" t="str">
        <f>"2728202011261425262557"</f>
        <v>2728202011261425262557</v>
      </c>
      <c r="C1800" s="6" t="s">
        <v>8</v>
      </c>
      <c r="D1800" s="6" t="str">
        <f>"王静纯"</f>
        <v>王静纯</v>
      </c>
      <c r="E1800" s="6" t="str">
        <f>"2000-10-07"</f>
        <v>2000-10-07</v>
      </c>
      <c r="F1800" s="6"/>
    </row>
    <row r="1801" spans="1:6" ht="30" customHeight="1">
      <c r="A1801" s="6">
        <v>1799</v>
      </c>
      <c r="B1801" s="6" t="str">
        <f>"2728202011261523412579"</f>
        <v>2728202011261523412579</v>
      </c>
      <c r="C1801" s="6" t="s">
        <v>8</v>
      </c>
      <c r="D1801" s="6" t="str">
        <f>"张杏"</f>
        <v>张杏</v>
      </c>
      <c r="E1801" s="6" t="str">
        <f>"1996-09-04"</f>
        <v>1996-09-04</v>
      </c>
      <c r="F1801" s="6"/>
    </row>
    <row r="1802" spans="1:6" ht="30" customHeight="1">
      <c r="A1802" s="6">
        <v>1800</v>
      </c>
      <c r="B1802" s="6" t="str">
        <f>"2728202011261542242593"</f>
        <v>2728202011261542242593</v>
      </c>
      <c r="C1802" s="6" t="s">
        <v>8</v>
      </c>
      <c r="D1802" s="6" t="str">
        <f>"陈国庆"</f>
        <v>陈国庆</v>
      </c>
      <c r="E1802" s="6" t="str">
        <f>"1998-10-01"</f>
        <v>1998-10-01</v>
      </c>
      <c r="F1802" s="6"/>
    </row>
    <row r="1803" spans="1:6" ht="30" customHeight="1">
      <c r="A1803" s="6">
        <v>1801</v>
      </c>
      <c r="B1803" s="6" t="str">
        <f>"2728202011200902017"</f>
        <v>2728202011200902017</v>
      </c>
      <c r="C1803" s="6" t="s">
        <v>9</v>
      </c>
      <c r="D1803" s="6" t="str">
        <f>"尤春曼"</f>
        <v>尤春曼</v>
      </c>
      <c r="E1803" s="6" t="str">
        <f>"1997-03-03"</f>
        <v>1997-03-03</v>
      </c>
      <c r="F1803" s="6"/>
    </row>
    <row r="1804" spans="1:6" ht="30" customHeight="1">
      <c r="A1804" s="6">
        <v>1802</v>
      </c>
      <c r="B1804" s="6" t="str">
        <f>"2728202011200902028"</f>
        <v>2728202011200902028</v>
      </c>
      <c r="C1804" s="6" t="s">
        <v>9</v>
      </c>
      <c r="D1804" s="6" t="str">
        <f>"郑雅天"</f>
        <v>郑雅天</v>
      </c>
      <c r="E1804" s="6" t="str">
        <f>"1996-01-01"</f>
        <v>1996-01-01</v>
      </c>
      <c r="F1804" s="6"/>
    </row>
    <row r="1805" spans="1:6" ht="30" customHeight="1">
      <c r="A1805" s="6">
        <v>1803</v>
      </c>
      <c r="B1805" s="6" t="str">
        <f>"27282020112009031513"</f>
        <v>27282020112009031513</v>
      </c>
      <c r="C1805" s="6" t="s">
        <v>9</v>
      </c>
      <c r="D1805" s="6" t="str">
        <f>"高双双"</f>
        <v>高双双</v>
      </c>
      <c r="E1805" s="6" t="str">
        <f>"1996-07-05"</f>
        <v>1996-07-05</v>
      </c>
      <c r="F1805" s="6"/>
    </row>
    <row r="1806" spans="1:6" ht="30" customHeight="1">
      <c r="A1806" s="6">
        <v>1804</v>
      </c>
      <c r="B1806" s="6" t="str">
        <f>"27282020112009035716"</f>
        <v>27282020112009035716</v>
      </c>
      <c r="C1806" s="6" t="s">
        <v>9</v>
      </c>
      <c r="D1806" s="6" t="str">
        <f>"李持婷"</f>
        <v>李持婷</v>
      </c>
      <c r="E1806" s="6" t="str">
        <f>"1994-12-07"</f>
        <v>1994-12-07</v>
      </c>
      <c r="F1806" s="6"/>
    </row>
    <row r="1807" spans="1:6" ht="30" customHeight="1">
      <c r="A1807" s="6">
        <v>1805</v>
      </c>
      <c r="B1807" s="6" t="str">
        <f>"27282020112009051719"</f>
        <v>27282020112009051719</v>
      </c>
      <c r="C1807" s="6" t="s">
        <v>9</v>
      </c>
      <c r="D1807" s="6" t="str">
        <f>"陈宗诚"</f>
        <v>陈宗诚</v>
      </c>
      <c r="E1807" s="6" t="str">
        <f>"1997-10-28"</f>
        <v>1997-10-28</v>
      </c>
      <c r="F1807" s="6"/>
    </row>
    <row r="1808" spans="1:6" ht="30" customHeight="1">
      <c r="A1808" s="6">
        <v>1806</v>
      </c>
      <c r="B1808" s="6" t="str">
        <f>"27282020112009053420"</f>
        <v>27282020112009053420</v>
      </c>
      <c r="C1808" s="6" t="s">
        <v>9</v>
      </c>
      <c r="D1808" s="6" t="str">
        <f>"易铭"</f>
        <v>易铭</v>
      </c>
      <c r="E1808" s="6" t="str">
        <f>"1999-03-15"</f>
        <v>1999-03-15</v>
      </c>
      <c r="F1808" s="6"/>
    </row>
    <row r="1809" spans="1:6" ht="30" customHeight="1">
      <c r="A1809" s="6">
        <v>1807</v>
      </c>
      <c r="B1809" s="6" t="str">
        <f>"27282020112009055923"</f>
        <v>27282020112009055923</v>
      </c>
      <c r="C1809" s="6" t="s">
        <v>9</v>
      </c>
      <c r="D1809" s="6" t="str">
        <f>"丁泓宇"</f>
        <v>丁泓宇</v>
      </c>
      <c r="E1809" s="6" t="str">
        <f>"1999-03-05"</f>
        <v>1999-03-05</v>
      </c>
      <c r="F1809" s="6"/>
    </row>
    <row r="1810" spans="1:6" ht="30" customHeight="1">
      <c r="A1810" s="6">
        <v>1808</v>
      </c>
      <c r="B1810" s="6" t="str">
        <f>"27282020112009062924"</f>
        <v>27282020112009062924</v>
      </c>
      <c r="C1810" s="6" t="s">
        <v>9</v>
      </c>
      <c r="D1810" s="6" t="str">
        <f>"陈依朦"</f>
        <v>陈依朦</v>
      </c>
      <c r="E1810" s="6" t="str">
        <f>"1998-01-25"</f>
        <v>1998-01-25</v>
      </c>
      <c r="F1810" s="6"/>
    </row>
    <row r="1811" spans="1:6" ht="30" customHeight="1">
      <c r="A1811" s="6">
        <v>1809</v>
      </c>
      <c r="B1811" s="6" t="str">
        <f>"27282020112009081628"</f>
        <v>27282020112009081628</v>
      </c>
      <c r="C1811" s="6" t="s">
        <v>9</v>
      </c>
      <c r="D1811" s="6" t="str">
        <f>"丁永宇"</f>
        <v>丁永宇</v>
      </c>
      <c r="E1811" s="6" t="str">
        <f>"1994-12-05"</f>
        <v>1994-12-05</v>
      </c>
      <c r="F1811" s="6"/>
    </row>
    <row r="1812" spans="1:6" ht="30" customHeight="1">
      <c r="A1812" s="6">
        <v>1810</v>
      </c>
      <c r="B1812" s="6" t="str">
        <f>"27282020112009095733"</f>
        <v>27282020112009095733</v>
      </c>
      <c r="C1812" s="6" t="s">
        <v>9</v>
      </c>
      <c r="D1812" s="6" t="str">
        <f>"罗冰"</f>
        <v>罗冰</v>
      </c>
      <c r="E1812" s="6" t="str">
        <f>"1992-10-08"</f>
        <v>1992-10-08</v>
      </c>
      <c r="F1812" s="6"/>
    </row>
    <row r="1813" spans="1:6" ht="30" customHeight="1">
      <c r="A1813" s="6">
        <v>1811</v>
      </c>
      <c r="B1813" s="6" t="str">
        <f>"27282020112009154246"</f>
        <v>27282020112009154246</v>
      </c>
      <c r="C1813" s="6" t="s">
        <v>9</v>
      </c>
      <c r="D1813" s="6" t="str">
        <f>"钟婷"</f>
        <v>钟婷</v>
      </c>
      <c r="E1813" s="6" t="str">
        <f>"1996-12-14"</f>
        <v>1996-12-14</v>
      </c>
      <c r="F1813" s="6"/>
    </row>
    <row r="1814" spans="1:6" ht="30" customHeight="1">
      <c r="A1814" s="6">
        <v>1812</v>
      </c>
      <c r="B1814" s="6" t="str">
        <f>"27282020112009194752"</f>
        <v>27282020112009194752</v>
      </c>
      <c r="C1814" s="6" t="s">
        <v>9</v>
      </c>
      <c r="D1814" s="6" t="str">
        <f>"孙令创"</f>
        <v>孙令创</v>
      </c>
      <c r="E1814" s="6" t="str">
        <f>"1994-09-23"</f>
        <v>1994-09-23</v>
      </c>
      <c r="F1814" s="6"/>
    </row>
    <row r="1815" spans="1:6" ht="30" customHeight="1">
      <c r="A1815" s="6">
        <v>1813</v>
      </c>
      <c r="B1815" s="6" t="str">
        <f>"27282020112009205353"</f>
        <v>27282020112009205353</v>
      </c>
      <c r="C1815" s="6" t="s">
        <v>9</v>
      </c>
      <c r="D1815" s="6" t="str">
        <f>"潘飞梅"</f>
        <v>潘飞梅</v>
      </c>
      <c r="E1815" s="6" t="str">
        <f>"1993-08-10"</f>
        <v>1993-08-10</v>
      </c>
      <c r="F1815" s="6"/>
    </row>
    <row r="1816" spans="1:6" ht="30" customHeight="1">
      <c r="A1816" s="6">
        <v>1814</v>
      </c>
      <c r="B1816" s="6" t="str">
        <f>"27282020112009261257"</f>
        <v>27282020112009261257</v>
      </c>
      <c r="C1816" s="6" t="s">
        <v>9</v>
      </c>
      <c r="D1816" s="6" t="str">
        <f>"陈百烨"</f>
        <v>陈百烨</v>
      </c>
      <c r="E1816" s="6" t="str">
        <f>"1995-10-18"</f>
        <v>1995-10-18</v>
      </c>
      <c r="F1816" s="6"/>
    </row>
    <row r="1817" spans="1:6" ht="30" customHeight="1">
      <c r="A1817" s="6">
        <v>1815</v>
      </c>
      <c r="B1817" s="6" t="str">
        <f>"27282020112009261658"</f>
        <v>27282020112009261658</v>
      </c>
      <c r="C1817" s="6" t="s">
        <v>9</v>
      </c>
      <c r="D1817" s="6" t="str">
        <f>"李仙媛"</f>
        <v>李仙媛</v>
      </c>
      <c r="E1817" s="6" t="str">
        <f>"1996-03-12"</f>
        <v>1996-03-12</v>
      </c>
      <c r="F1817" s="6"/>
    </row>
    <row r="1818" spans="1:6" ht="30" customHeight="1">
      <c r="A1818" s="6">
        <v>1816</v>
      </c>
      <c r="B1818" s="6" t="str">
        <f>"27282020112009285161"</f>
        <v>27282020112009285161</v>
      </c>
      <c r="C1818" s="6" t="s">
        <v>9</v>
      </c>
      <c r="D1818" s="6" t="str">
        <f>"黄朝嫒"</f>
        <v>黄朝嫒</v>
      </c>
      <c r="E1818" s="6" t="str">
        <f>"1998-02-05"</f>
        <v>1998-02-05</v>
      </c>
      <c r="F1818" s="6"/>
    </row>
    <row r="1819" spans="1:6" ht="30" customHeight="1">
      <c r="A1819" s="6">
        <v>1817</v>
      </c>
      <c r="B1819" s="6" t="str">
        <f>"27282020112009285462"</f>
        <v>27282020112009285462</v>
      </c>
      <c r="C1819" s="6" t="s">
        <v>9</v>
      </c>
      <c r="D1819" s="6" t="str">
        <f>"邢晓敏"</f>
        <v>邢晓敏</v>
      </c>
      <c r="E1819" s="6" t="str">
        <f>"1995-07-25"</f>
        <v>1995-07-25</v>
      </c>
      <c r="F1819" s="6"/>
    </row>
    <row r="1820" spans="1:6" ht="30" customHeight="1">
      <c r="A1820" s="6">
        <v>1818</v>
      </c>
      <c r="B1820" s="6" t="str">
        <f>"27282020112009285963"</f>
        <v>27282020112009285963</v>
      </c>
      <c r="C1820" s="6" t="s">
        <v>9</v>
      </c>
      <c r="D1820" s="6" t="str">
        <f>"胡正琼"</f>
        <v>胡正琼</v>
      </c>
      <c r="E1820" s="6" t="str">
        <f>"1986-12-09"</f>
        <v>1986-12-09</v>
      </c>
      <c r="F1820" s="6"/>
    </row>
    <row r="1821" spans="1:6" ht="30" customHeight="1">
      <c r="A1821" s="6">
        <v>1819</v>
      </c>
      <c r="B1821" s="6" t="str">
        <f>"27282020112009425077"</f>
        <v>27282020112009425077</v>
      </c>
      <c r="C1821" s="6" t="s">
        <v>9</v>
      </c>
      <c r="D1821" s="6" t="str">
        <f>"全天云"</f>
        <v>全天云</v>
      </c>
      <c r="E1821" s="6" t="str">
        <f>"1996-12-27"</f>
        <v>1996-12-27</v>
      </c>
      <c r="F1821" s="6"/>
    </row>
    <row r="1822" spans="1:6" ht="30" customHeight="1">
      <c r="A1822" s="6">
        <v>1820</v>
      </c>
      <c r="B1822" s="6" t="str">
        <f>"27282020112009473589"</f>
        <v>27282020112009473589</v>
      </c>
      <c r="C1822" s="6" t="s">
        <v>9</v>
      </c>
      <c r="D1822" s="6" t="str">
        <f>"陈龙强"</f>
        <v>陈龙强</v>
      </c>
      <c r="E1822" s="6" t="str">
        <f>"1993-09-12"</f>
        <v>1993-09-12</v>
      </c>
      <c r="F1822" s="6"/>
    </row>
    <row r="1823" spans="1:6" ht="30" customHeight="1">
      <c r="A1823" s="6">
        <v>1821</v>
      </c>
      <c r="B1823" s="6" t="str">
        <f>"272820201120095629107"</f>
        <v>272820201120095629107</v>
      </c>
      <c r="C1823" s="6" t="s">
        <v>9</v>
      </c>
      <c r="D1823" s="6" t="str">
        <f>"杨艳"</f>
        <v>杨艳</v>
      </c>
      <c r="E1823" s="6" t="str">
        <f>"1993-11-02"</f>
        <v>1993-11-02</v>
      </c>
      <c r="F1823" s="6"/>
    </row>
    <row r="1824" spans="1:6" ht="30" customHeight="1">
      <c r="A1824" s="6">
        <v>1822</v>
      </c>
      <c r="B1824" s="6" t="str">
        <f>"272820201120100204114"</f>
        <v>272820201120100204114</v>
      </c>
      <c r="C1824" s="6" t="s">
        <v>9</v>
      </c>
      <c r="D1824" s="6" t="str">
        <f>"李召君"</f>
        <v>李召君</v>
      </c>
      <c r="E1824" s="6" t="str">
        <f>"1988-11-16"</f>
        <v>1988-11-16</v>
      </c>
      <c r="F1824" s="6"/>
    </row>
    <row r="1825" spans="1:6" ht="30" customHeight="1">
      <c r="A1825" s="6">
        <v>1823</v>
      </c>
      <c r="B1825" s="6" t="str">
        <f>"272820201120100452119"</f>
        <v>272820201120100452119</v>
      </c>
      <c r="C1825" s="6" t="s">
        <v>9</v>
      </c>
      <c r="D1825" s="6" t="str">
        <f>"李艳尾"</f>
        <v>李艳尾</v>
      </c>
      <c r="E1825" s="6" t="str">
        <f>"1996-09-02"</f>
        <v>1996-09-02</v>
      </c>
      <c r="F1825" s="6"/>
    </row>
    <row r="1826" spans="1:6" ht="30" customHeight="1">
      <c r="A1826" s="6">
        <v>1824</v>
      </c>
      <c r="B1826" s="6" t="str">
        <f>"272820201120102143148"</f>
        <v>272820201120102143148</v>
      </c>
      <c r="C1826" s="6" t="s">
        <v>9</v>
      </c>
      <c r="D1826" s="6" t="str">
        <f>"关书佳"</f>
        <v>关书佳</v>
      </c>
      <c r="E1826" s="6" t="str">
        <f>"1997-08-04"</f>
        <v>1997-08-04</v>
      </c>
      <c r="F1826" s="6"/>
    </row>
    <row r="1827" spans="1:6" ht="30" customHeight="1">
      <c r="A1827" s="6">
        <v>1825</v>
      </c>
      <c r="B1827" s="6" t="str">
        <f>"272820201120102440154"</f>
        <v>272820201120102440154</v>
      </c>
      <c r="C1827" s="6" t="s">
        <v>9</v>
      </c>
      <c r="D1827" s="6" t="str">
        <f>"林璋蕾"</f>
        <v>林璋蕾</v>
      </c>
      <c r="E1827" s="6" t="str">
        <f>"1995-05-21"</f>
        <v>1995-05-21</v>
      </c>
      <c r="F1827" s="6"/>
    </row>
    <row r="1828" spans="1:6" ht="30" customHeight="1">
      <c r="A1828" s="6">
        <v>1826</v>
      </c>
      <c r="B1828" s="6" t="str">
        <f>"272820201120102726155"</f>
        <v>272820201120102726155</v>
      </c>
      <c r="C1828" s="6" t="s">
        <v>9</v>
      </c>
      <c r="D1828" s="6" t="str">
        <f>"卢宇"</f>
        <v>卢宇</v>
      </c>
      <c r="E1828" s="6" t="str">
        <f>"1992-04-13"</f>
        <v>1992-04-13</v>
      </c>
      <c r="F1828" s="6"/>
    </row>
    <row r="1829" spans="1:6" ht="30" customHeight="1">
      <c r="A1829" s="6">
        <v>1827</v>
      </c>
      <c r="B1829" s="6" t="str">
        <f>"272820201120103010159"</f>
        <v>272820201120103010159</v>
      </c>
      <c r="C1829" s="6" t="s">
        <v>9</v>
      </c>
      <c r="D1829" s="6" t="str">
        <f>"李小艳"</f>
        <v>李小艳</v>
      </c>
      <c r="E1829" s="6" t="str">
        <f>"1987-02-28"</f>
        <v>1987-02-28</v>
      </c>
      <c r="F1829" s="6"/>
    </row>
    <row r="1830" spans="1:6" ht="30" customHeight="1">
      <c r="A1830" s="6">
        <v>1828</v>
      </c>
      <c r="B1830" s="6" t="str">
        <f>"272820201120103401164"</f>
        <v>272820201120103401164</v>
      </c>
      <c r="C1830" s="6" t="s">
        <v>9</v>
      </c>
      <c r="D1830" s="6" t="str">
        <f>"李杨柳"</f>
        <v>李杨柳</v>
      </c>
      <c r="E1830" s="6" t="str">
        <f>"1997-06-17"</f>
        <v>1997-06-17</v>
      </c>
      <c r="F1830" s="6"/>
    </row>
    <row r="1831" spans="1:6" ht="30" customHeight="1">
      <c r="A1831" s="6">
        <v>1829</v>
      </c>
      <c r="B1831" s="6" t="str">
        <f>"272820201120104406176"</f>
        <v>272820201120104406176</v>
      </c>
      <c r="C1831" s="6" t="s">
        <v>9</v>
      </c>
      <c r="D1831" s="6" t="str">
        <f>"王俏巧"</f>
        <v>王俏巧</v>
      </c>
      <c r="E1831" s="6" t="str">
        <f>"1997-05-25"</f>
        <v>1997-05-25</v>
      </c>
      <c r="F1831" s="6"/>
    </row>
    <row r="1832" spans="1:6" ht="30" customHeight="1">
      <c r="A1832" s="6">
        <v>1830</v>
      </c>
      <c r="B1832" s="6" t="str">
        <f>"272820201120104954181"</f>
        <v>272820201120104954181</v>
      </c>
      <c r="C1832" s="6" t="s">
        <v>9</v>
      </c>
      <c r="D1832" s="6" t="str">
        <f>"羊勤爱"</f>
        <v>羊勤爱</v>
      </c>
      <c r="E1832" s="6" t="str">
        <f>"1995-10-18"</f>
        <v>1995-10-18</v>
      </c>
      <c r="F1832" s="6"/>
    </row>
    <row r="1833" spans="1:6" ht="30" customHeight="1">
      <c r="A1833" s="6">
        <v>1831</v>
      </c>
      <c r="B1833" s="6" t="str">
        <f>"272820201120110855206"</f>
        <v>272820201120110855206</v>
      </c>
      <c r="C1833" s="6" t="s">
        <v>9</v>
      </c>
      <c r="D1833" s="6" t="str">
        <f>"陈婷婷"</f>
        <v>陈婷婷</v>
      </c>
      <c r="E1833" s="6" t="str">
        <f>"1996-11-26"</f>
        <v>1996-11-26</v>
      </c>
      <c r="F1833" s="6"/>
    </row>
    <row r="1834" spans="1:6" ht="30" customHeight="1">
      <c r="A1834" s="6">
        <v>1832</v>
      </c>
      <c r="B1834" s="6" t="str">
        <f>"272820201120111150207"</f>
        <v>272820201120111150207</v>
      </c>
      <c r="C1834" s="6" t="s">
        <v>9</v>
      </c>
      <c r="D1834" s="6" t="str">
        <f>"邱相儒"</f>
        <v>邱相儒</v>
      </c>
      <c r="E1834" s="6" t="str">
        <f>"1992-03-21"</f>
        <v>1992-03-21</v>
      </c>
      <c r="F1834" s="6"/>
    </row>
    <row r="1835" spans="1:6" ht="30" customHeight="1">
      <c r="A1835" s="6">
        <v>1833</v>
      </c>
      <c r="B1835" s="6" t="str">
        <f>"272820201120112043216"</f>
        <v>272820201120112043216</v>
      </c>
      <c r="C1835" s="6" t="s">
        <v>9</v>
      </c>
      <c r="D1835" s="6" t="str">
        <f>"颜礼微"</f>
        <v>颜礼微</v>
      </c>
      <c r="E1835" s="6" t="str">
        <f>"1995-11-09"</f>
        <v>1995-11-09</v>
      </c>
      <c r="F1835" s="6"/>
    </row>
    <row r="1836" spans="1:6" ht="30" customHeight="1">
      <c r="A1836" s="6">
        <v>1834</v>
      </c>
      <c r="B1836" s="6" t="str">
        <f>"272820201120113954238"</f>
        <v>272820201120113954238</v>
      </c>
      <c r="C1836" s="6" t="s">
        <v>9</v>
      </c>
      <c r="D1836" s="6" t="str">
        <f>"王国香"</f>
        <v>王国香</v>
      </c>
      <c r="E1836" s="6" t="str">
        <f>"1995-07-14"</f>
        <v>1995-07-14</v>
      </c>
      <c r="F1836" s="6"/>
    </row>
    <row r="1837" spans="1:6" ht="30" customHeight="1">
      <c r="A1837" s="6">
        <v>1835</v>
      </c>
      <c r="B1837" s="6" t="str">
        <f>"272820201120121115268"</f>
        <v>272820201120121115268</v>
      </c>
      <c r="C1837" s="6" t="s">
        <v>9</v>
      </c>
      <c r="D1837" s="6" t="str">
        <f>"卢钟春"</f>
        <v>卢钟春</v>
      </c>
      <c r="E1837" s="6" t="str">
        <f>"1993-06-12"</f>
        <v>1993-06-12</v>
      </c>
      <c r="F1837" s="6"/>
    </row>
    <row r="1838" spans="1:6" ht="30" customHeight="1">
      <c r="A1838" s="6">
        <v>1836</v>
      </c>
      <c r="B1838" s="6" t="str">
        <f>"272820201120122600278"</f>
        <v>272820201120122600278</v>
      </c>
      <c r="C1838" s="6" t="s">
        <v>9</v>
      </c>
      <c r="D1838" s="6" t="str">
        <f>"徐志颖"</f>
        <v>徐志颖</v>
      </c>
      <c r="E1838" s="6" t="str">
        <f>"1995-05-23"</f>
        <v>1995-05-23</v>
      </c>
      <c r="F1838" s="6"/>
    </row>
    <row r="1839" spans="1:6" ht="30" customHeight="1">
      <c r="A1839" s="6">
        <v>1837</v>
      </c>
      <c r="B1839" s="6" t="str">
        <f>"272820201120124024289"</f>
        <v>272820201120124024289</v>
      </c>
      <c r="C1839" s="6" t="s">
        <v>9</v>
      </c>
      <c r="D1839" s="6" t="str">
        <f>"王帅"</f>
        <v>王帅</v>
      </c>
      <c r="E1839" s="6" t="str">
        <f>"1996-07-16"</f>
        <v>1996-07-16</v>
      </c>
      <c r="F1839" s="6"/>
    </row>
    <row r="1840" spans="1:6" ht="30" customHeight="1">
      <c r="A1840" s="6">
        <v>1838</v>
      </c>
      <c r="B1840" s="6" t="str">
        <f>"272820201120133846323"</f>
        <v>272820201120133846323</v>
      </c>
      <c r="C1840" s="6" t="s">
        <v>9</v>
      </c>
      <c r="D1840" s="6" t="str">
        <f>"陈启雅"</f>
        <v>陈启雅</v>
      </c>
      <c r="E1840" s="6" t="str">
        <f>"1998-07-06"</f>
        <v>1998-07-06</v>
      </c>
      <c r="F1840" s="6"/>
    </row>
    <row r="1841" spans="1:6" ht="30" customHeight="1">
      <c r="A1841" s="6">
        <v>1839</v>
      </c>
      <c r="B1841" s="6" t="str">
        <f>"272820201120141033340"</f>
        <v>272820201120141033340</v>
      </c>
      <c r="C1841" s="6" t="s">
        <v>9</v>
      </c>
      <c r="D1841" s="6" t="str">
        <f>"卓洁欣"</f>
        <v>卓洁欣</v>
      </c>
      <c r="E1841" s="6" t="str">
        <f>"1999-05-30"</f>
        <v>1999-05-30</v>
      </c>
      <c r="F1841" s="6"/>
    </row>
    <row r="1842" spans="1:6" ht="30" customHeight="1">
      <c r="A1842" s="6">
        <v>1840</v>
      </c>
      <c r="B1842" s="6" t="str">
        <f>"272820201120141653345"</f>
        <v>272820201120141653345</v>
      </c>
      <c r="C1842" s="6" t="s">
        <v>9</v>
      </c>
      <c r="D1842" s="6" t="str">
        <f>"柯运丹"</f>
        <v>柯运丹</v>
      </c>
      <c r="E1842" s="6" t="str">
        <f>"1996-12-28"</f>
        <v>1996-12-28</v>
      </c>
      <c r="F1842" s="6"/>
    </row>
    <row r="1843" spans="1:6" ht="30" customHeight="1">
      <c r="A1843" s="6">
        <v>1841</v>
      </c>
      <c r="B1843" s="6" t="str">
        <f>"272820201120142635356"</f>
        <v>272820201120142635356</v>
      </c>
      <c r="C1843" s="6" t="s">
        <v>9</v>
      </c>
      <c r="D1843" s="6" t="str">
        <f>"符春燕"</f>
        <v>符春燕</v>
      </c>
      <c r="E1843" s="6" t="str">
        <f>"1997-01-06"</f>
        <v>1997-01-06</v>
      </c>
      <c r="F1843" s="6"/>
    </row>
    <row r="1844" spans="1:6" ht="30" customHeight="1">
      <c r="A1844" s="6">
        <v>1842</v>
      </c>
      <c r="B1844" s="6" t="str">
        <f>"272820201120143451360"</f>
        <v>272820201120143451360</v>
      </c>
      <c r="C1844" s="6" t="s">
        <v>9</v>
      </c>
      <c r="D1844" s="6" t="str">
        <f>"王金玉"</f>
        <v>王金玉</v>
      </c>
      <c r="E1844" s="6" t="str">
        <f>"1998-01-14"</f>
        <v>1998-01-14</v>
      </c>
      <c r="F1844" s="6"/>
    </row>
    <row r="1845" spans="1:6" ht="30" customHeight="1">
      <c r="A1845" s="6">
        <v>1843</v>
      </c>
      <c r="B1845" s="6" t="str">
        <f>"272820201120144044365"</f>
        <v>272820201120144044365</v>
      </c>
      <c r="C1845" s="6" t="s">
        <v>9</v>
      </c>
      <c r="D1845" s="6" t="str">
        <f>"曾瑜"</f>
        <v>曾瑜</v>
      </c>
      <c r="E1845" s="6" t="str">
        <f>"1993-11-26"</f>
        <v>1993-11-26</v>
      </c>
      <c r="F1845" s="6"/>
    </row>
    <row r="1846" spans="1:6" ht="30" customHeight="1">
      <c r="A1846" s="6">
        <v>1844</v>
      </c>
      <c r="B1846" s="6" t="str">
        <f>"272820201120145045375"</f>
        <v>272820201120145045375</v>
      </c>
      <c r="C1846" s="6" t="s">
        <v>9</v>
      </c>
      <c r="D1846" s="6" t="str">
        <f>"卢尧"</f>
        <v>卢尧</v>
      </c>
      <c r="E1846" s="6" t="str">
        <f>"1989-08-10"</f>
        <v>1989-08-10</v>
      </c>
      <c r="F1846" s="6"/>
    </row>
    <row r="1847" spans="1:6" ht="30" customHeight="1">
      <c r="A1847" s="6">
        <v>1845</v>
      </c>
      <c r="B1847" s="6" t="str">
        <f>"272820201120152230397"</f>
        <v>272820201120152230397</v>
      </c>
      <c r="C1847" s="6" t="s">
        <v>9</v>
      </c>
      <c r="D1847" s="6" t="str">
        <f>"李莉"</f>
        <v>李莉</v>
      </c>
      <c r="E1847" s="6" t="str">
        <f>"1997-12-17"</f>
        <v>1997-12-17</v>
      </c>
      <c r="F1847" s="6"/>
    </row>
    <row r="1848" spans="1:6" ht="30" customHeight="1">
      <c r="A1848" s="6">
        <v>1846</v>
      </c>
      <c r="B1848" s="6" t="str">
        <f>"272820201120153400404"</f>
        <v>272820201120153400404</v>
      </c>
      <c r="C1848" s="6" t="s">
        <v>9</v>
      </c>
      <c r="D1848" s="6" t="str">
        <f>"符兰慧"</f>
        <v>符兰慧</v>
      </c>
      <c r="E1848" s="6" t="str">
        <f>"1996-06-07"</f>
        <v>1996-06-07</v>
      </c>
      <c r="F1848" s="6"/>
    </row>
    <row r="1849" spans="1:6" ht="30" customHeight="1">
      <c r="A1849" s="6">
        <v>1847</v>
      </c>
      <c r="B1849" s="6" t="str">
        <f>"272820201120153522406"</f>
        <v>272820201120153522406</v>
      </c>
      <c r="C1849" s="6" t="s">
        <v>9</v>
      </c>
      <c r="D1849" s="6" t="str">
        <f>"沈中子"</f>
        <v>沈中子</v>
      </c>
      <c r="E1849" s="6" t="str">
        <f>"1997-06-13"</f>
        <v>1997-06-13</v>
      </c>
      <c r="F1849" s="6"/>
    </row>
    <row r="1850" spans="1:6" ht="30" customHeight="1">
      <c r="A1850" s="6">
        <v>1848</v>
      </c>
      <c r="B1850" s="6" t="str">
        <f>"272820201120155109418"</f>
        <v>272820201120155109418</v>
      </c>
      <c r="C1850" s="6" t="s">
        <v>9</v>
      </c>
      <c r="D1850" s="6" t="str">
        <f>"刘萍"</f>
        <v>刘萍</v>
      </c>
      <c r="E1850" s="6" t="str">
        <f>"1997-09-24"</f>
        <v>1997-09-24</v>
      </c>
      <c r="F1850" s="6"/>
    </row>
    <row r="1851" spans="1:6" ht="30" customHeight="1">
      <c r="A1851" s="6">
        <v>1849</v>
      </c>
      <c r="B1851" s="6" t="str">
        <f>"272820201120155627425"</f>
        <v>272820201120155627425</v>
      </c>
      <c r="C1851" s="6" t="s">
        <v>9</v>
      </c>
      <c r="D1851" s="6" t="str">
        <f>"林宣杉"</f>
        <v>林宣杉</v>
      </c>
      <c r="E1851" s="6" t="str">
        <f>"1997-08-12"</f>
        <v>1997-08-12</v>
      </c>
      <c r="F1851" s="6"/>
    </row>
    <row r="1852" spans="1:6" ht="30" customHeight="1">
      <c r="A1852" s="6">
        <v>1850</v>
      </c>
      <c r="B1852" s="6" t="str">
        <f>"272820201120155806426"</f>
        <v>272820201120155806426</v>
      </c>
      <c r="C1852" s="6" t="s">
        <v>9</v>
      </c>
      <c r="D1852" s="6" t="str">
        <f>"陈韵宇"</f>
        <v>陈韵宇</v>
      </c>
      <c r="E1852" s="6" t="str">
        <f>"1998-08-03"</f>
        <v>1998-08-03</v>
      </c>
      <c r="F1852" s="6"/>
    </row>
    <row r="1853" spans="1:6" ht="30" customHeight="1">
      <c r="A1853" s="6">
        <v>1851</v>
      </c>
      <c r="B1853" s="6" t="str">
        <f>"272820201120155812427"</f>
        <v>272820201120155812427</v>
      </c>
      <c r="C1853" s="6" t="s">
        <v>9</v>
      </c>
      <c r="D1853" s="6" t="str">
        <f>"吴慧莲"</f>
        <v>吴慧莲</v>
      </c>
      <c r="E1853" s="6" t="str">
        <f>"1996-05-02"</f>
        <v>1996-05-02</v>
      </c>
      <c r="F1853" s="6"/>
    </row>
    <row r="1854" spans="1:6" ht="30" customHeight="1">
      <c r="A1854" s="6">
        <v>1852</v>
      </c>
      <c r="B1854" s="6" t="str">
        <f>"272820201120162320448"</f>
        <v>272820201120162320448</v>
      </c>
      <c r="C1854" s="6" t="s">
        <v>9</v>
      </c>
      <c r="D1854" s="6" t="str">
        <f>"黎阳"</f>
        <v>黎阳</v>
      </c>
      <c r="E1854" s="6" t="str">
        <f>"1999-07-28"</f>
        <v>1999-07-28</v>
      </c>
      <c r="F1854" s="6"/>
    </row>
    <row r="1855" spans="1:6" ht="30" customHeight="1">
      <c r="A1855" s="6">
        <v>1853</v>
      </c>
      <c r="B1855" s="6" t="str">
        <f>"272820201120162830453"</f>
        <v>272820201120162830453</v>
      </c>
      <c r="C1855" s="6" t="s">
        <v>9</v>
      </c>
      <c r="D1855" s="6" t="str">
        <f>"莫清芳"</f>
        <v>莫清芳</v>
      </c>
      <c r="E1855" s="6" t="str">
        <f>"1993-04-05"</f>
        <v>1993-04-05</v>
      </c>
      <c r="F1855" s="6"/>
    </row>
    <row r="1856" spans="1:6" ht="30" customHeight="1">
      <c r="A1856" s="6">
        <v>1854</v>
      </c>
      <c r="B1856" s="6" t="str">
        <f>"272820201120162954454"</f>
        <v>272820201120162954454</v>
      </c>
      <c r="C1856" s="6" t="s">
        <v>9</v>
      </c>
      <c r="D1856" s="6" t="str">
        <f>"卢玉惠"</f>
        <v>卢玉惠</v>
      </c>
      <c r="E1856" s="6" t="str">
        <f>"1994-08-02"</f>
        <v>1994-08-02</v>
      </c>
      <c r="F1856" s="6"/>
    </row>
    <row r="1857" spans="1:6" ht="30" customHeight="1">
      <c r="A1857" s="6">
        <v>1855</v>
      </c>
      <c r="B1857" s="6" t="str">
        <f>"272820201120171035479"</f>
        <v>272820201120171035479</v>
      </c>
      <c r="C1857" s="6" t="s">
        <v>9</v>
      </c>
      <c r="D1857" s="6" t="str">
        <f>"唐小妹"</f>
        <v>唐小妹</v>
      </c>
      <c r="E1857" s="6" t="str">
        <f>"1995-05-07"</f>
        <v>1995-05-07</v>
      </c>
      <c r="F1857" s="6"/>
    </row>
    <row r="1858" spans="1:6" ht="30" customHeight="1">
      <c r="A1858" s="6">
        <v>1856</v>
      </c>
      <c r="B1858" s="6" t="str">
        <f>"272820201120171249482"</f>
        <v>272820201120171249482</v>
      </c>
      <c r="C1858" s="6" t="s">
        <v>9</v>
      </c>
      <c r="D1858" s="6" t="str">
        <f>"王孙梁"</f>
        <v>王孙梁</v>
      </c>
      <c r="E1858" s="6" t="str">
        <f>"1997-08-12"</f>
        <v>1997-08-12</v>
      </c>
      <c r="F1858" s="6"/>
    </row>
    <row r="1859" spans="1:6" ht="30" customHeight="1">
      <c r="A1859" s="6">
        <v>1857</v>
      </c>
      <c r="B1859" s="6" t="str">
        <f>"272820201120173310494"</f>
        <v>272820201120173310494</v>
      </c>
      <c r="C1859" s="6" t="s">
        <v>9</v>
      </c>
      <c r="D1859" s="6" t="str">
        <f>"麦洁"</f>
        <v>麦洁</v>
      </c>
      <c r="E1859" s="6" t="str">
        <f>"1992-05-17"</f>
        <v>1992-05-17</v>
      </c>
      <c r="F1859" s="6"/>
    </row>
    <row r="1860" spans="1:6" ht="30" customHeight="1">
      <c r="A1860" s="6">
        <v>1858</v>
      </c>
      <c r="B1860" s="6" t="str">
        <f>"272820201120184812534"</f>
        <v>272820201120184812534</v>
      </c>
      <c r="C1860" s="6" t="s">
        <v>9</v>
      </c>
      <c r="D1860" s="6" t="str">
        <f>"王翔"</f>
        <v>王翔</v>
      </c>
      <c r="E1860" s="6" t="str">
        <f>"1996-11-27"</f>
        <v>1996-11-27</v>
      </c>
      <c r="F1860" s="6"/>
    </row>
    <row r="1861" spans="1:6" ht="30" customHeight="1">
      <c r="A1861" s="6">
        <v>1859</v>
      </c>
      <c r="B1861" s="6" t="str">
        <f>"272820201120185856537"</f>
        <v>272820201120185856537</v>
      </c>
      <c r="C1861" s="6" t="s">
        <v>9</v>
      </c>
      <c r="D1861" s="6" t="str">
        <f>"黄宗仙"</f>
        <v>黄宗仙</v>
      </c>
      <c r="E1861" s="6" t="str">
        <f>"1993-11-02"</f>
        <v>1993-11-02</v>
      </c>
      <c r="F1861" s="6"/>
    </row>
    <row r="1862" spans="1:6" ht="30" customHeight="1">
      <c r="A1862" s="6">
        <v>1860</v>
      </c>
      <c r="B1862" s="6" t="str">
        <f>"272820201120193823557"</f>
        <v>272820201120193823557</v>
      </c>
      <c r="C1862" s="6" t="s">
        <v>9</v>
      </c>
      <c r="D1862" s="6" t="str">
        <f>"蔡山壮"</f>
        <v>蔡山壮</v>
      </c>
      <c r="E1862" s="6" t="str">
        <f>"1996-11-24"</f>
        <v>1996-11-24</v>
      </c>
      <c r="F1862" s="6"/>
    </row>
    <row r="1863" spans="1:6" ht="30" customHeight="1">
      <c r="A1863" s="6">
        <v>1861</v>
      </c>
      <c r="B1863" s="6" t="str">
        <f>"272820201120194313560"</f>
        <v>272820201120194313560</v>
      </c>
      <c r="C1863" s="6" t="s">
        <v>9</v>
      </c>
      <c r="D1863" s="6" t="str">
        <f>"陈景"</f>
        <v>陈景</v>
      </c>
      <c r="E1863" s="6" t="str">
        <f>"1996-10-06"</f>
        <v>1996-10-06</v>
      </c>
      <c r="F1863" s="6"/>
    </row>
    <row r="1864" spans="1:6" ht="30" customHeight="1">
      <c r="A1864" s="6">
        <v>1862</v>
      </c>
      <c r="B1864" s="6" t="str">
        <f>"272820201120194929563"</f>
        <v>272820201120194929563</v>
      </c>
      <c r="C1864" s="6" t="s">
        <v>9</v>
      </c>
      <c r="D1864" s="6" t="str">
        <f>"麦阳"</f>
        <v>麦阳</v>
      </c>
      <c r="E1864" s="6" t="str">
        <f>"1997-08-15"</f>
        <v>1997-08-15</v>
      </c>
      <c r="F1864" s="6"/>
    </row>
    <row r="1865" spans="1:6" ht="30" customHeight="1">
      <c r="A1865" s="6">
        <v>1863</v>
      </c>
      <c r="B1865" s="6" t="str">
        <f>"272820201120201628577"</f>
        <v>272820201120201628577</v>
      </c>
      <c r="C1865" s="6" t="s">
        <v>9</v>
      </c>
      <c r="D1865" s="6" t="str">
        <f>"符帅兵"</f>
        <v>符帅兵</v>
      </c>
      <c r="E1865" s="6" t="str">
        <f>"1998-02-03"</f>
        <v>1998-02-03</v>
      </c>
      <c r="F1865" s="6"/>
    </row>
    <row r="1866" spans="1:6" ht="30" customHeight="1">
      <c r="A1866" s="6">
        <v>1864</v>
      </c>
      <c r="B1866" s="6" t="str">
        <f>"272820201120202546587"</f>
        <v>272820201120202546587</v>
      </c>
      <c r="C1866" s="6" t="s">
        <v>9</v>
      </c>
      <c r="D1866" s="6" t="str">
        <f>"徐娉"</f>
        <v>徐娉</v>
      </c>
      <c r="E1866" s="6" t="str">
        <f>"1997-11-07"</f>
        <v>1997-11-07</v>
      </c>
      <c r="F1866" s="6"/>
    </row>
    <row r="1867" spans="1:6" ht="30" customHeight="1">
      <c r="A1867" s="6">
        <v>1865</v>
      </c>
      <c r="B1867" s="6" t="str">
        <f>"272820201120212004614"</f>
        <v>272820201120212004614</v>
      </c>
      <c r="C1867" s="6" t="s">
        <v>9</v>
      </c>
      <c r="D1867" s="6" t="str">
        <f>"游宇雷"</f>
        <v>游宇雷</v>
      </c>
      <c r="E1867" s="6" t="str">
        <f>"1997-09-25"</f>
        <v>1997-09-25</v>
      </c>
      <c r="F1867" s="6"/>
    </row>
    <row r="1868" spans="1:6" ht="30" customHeight="1">
      <c r="A1868" s="6">
        <v>1866</v>
      </c>
      <c r="B1868" s="6" t="str">
        <f>"272820201120212523618"</f>
        <v>272820201120212523618</v>
      </c>
      <c r="C1868" s="6" t="s">
        <v>9</v>
      </c>
      <c r="D1868" s="6" t="str">
        <f>"陈雪"</f>
        <v>陈雪</v>
      </c>
      <c r="E1868" s="6" t="str">
        <f>"1996-06-12"</f>
        <v>1996-06-12</v>
      </c>
      <c r="F1868" s="6"/>
    </row>
    <row r="1869" spans="1:6" ht="30" customHeight="1">
      <c r="A1869" s="6">
        <v>1867</v>
      </c>
      <c r="B1869" s="6" t="str">
        <f>"272820201120212541619"</f>
        <v>272820201120212541619</v>
      </c>
      <c r="C1869" s="6" t="s">
        <v>9</v>
      </c>
      <c r="D1869" s="6" t="str">
        <f>"董亚果"</f>
        <v>董亚果</v>
      </c>
      <c r="E1869" s="6" t="str">
        <f>"1992-04-13"</f>
        <v>1992-04-13</v>
      </c>
      <c r="F1869" s="6"/>
    </row>
    <row r="1870" spans="1:6" ht="30" customHeight="1">
      <c r="A1870" s="6">
        <v>1868</v>
      </c>
      <c r="B1870" s="6" t="str">
        <f>"272820201120215537630"</f>
        <v>272820201120215537630</v>
      </c>
      <c r="C1870" s="6" t="s">
        <v>9</v>
      </c>
      <c r="D1870" s="6" t="str">
        <f>"陈芳菊"</f>
        <v>陈芳菊</v>
      </c>
      <c r="E1870" s="6" t="str">
        <f>"1990-11-11"</f>
        <v>1990-11-11</v>
      </c>
      <c r="F1870" s="6"/>
    </row>
    <row r="1871" spans="1:6" ht="30" customHeight="1">
      <c r="A1871" s="6">
        <v>1869</v>
      </c>
      <c r="B1871" s="6" t="str">
        <f>"272820201120221029637"</f>
        <v>272820201120221029637</v>
      </c>
      <c r="C1871" s="6" t="s">
        <v>9</v>
      </c>
      <c r="D1871" s="6" t="str">
        <f>"许开翔"</f>
        <v>许开翔</v>
      </c>
      <c r="E1871" s="6" t="str">
        <f>"1996-01-30"</f>
        <v>1996-01-30</v>
      </c>
      <c r="F1871" s="6"/>
    </row>
    <row r="1872" spans="1:6" ht="30" customHeight="1">
      <c r="A1872" s="6">
        <v>1870</v>
      </c>
      <c r="B1872" s="6" t="str">
        <f>"272820201120221800644"</f>
        <v>272820201120221800644</v>
      </c>
      <c r="C1872" s="6" t="s">
        <v>9</v>
      </c>
      <c r="D1872" s="6" t="str">
        <f>"史勤强"</f>
        <v>史勤强</v>
      </c>
      <c r="E1872" s="6" t="str">
        <f>"1996-03-12"</f>
        <v>1996-03-12</v>
      </c>
      <c r="F1872" s="6"/>
    </row>
    <row r="1873" spans="1:6" ht="30" customHeight="1">
      <c r="A1873" s="6">
        <v>1871</v>
      </c>
      <c r="B1873" s="6" t="str">
        <f>"272820201120222625648"</f>
        <v>272820201120222625648</v>
      </c>
      <c r="C1873" s="6" t="s">
        <v>9</v>
      </c>
      <c r="D1873" s="6" t="str">
        <f>"梁咏和"</f>
        <v>梁咏和</v>
      </c>
      <c r="E1873" s="6" t="str">
        <f>"1994-12-04"</f>
        <v>1994-12-04</v>
      </c>
      <c r="F1873" s="6"/>
    </row>
    <row r="1874" spans="1:6" ht="30" customHeight="1">
      <c r="A1874" s="6">
        <v>1872</v>
      </c>
      <c r="B1874" s="6" t="str">
        <f>"272820201121002234680"</f>
        <v>272820201121002234680</v>
      </c>
      <c r="C1874" s="6" t="s">
        <v>9</v>
      </c>
      <c r="D1874" s="6" t="str">
        <f>"胡娇丹"</f>
        <v>胡娇丹</v>
      </c>
      <c r="E1874" s="6" t="str">
        <f>"1997-10-15"</f>
        <v>1997-10-15</v>
      </c>
      <c r="F1874" s="6"/>
    </row>
    <row r="1875" spans="1:6" ht="30" customHeight="1">
      <c r="A1875" s="6">
        <v>1873</v>
      </c>
      <c r="B1875" s="6" t="str">
        <f>"272820201121084645696"</f>
        <v>272820201121084645696</v>
      </c>
      <c r="C1875" s="6" t="s">
        <v>9</v>
      </c>
      <c r="D1875" s="6" t="str">
        <f>"王瑶"</f>
        <v>王瑶</v>
      </c>
      <c r="E1875" s="6" t="str">
        <f>"1997-11-22"</f>
        <v>1997-11-22</v>
      </c>
      <c r="F1875" s="6"/>
    </row>
    <row r="1876" spans="1:6" ht="30" customHeight="1">
      <c r="A1876" s="6">
        <v>1874</v>
      </c>
      <c r="B1876" s="6" t="str">
        <f>"272820201121092004703"</f>
        <v>272820201121092004703</v>
      </c>
      <c r="C1876" s="6" t="s">
        <v>9</v>
      </c>
      <c r="D1876" s="6" t="str">
        <f>"陈靖宇"</f>
        <v>陈靖宇</v>
      </c>
      <c r="E1876" s="6" t="str">
        <f>"1995-07-13"</f>
        <v>1995-07-13</v>
      </c>
      <c r="F1876" s="6"/>
    </row>
    <row r="1877" spans="1:6" ht="30" customHeight="1">
      <c r="A1877" s="6">
        <v>1875</v>
      </c>
      <c r="B1877" s="6" t="str">
        <f>"272820201121093148707"</f>
        <v>272820201121093148707</v>
      </c>
      <c r="C1877" s="6" t="s">
        <v>9</v>
      </c>
      <c r="D1877" s="6" t="str">
        <f>"符凯亮"</f>
        <v>符凯亮</v>
      </c>
      <c r="E1877" s="6" t="str">
        <f>"1995-05-21"</f>
        <v>1995-05-21</v>
      </c>
      <c r="F1877" s="6"/>
    </row>
    <row r="1878" spans="1:6" ht="30" customHeight="1">
      <c r="A1878" s="6">
        <v>1876</v>
      </c>
      <c r="B1878" s="6" t="str">
        <f>"272820201121100355715"</f>
        <v>272820201121100355715</v>
      </c>
      <c r="C1878" s="6" t="s">
        <v>9</v>
      </c>
      <c r="D1878" s="6" t="str">
        <f>"陈晨玲"</f>
        <v>陈晨玲</v>
      </c>
      <c r="E1878" s="6" t="str">
        <f>"1991-10-10"</f>
        <v>1991-10-10</v>
      </c>
      <c r="F1878" s="6"/>
    </row>
    <row r="1879" spans="1:6" ht="30" customHeight="1">
      <c r="A1879" s="6">
        <v>1877</v>
      </c>
      <c r="B1879" s="6" t="str">
        <f>"272820201121101918721"</f>
        <v>272820201121101918721</v>
      </c>
      <c r="C1879" s="6" t="s">
        <v>9</v>
      </c>
      <c r="D1879" s="6" t="str">
        <f>"容芬"</f>
        <v>容芬</v>
      </c>
      <c r="E1879" s="6" t="str">
        <f>"1996-04-25"</f>
        <v>1996-04-25</v>
      </c>
      <c r="F1879" s="6"/>
    </row>
    <row r="1880" spans="1:6" ht="30" customHeight="1">
      <c r="A1880" s="6">
        <v>1878</v>
      </c>
      <c r="B1880" s="6" t="str">
        <f>"272820201121103945730"</f>
        <v>272820201121103945730</v>
      </c>
      <c r="C1880" s="6" t="s">
        <v>9</v>
      </c>
      <c r="D1880" s="6" t="str">
        <f>"黎代丹"</f>
        <v>黎代丹</v>
      </c>
      <c r="E1880" s="6" t="str">
        <f>"1993-11-24"</f>
        <v>1993-11-24</v>
      </c>
      <c r="F1880" s="6"/>
    </row>
    <row r="1881" spans="1:6" ht="30" customHeight="1">
      <c r="A1881" s="6">
        <v>1879</v>
      </c>
      <c r="B1881" s="6" t="str">
        <f>"272820201121104630734"</f>
        <v>272820201121104630734</v>
      </c>
      <c r="C1881" s="6" t="s">
        <v>9</v>
      </c>
      <c r="D1881" s="6" t="str">
        <f>"王奋"</f>
        <v>王奋</v>
      </c>
      <c r="E1881" s="6" t="str">
        <f>"1996-02-20"</f>
        <v>1996-02-20</v>
      </c>
      <c r="F1881" s="6"/>
    </row>
    <row r="1882" spans="1:6" ht="30" customHeight="1">
      <c r="A1882" s="6">
        <v>1880</v>
      </c>
      <c r="B1882" s="6" t="str">
        <f>"272820201121105215739"</f>
        <v>272820201121105215739</v>
      </c>
      <c r="C1882" s="6" t="s">
        <v>9</v>
      </c>
      <c r="D1882" s="6" t="str">
        <f>"黎培莹"</f>
        <v>黎培莹</v>
      </c>
      <c r="E1882" s="6" t="str">
        <f>"1991-03-12"</f>
        <v>1991-03-12</v>
      </c>
      <c r="F1882" s="6"/>
    </row>
    <row r="1883" spans="1:6" ht="30" customHeight="1">
      <c r="A1883" s="6">
        <v>1881</v>
      </c>
      <c r="B1883" s="6" t="str">
        <f>"272820201121105302740"</f>
        <v>272820201121105302740</v>
      </c>
      <c r="C1883" s="6" t="s">
        <v>9</v>
      </c>
      <c r="D1883" s="6" t="str">
        <f>"洪燕婷"</f>
        <v>洪燕婷</v>
      </c>
      <c r="E1883" s="6" t="str">
        <f>"1997-11-10"</f>
        <v>1997-11-10</v>
      </c>
      <c r="F1883" s="6"/>
    </row>
    <row r="1884" spans="1:6" ht="30" customHeight="1">
      <c r="A1884" s="6">
        <v>1882</v>
      </c>
      <c r="B1884" s="6" t="str">
        <f>"272820201121110244750"</f>
        <v>272820201121110244750</v>
      </c>
      <c r="C1884" s="6" t="s">
        <v>9</v>
      </c>
      <c r="D1884" s="6" t="str">
        <f>"郑庆珊"</f>
        <v>郑庆珊</v>
      </c>
      <c r="E1884" s="6" t="str">
        <f>"1991-04-16"</f>
        <v>1991-04-16</v>
      </c>
      <c r="F1884" s="6"/>
    </row>
    <row r="1885" spans="1:6" ht="30" customHeight="1">
      <c r="A1885" s="6">
        <v>1883</v>
      </c>
      <c r="B1885" s="6" t="str">
        <f>"272820201121110657751"</f>
        <v>272820201121110657751</v>
      </c>
      <c r="C1885" s="6" t="s">
        <v>9</v>
      </c>
      <c r="D1885" s="6" t="str">
        <f>"何光明"</f>
        <v>何光明</v>
      </c>
      <c r="E1885" s="6" t="str">
        <f>"1996-02-21"</f>
        <v>1996-02-21</v>
      </c>
      <c r="F1885" s="6"/>
    </row>
    <row r="1886" spans="1:6" ht="30" customHeight="1">
      <c r="A1886" s="6">
        <v>1884</v>
      </c>
      <c r="B1886" s="6" t="str">
        <f>"272820201121113630761"</f>
        <v>272820201121113630761</v>
      </c>
      <c r="C1886" s="6" t="s">
        <v>9</v>
      </c>
      <c r="D1886" s="6" t="str">
        <f>"陈贞琳"</f>
        <v>陈贞琳</v>
      </c>
      <c r="E1886" s="6" t="str">
        <f>"1993-04-11"</f>
        <v>1993-04-11</v>
      </c>
      <c r="F1886" s="6"/>
    </row>
    <row r="1887" spans="1:6" ht="30" customHeight="1">
      <c r="A1887" s="6">
        <v>1885</v>
      </c>
      <c r="B1887" s="6" t="str">
        <f>"272820201121113906762"</f>
        <v>272820201121113906762</v>
      </c>
      <c r="C1887" s="6" t="s">
        <v>9</v>
      </c>
      <c r="D1887" s="6" t="str">
        <f>"陈雅"</f>
        <v>陈雅</v>
      </c>
      <c r="E1887" s="6" t="str">
        <f>"1997-08-27"</f>
        <v>1997-08-27</v>
      </c>
      <c r="F1887" s="6"/>
    </row>
    <row r="1888" spans="1:6" ht="30" customHeight="1">
      <c r="A1888" s="6">
        <v>1886</v>
      </c>
      <c r="B1888" s="6" t="str">
        <f>"272820201121123507785"</f>
        <v>272820201121123507785</v>
      </c>
      <c r="C1888" s="6" t="s">
        <v>9</v>
      </c>
      <c r="D1888" s="6" t="str">
        <f>"陈舒琪"</f>
        <v>陈舒琪</v>
      </c>
      <c r="E1888" s="6" t="str">
        <f>"1996-10-01"</f>
        <v>1996-10-01</v>
      </c>
      <c r="F1888" s="6"/>
    </row>
    <row r="1889" spans="1:6" ht="30" customHeight="1">
      <c r="A1889" s="6">
        <v>1887</v>
      </c>
      <c r="B1889" s="6" t="str">
        <f>"272820201121124239787"</f>
        <v>272820201121124239787</v>
      </c>
      <c r="C1889" s="6" t="s">
        <v>9</v>
      </c>
      <c r="D1889" s="6" t="str">
        <f>"黄俊敏"</f>
        <v>黄俊敏</v>
      </c>
      <c r="E1889" s="6" t="str">
        <f>"1996-08-01"</f>
        <v>1996-08-01</v>
      </c>
      <c r="F1889" s="6"/>
    </row>
    <row r="1890" spans="1:6" ht="30" customHeight="1">
      <c r="A1890" s="6">
        <v>1888</v>
      </c>
      <c r="B1890" s="6" t="str">
        <f>"272820201121130443795"</f>
        <v>272820201121130443795</v>
      </c>
      <c r="C1890" s="6" t="s">
        <v>9</v>
      </c>
      <c r="D1890" s="6" t="str">
        <f>"吴有亮"</f>
        <v>吴有亮</v>
      </c>
      <c r="E1890" s="6" t="str">
        <f>"1999-11-05"</f>
        <v>1999-11-05</v>
      </c>
      <c r="F1890" s="6"/>
    </row>
    <row r="1891" spans="1:6" ht="30" customHeight="1">
      <c r="A1891" s="6">
        <v>1889</v>
      </c>
      <c r="B1891" s="6" t="str">
        <f>"272820201121133603806"</f>
        <v>272820201121133603806</v>
      </c>
      <c r="C1891" s="6" t="s">
        <v>9</v>
      </c>
      <c r="D1891" s="6" t="str">
        <f>"刘汉丽"</f>
        <v>刘汉丽</v>
      </c>
      <c r="E1891" s="6" t="str">
        <f>"1995-02-20"</f>
        <v>1995-02-20</v>
      </c>
      <c r="F1891" s="6"/>
    </row>
    <row r="1892" spans="1:6" ht="30" customHeight="1">
      <c r="A1892" s="6">
        <v>1890</v>
      </c>
      <c r="B1892" s="6" t="str">
        <f>"272820201121140559811"</f>
        <v>272820201121140559811</v>
      </c>
      <c r="C1892" s="6" t="s">
        <v>9</v>
      </c>
      <c r="D1892" s="6" t="str">
        <f>"杨珍英"</f>
        <v>杨珍英</v>
      </c>
      <c r="E1892" s="6" t="str">
        <f>"1993-10-03"</f>
        <v>1993-10-03</v>
      </c>
      <c r="F1892" s="6"/>
    </row>
    <row r="1893" spans="1:6" ht="30" customHeight="1">
      <c r="A1893" s="6">
        <v>1891</v>
      </c>
      <c r="B1893" s="6" t="str">
        <f>"272820201121145434825"</f>
        <v>272820201121145434825</v>
      </c>
      <c r="C1893" s="6" t="s">
        <v>9</v>
      </c>
      <c r="D1893" s="6" t="str">
        <f>"靳艺泽"</f>
        <v>靳艺泽</v>
      </c>
      <c r="E1893" s="6" t="str">
        <f>"1998-09-18"</f>
        <v>1998-09-18</v>
      </c>
      <c r="F1893" s="6"/>
    </row>
    <row r="1894" spans="1:6" ht="30" customHeight="1">
      <c r="A1894" s="6">
        <v>1892</v>
      </c>
      <c r="B1894" s="6" t="str">
        <f>"272820201121163457851"</f>
        <v>272820201121163457851</v>
      </c>
      <c r="C1894" s="6" t="s">
        <v>9</v>
      </c>
      <c r="D1894" s="6" t="str">
        <f>"朱立尧"</f>
        <v>朱立尧</v>
      </c>
      <c r="E1894" s="6" t="str">
        <f>"1995-05-07"</f>
        <v>1995-05-07</v>
      </c>
      <c r="F1894" s="6"/>
    </row>
    <row r="1895" spans="1:6" ht="30" customHeight="1">
      <c r="A1895" s="6">
        <v>1893</v>
      </c>
      <c r="B1895" s="6" t="str">
        <f>"272820201121174156877"</f>
        <v>272820201121174156877</v>
      </c>
      <c r="C1895" s="6" t="s">
        <v>9</v>
      </c>
      <c r="D1895" s="6" t="str">
        <f>"陈余香"</f>
        <v>陈余香</v>
      </c>
      <c r="E1895" s="6" t="str">
        <f>"1995-11-18"</f>
        <v>1995-11-18</v>
      </c>
      <c r="F1895" s="6"/>
    </row>
    <row r="1896" spans="1:6" ht="30" customHeight="1">
      <c r="A1896" s="6">
        <v>1894</v>
      </c>
      <c r="B1896" s="6" t="str">
        <f>"272820201121185800897"</f>
        <v>272820201121185800897</v>
      </c>
      <c r="C1896" s="6" t="s">
        <v>9</v>
      </c>
      <c r="D1896" s="6" t="str">
        <f>"李晓霞"</f>
        <v>李晓霞</v>
      </c>
      <c r="E1896" s="6" t="str">
        <f>"2002-09-05"</f>
        <v>2002-09-05</v>
      </c>
      <c r="F1896" s="6"/>
    </row>
    <row r="1897" spans="1:6" ht="30" customHeight="1">
      <c r="A1897" s="6">
        <v>1895</v>
      </c>
      <c r="B1897" s="6" t="str">
        <f>"272820201121191920903"</f>
        <v>272820201121191920903</v>
      </c>
      <c r="C1897" s="6" t="s">
        <v>9</v>
      </c>
      <c r="D1897" s="6" t="str">
        <f>"吉晶"</f>
        <v>吉晶</v>
      </c>
      <c r="E1897" s="6" t="str">
        <f>"1996-08-16"</f>
        <v>1996-08-16</v>
      </c>
      <c r="F1897" s="6"/>
    </row>
    <row r="1898" spans="1:6" ht="30" customHeight="1">
      <c r="A1898" s="6">
        <v>1896</v>
      </c>
      <c r="B1898" s="6" t="str">
        <f>"272820201121195403912"</f>
        <v>272820201121195403912</v>
      </c>
      <c r="C1898" s="6" t="s">
        <v>9</v>
      </c>
      <c r="D1898" s="6" t="str">
        <f>"张书娜"</f>
        <v>张书娜</v>
      </c>
      <c r="E1898" s="6" t="str">
        <f>"1994-04-27"</f>
        <v>1994-04-27</v>
      </c>
      <c r="F1898" s="6"/>
    </row>
    <row r="1899" spans="1:6" ht="30" customHeight="1">
      <c r="A1899" s="6">
        <v>1897</v>
      </c>
      <c r="B1899" s="6" t="str">
        <f>"272820201121202045921"</f>
        <v>272820201121202045921</v>
      </c>
      <c r="C1899" s="6" t="s">
        <v>9</v>
      </c>
      <c r="D1899" s="6" t="str">
        <f>"裴记妙"</f>
        <v>裴记妙</v>
      </c>
      <c r="E1899" s="6" t="str">
        <f>"1995-01-15"</f>
        <v>1995-01-15</v>
      </c>
      <c r="F1899" s="6"/>
    </row>
    <row r="1900" spans="1:6" ht="30" customHeight="1">
      <c r="A1900" s="6">
        <v>1898</v>
      </c>
      <c r="B1900" s="6" t="str">
        <f>"272820201121220335955"</f>
        <v>272820201121220335955</v>
      </c>
      <c r="C1900" s="6" t="s">
        <v>9</v>
      </c>
      <c r="D1900" s="6" t="str">
        <f>"邓沂林"</f>
        <v>邓沂林</v>
      </c>
      <c r="E1900" s="6" t="str">
        <f>"1998-05-15"</f>
        <v>1998-05-15</v>
      </c>
      <c r="F1900" s="6"/>
    </row>
    <row r="1901" spans="1:6" ht="30" customHeight="1">
      <c r="A1901" s="6">
        <v>1899</v>
      </c>
      <c r="B1901" s="6" t="str">
        <f>"272820201121223618963"</f>
        <v>272820201121223618963</v>
      </c>
      <c r="C1901" s="6" t="s">
        <v>9</v>
      </c>
      <c r="D1901" s="6" t="str">
        <f>"许倩敏"</f>
        <v>许倩敏</v>
      </c>
      <c r="E1901" s="6" t="str">
        <f>"1998-07-27"</f>
        <v>1998-07-27</v>
      </c>
      <c r="F1901" s="6"/>
    </row>
    <row r="1902" spans="1:6" ht="30" customHeight="1">
      <c r="A1902" s="6">
        <v>1900</v>
      </c>
      <c r="B1902" s="6" t="str">
        <f>"272820201121224317968"</f>
        <v>272820201121224317968</v>
      </c>
      <c r="C1902" s="6" t="s">
        <v>9</v>
      </c>
      <c r="D1902" s="6" t="str">
        <f>"张雨梅"</f>
        <v>张雨梅</v>
      </c>
      <c r="E1902" s="6" t="str">
        <f>"1994-08-06"</f>
        <v>1994-08-06</v>
      </c>
      <c r="F1902" s="6"/>
    </row>
    <row r="1903" spans="1:6" ht="30" customHeight="1">
      <c r="A1903" s="6">
        <v>1901</v>
      </c>
      <c r="B1903" s="6" t="str">
        <f>"272820201122000712986"</f>
        <v>272820201122000712986</v>
      </c>
      <c r="C1903" s="6" t="s">
        <v>9</v>
      </c>
      <c r="D1903" s="6" t="str">
        <f>"刘镇杰"</f>
        <v>刘镇杰</v>
      </c>
      <c r="E1903" s="6" t="str">
        <f>"1996-09-02"</f>
        <v>1996-09-02</v>
      </c>
      <c r="F1903" s="6"/>
    </row>
    <row r="1904" spans="1:6" ht="30" customHeight="1">
      <c r="A1904" s="6">
        <v>1902</v>
      </c>
      <c r="B1904" s="6" t="str">
        <f>"272820201122001108987"</f>
        <v>272820201122001108987</v>
      </c>
      <c r="C1904" s="6" t="s">
        <v>9</v>
      </c>
      <c r="D1904" s="6" t="str">
        <f>"林秋杏"</f>
        <v>林秋杏</v>
      </c>
      <c r="E1904" s="6" t="str">
        <f>"1996-06-18"</f>
        <v>1996-06-18</v>
      </c>
      <c r="F1904" s="6"/>
    </row>
    <row r="1905" spans="1:6" ht="30" customHeight="1">
      <c r="A1905" s="6">
        <v>1903</v>
      </c>
      <c r="B1905" s="6" t="str">
        <f>"272820201122004537989"</f>
        <v>272820201122004537989</v>
      </c>
      <c r="C1905" s="6" t="s">
        <v>9</v>
      </c>
      <c r="D1905" s="6" t="str">
        <f>"郭兰兰"</f>
        <v>郭兰兰</v>
      </c>
      <c r="E1905" s="6" t="str">
        <f>"1998-08-16"</f>
        <v>1998-08-16</v>
      </c>
      <c r="F1905" s="6"/>
    </row>
    <row r="1906" spans="1:6" ht="30" customHeight="1">
      <c r="A1906" s="6">
        <v>1904</v>
      </c>
      <c r="B1906" s="6" t="str">
        <f>"272820201122005959990"</f>
        <v>272820201122005959990</v>
      </c>
      <c r="C1906" s="6" t="s">
        <v>9</v>
      </c>
      <c r="D1906" s="6" t="str">
        <f>"陈奕锦"</f>
        <v>陈奕锦</v>
      </c>
      <c r="E1906" s="6" t="str">
        <f>"1995-09-01"</f>
        <v>1995-09-01</v>
      </c>
      <c r="F1906" s="6"/>
    </row>
    <row r="1907" spans="1:6" ht="30" customHeight="1">
      <c r="A1907" s="6">
        <v>1905</v>
      </c>
      <c r="B1907" s="6" t="str">
        <f>"2728202011220919241011"</f>
        <v>2728202011220919241011</v>
      </c>
      <c r="C1907" s="6" t="s">
        <v>9</v>
      </c>
      <c r="D1907" s="6" t="str">
        <f>"严庆国"</f>
        <v>严庆国</v>
      </c>
      <c r="E1907" s="6" t="str">
        <f>"1998-07-20"</f>
        <v>1998-07-20</v>
      </c>
      <c r="F1907" s="6"/>
    </row>
    <row r="1908" spans="1:6" ht="30" customHeight="1">
      <c r="A1908" s="6">
        <v>1906</v>
      </c>
      <c r="B1908" s="6" t="str">
        <f>"2728202011220948201017"</f>
        <v>2728202011220948201017</v>
      </c>
      <c r="C1908" s="6" t="s">
        <v>9</v>
      </c>
      <c r="D1908" s="6" t="str">
        <f>"孙才多"</f>
        <v>孙才多</v>
      </c>
      <c r="E1908" s="6" t="str">
        <f>"1995-10-01"</f>
        <v>1995-10-01</v>
      </c>
      <c r="F1908" s="6"/>
    </row>
    <row r="1909" spans="1:6" ht="30" customHeight="1">
      <c r="A1909" s="6">
        <v>1907</v>
      </c>
      <c r="B1909" s="6" t="str">
        <f>"2728202011221010221022"</f>
        <v>2728202011221010221022</v>
      </c>
      <c r="C1909" s="6" t="s">
        <v>9</v>
      </c>
      <c r="D1909" s="6" t="str">
        <f>"林晓"</f>
        <v>林晓</v>
      </c>
      <c r="E1909" s="6" t="str">
        <f>"1996-07-28"</f>
        <v>1996-07-28</v>
      </c>
      <c r="F1909" s="6"/>
    </row>
    <row r="1910" spans="1:6" ht="30" customHeight="1">
      <c r="A1910" s="6">
        <v>1908</v>
      </c>
      <c r="B1910" s="6" t="str">
        <f>"2728202011221109051047"</f>
        <v>2728202011221109051047</v>
      </c>
      <c r="C1910" s="6" t="s">
        <v>9</v>
      </c>
      <c r="D1910" s="6" t="str">
        <f>"王颖"</f>
        <v>王颖</v>
      </c>
      <c r="E1910" s="6" t="str">
        <f>"1996-10-08"</f>
        <v>1996-10-08</v>
      </c>
      <c r="F1910" s="6"/>
    </row>
    <row r="1911" spans="1:6" ht="30" customHeight="1">
      <c r="A1911" s="6">
        <v>1909</v>
      </c>
      <c r="B1911" s="6" t="str">
        <f>"2728202011221133541056"</f>
        <v>2728202011221133541056</v>
      </c>
      <c r="C1911" s="6" t="s">
        <v>9</v>
      </c>
      <c r="D1911" s="6" t="str">
        <f>"胡启圣"</f>
        <v>胡启圣</v>
      </c>
      <c r="E1911" s="6" t="str">
        <f>"1993-01-01"</f>
        <v>1993-01-01</v>
      </c>
      <c r="F1911" s="6"/>
    </row>
    <row r="1912" spans="1:6" ht="30" customHeight="1">
      <c r="A1912" s="6">
        <v>1910</v>
      </c>
      <c r="B1912" s="6" t="str">
        <f>"2728202011221200291064"</f>
        <v>2728202011221200291064</v>
      </c>
      <c r="C1912" s="6" t="s">
        <v>9</v>
      </c>
      <c r="D1912" s="6" t="str">
        <f>"董雪"</f>
        <v>董雪</v>
      </c>
      <c r="E1912" s="6" t="str">
        <f>"1988-05-01"</f>
        <v>1988-05-01</v>
      </c>
      <c r="F1912" s="6"/>
    </row>
    <row r="1913" spans="1:6" ht="30" customHeight="1">
      <c r="A1913" s="6">
        <v>1911</v>
      </c>
      <c r="B1913" s="6" t="str">
        <f>"2728202011221207241067"</f>
        <v>2728202011221207241067</v>
      </c>
      <c r="C1913" s="6" t="s">
        <v>9</v>
      </c>
      <c r="D1913" s="6" t="str">
        <f>"杨生院"</f>
        <v>杨生院</v>
      </c>
      <c r="E1913" s="6" t="str">
        <f>"1996-03-24"</f>
        <v>1996-03-24</v>
      </c>
      <c r="F1913" s="6"/>
    </row>
    <row r="1914" spans="1:6" ht="30" customHeight="1">
      <c r="A1914" s="6">
        <v>1912</v>
      </c>
      <c r="B1914" s="6" t="str">
        <f>"2728202011221233571073"</f>
        <v>2728202011221233571073</v>
      </c>
      <c r="C1914" s="6" t="s">
        <v>9</v>
      </c>
      <c r="D1914" s="6" t="str">
        <f>"罗春玉"</f>
        <v>罗春玉</v>
      </c>
      <c r="E1914" s="6" t="str">
        <f>"1994-03-21"</f>
        <v>1994-03-21</v>
      </c>
      <c r="F1914" s="6"/>
    </row>
    <row r="1915" spans="1:6" ht="30" customHeight="1">
      <c r="A1915" s="6">
        <v>1913</v>
      </c>
      <c r="B1915" s="6" t="str">
        <f>"2728202011221242511074"</f>
        <v>2728202011221242511074</v>
      </c>
      <c r="C1915" s="6" t="s">
        <v>9</v>
      </c>
      <c r="D1915" s="6" t="str">
        <f>"莫乡能"</f>
        <v>莫乡能</v>
      </c>
      <c r="E1915" s="6" t="str">
        <f>"1994-08-31"</f>
        <v>1994-08-31</v>
      </c>
      <c r="F1915" s="6"/>
    </row>
    <row r="1916" spans="1:6" ht="30" customHeight="1">
      <c r="A1916" s="6">
        <v>1914</v>
      </c>
      <c r="B1916" s="6" t="str">
        <f>"2728202011221307481085"</f>
        <v>2728202011221307481085</v>
      </c>
      <c r="C1916" s="6" t="s">
        <v>9</v>
      </c>
      <c r="D1916" s="6" t="str">
        <f>"符大愉"</f>
        <v>符大愉</v>
      </c>
      <c r="E1916" s="6" t="str">
        <f>"1993-12-06"</f>
        <v>1993-12-06</v>
      </c>
      <c r="F1916" s="6"/>
    </row>
    <row r="1917" spans="1:6" ht="30" customHeight="1">
      <c r="A1917" s="6">
        <v>1915</v>
      </c>
      <c r="B1917" s="6" t="str">
        <f>"2728202011221322211091"</f>
        <v>2728202011221322211091</v>
      </c>
      <c r="C1917" s="6" t="s">
        <v>9</v>
      </c>
      <c r="D1917" s="6" t="str">
        <f>"陈丽"</f>
        <v>陈丽</v>
      </c>
      <c r="E1917" s="6" t="str">
        <f>"1994-01-12"</f>
        <v>1994-01-12</v>
      </c>
      <c r="F1917" s="6"/>
    </row>
    <row r="1918" spans="1:6" ht="30" customHeight="1">
      <c r="A1918" s="6">
        <v>1916</v>
      </c>
      <c r="B1918" s="6" t="str">
        <f>"2728202011221459421110"</f>
        <v>2728202011221459421110</v>
      </c>
      <c r="C1918" s="6" t="s">
        <v>9</v>
      </c>
      <c r="D1918" s="6" t="str">
        <f>"袁学海"</f>
        <v>袁学海</v>
      </c>
      <c r="E1918" s="6" t="str">
        <f>"1995-05-02"</f>
        <v>1995-05-02</v>
      </c>
      <c r="F1918" s="6"/>
    </row>
    <row r="1919" spans="1:6" ht="30" customHeight="1">
      <c r="A1919" s="6">
        <v>1917</v>
      </c>
      <c r="B1919" s="6" t="str">
        <f>"2728202011221554381125"</f>
        <v>2728202011221554381125</v>
      </c>
      <c r="C1919" s="6" t="s">
        <v>9</v>
      </c>
      <c r="D1919" s="6" t="str">
        <f>"覃娟"</f>
        <v>覃娟</v>
      </c>
      <c r="E1919" s="6" t="str">
        <f>"1994-10-02"</f>
        <v>1994-10-02</v>
      </c>
      <c r="F1919" s="6"/>
    </row>
    <row r="1920" spans="1:6" ht="30" customHeight="1">
      <c r="A1920" s="6">
        <v>1918</v>
      </c>
      <c r="B1920" s="6" t="str">
        <f>"2728202011221617351132"</f>
        <v>2728202011221617351132</v>
      </c>
      <c r="C1920" s="6" t="s">
        <v>9</v>
      </c>
      <c r="D1920" s="6" t="str">
        <f>"邓玉金"</f>
        <v>邓玉金</v>
      </c>
      <c r="E1920" s="6" t="str">
        <f>"1998-08"</f>
        <v>1998-08</v>
      </c>
      <c r="F1920" s="6"/>
    </row>
    <row r="1921" spans="1:6" ht="30" customHeight="1">
      <c r="A1921" s="6">
        <v>1919</v>
      </c>
      <c r="B1921" s="6" t="str">
        <f>"2728202011221705321136"</f>
        <v>2728202011221705321136</v>
      </c>
      <c r="C1921" s="6" t="s">
        <v>9</v>
      </c>
      <c r="D1921" s="6" t="str">
        <f>"陈泰蕾"</f>
        <v>陈泰蕾</v>
      </c>
      <c r="E1921" s="6" t="str">
        <f>"1996-12-16"</f>
        <v>1996-12-16</v>
      </c>
      <c r="F1921" s="6"/>
    </row>
    <row r="1922" spans="1:6" ht="30" customHeight="1">
      <c r="A1922" s="6">
        <v>1920</v>
      </c>
      <c r="B1922" s="6" t="str">
        <f>"2728202011221820591158"</f>
        <v>2728202011221820591158</v>
      </c>
      <c r="C1922" s="6" t="s">
        <v>9</v>
      </c>
      <c r="D1922" s="6" t="str">
        <f>"苏欢"</f>
        <v>苏欢</v>
      </c>
      <c r="E1922" s="6" t="str">
        <f>"1996-03-02"</f>
        <v>1996-03-02</v>
      </c>
      <c r="F1922" s="6"/>
    </row>
    <row r="1923" spans="1:6" ht="30" customHeight="1">
      <c r="A1923" s="6">
        <v>1921</v>
      </c>
      <c r="B1923" s="6" t="str">
        <f>"2728202011221826131160"</f>
        <v>2728202011221826131160</v>
      </c>
      <c r="C1923" s="6" t="s">
        <v>9</v>
      </c>
      <c r="D1923" s="6" t="str">
        <f>"关晓璐"</f>
        <v>关晓璐</v>
      </c>
      <c r="E1923" s="6" t="str">
        <f>"1999-07-12"</f>
        <v>1999-07-12</v>
      </c>
      <c r="F1923" s="6"/>
    </row>
    <row r="1924" spans="1:6" ht="30" customHeight="1">
      <c r="A1924" s="6">
        <v>1922</v>
      </c>
      <c r="B1924" s="6" t="str">
        <f>"2728202011221834331166"</f>
        <v>2728202011221834331166</v>
      </c>
      <c r="C1924" s="6" t="s">
        <v>9</v>
      </c>
      <c r="D1924" s="6" t="str">
        <f>"胡月"</f>
        <v>胡月</v>
      </c>
      <c r="E1924" s="6" t="str">
        <f>"1996-09-27"</f>
        <v>1996-09-27</v>
      </c>
      <c r="F1924" s="6"/>
    </row>
    <row r="1925" spans="1:6" ht="30" customHeight="1">
      <c r="A1925" s="6">
        <v>1923</v>
      </c>
      <c r="B1925" s="6" t="str">
        <f>"2728202011221838381167"</f>
        <v>2728202011221838381167</v>
      </c>
      <c r="C1925" s="6" t="s">
        <v>9</v>
      </c>
      <c r="D1925" s="6" t="str">
        <f>"莫海容"</f>
        <v>莫海容</v>
      </c>
      <c r="E1925" s="6" t="str">
        <f>"1995-12-24"</f>
        <v>1995-12-24</v>
      </c>
      <c r="F1925" s="6"/>
    </row>
    <row r="1926" spans="1:6" ht="30" customHeight="1">
      <c r="A1926" s="6">
        <v>1924</v>
      </c>
      <c r="B1926" s="6" t="str">
        <f>"2728202011221855571172"</f>
        <v>2728202011221855571172</v>
      </c>
      <c r="C1926" s="6" t="s">
        <v>9</v>
      </c>
      <c r="D1926" s="6" t="str">
        <f>"吴昊"</f>
        <v>吴昊</v>
      </c>
      <c r="E1926" s="6" t="str">
        <f>"1994-02-19"</f>
        <v>1994-02-19</v>
      </c>
      <c r="F1926" s="6"/>
    </row>
    <row r="1927" spans="1:6" ht="30" customHeight="1">
      <c r="A1927" s="6">
        <v>1925</v>
      </c>
      <c r="B1927" s="6" t="str">
        <f>"2728202011221901081176"</f>
        <v>2728202011221901081176</v>
      </c>
      <c r="C1927" s="6" t="s">
        <v>9</v>
      </c>
      <c r="D1927" s="6" t="str">
        <f>"何秋淳"</f>
        <v>何秋淳</v>
      </c>
      <c r="E1927" s="6" t="str">
        <f>"1997-12"</f>
        <v>1997-12</v>
      </c>
      <c r="F1927" s="6"/>
    </row>
    <row r="1928" spans="1:6" ht="30" customHeight="1">
      <c r="A1928" s="6">
        <v>1926</v>
      </c>
      <c r="B1928" s="6" t="str">
        <f>"2728202011221922121186"</f>
        <v>2728202011221922121186</v>
      </c>
      <c r="C1928" s="6" t="s">
        <v>9</v>
      </c>
      <c r="D1928" s="6" t="str">
        <f>"陈娅"</f>
        <v>陈娅</v>
      </c>
      <c r="E1928" s="6" t="str">
        <f>"1996-05-21"</f>
        <v>1996-05-21</v>
      </c>
      <c r="F1928" s="6"/>
    </row>
    <row r="1929" spans="1:6" ht="30" customHeight="1">
      <c r="A1929" s="6">
        <v>1927</v>
      </c>
      <c r="B1929" s="6" t="str">
        <f>"2728202011222015041207"</f>
        <v>2728202011222015041207</v>
      </c>
      <c r="C1929" s="6" t="s">
        <v>9</v>
      </c>
      <c r="D1929" s="6" t="str">
        <f>"张祯烽"</f>
        <v>张祯烽</v>
      </c>
      <c r="E1929" s="6" t="str">
        <f>"1992-01-15"</f>
        <v>1992-01-15</v>
      </c>
      <c r="F1929" s="6"/>
    </row>
    <row r="1930" spans="1:6" ht="30" customHeight="1">
      <c r="A1930" s="6">
        <v>1928</v>
      </c>
      <c r="B1930" s="6" t="str">
        <f>"2728202011222130001236"</f>
        <v>2728202011222130001236</v>
      </c>
      <c r="C1930" s="6" t="s">
        <v>9</v>
      </c>
      <c r="D1930" s="6" t="str">
        <f>"陈进才"</f>
        <v>陈进才</v>
      </c>
      <c r="E1930" s="6" t="str">
        <f>"1992-10-12"</f>
        <v>1992-10-12</v>
      </c>
      <c r="F1930" s="6"/>
    </row>
    <row r="1931" spans="1:6" ht="30" customHeight="1">
      <c r="A1931" s="6">
        <v>1929</v>
      </c>
      <c r="B1931" s="6" t="str">
        <f>"2728202011222141461240"</f>
        <v>2728202011222141461240</v>
      </c>
      <c r="C1931" s="6" t="s">
        <v>9</v>
      </c>
      <c r="D1931" s="6" t="str">
        <f>"黎书科"</f>
        <v>黎书科</v>
      </c>
      <c r="E1931" s="6" t="str">
        <f>"1998-02-11"</f>
        <v>1998-02-11</v>
      </c>
      <c r="F1931" s="6"/>
    </row>
    <row r="1932" spans="1:6" ht="30" customHeight="1">
      <c r="A1932" s="6">
        <v>1930</v>
      </c>
      <c r="B1932" s="6" t="str">
        <f>"2728202011222146131242"</f>
        <v>2728202011222146131242</v>
      </c>
      <c r="C1932" s="6" t="s">
        <v>9</v>
      </c>
      <c r="D1932" s="6" t="str">
        <f>"陈坤秀"</f>
        <v>陈坤秀</v>
      </c>
      <c r="E1932" s="6" t="str">
        <f>"1997-12-27"</f>
        <v>1997-12-27</v>
      </c>
      <c r="F1932" s="6"/>
    </row>
    <row r="1933" spans="1:6" ht="30" customHeight="1">
      <c r="A1933" s="6">
        <v>1931</v>
      </c>
      <c r="B1933" s="6" t="str">
        <f>"2728202011222151291244"</f>
        <v>2728202011222151291244</v>
      </c>
      <c r="C1933" s="6" t="s">
        <v>9</v>
      </c>
      <c r="D1933" s="6" t="str">
        <f>"张天雁"</f>
        <v>张天雁</v>
      </c>
      <c r="E1933" s="6" t="str">
        <f>"1991-10-14"</f>
        <v>1991-10-14</v>
      </c>
      <c r="F1933" s="6"/>
    </row>
    <row r="1934" spans="1:6" ht="30" customHeight="1">
      <c r="A1934" s="6">
        <v>1932</v>
      </c>
      <c r="B1934" s="6" t="str">
        <f>"2728202011222220591256"</f>
        <v>2728202011222220591256</v>
      </c>
      <c r="C1934" s="6" t="s">
        <v>9</v>
      </c>
      <c r="D1934" s="6" t="str">
        <f>"陈积鹏"</f>
        <v>陈积鹏</v>
      </c>
      <c r="E1934" s="6" t="str">
        <f>"1996-07-18"</f>
        <v>1996-07-18</v>
      </c>
      <c r="F1934" s="6"/>
    </row>
    <row r="1935" spans="1:6" ht="30" customHeight="1">
      <c r="A1935" s="6">
        <v>1933</v>
      </c>
      <c r="B1935" s="6" t="str">
        <f>"2728202011222223171258"</f>
        <v>2728202011222223171258</v>
      </c>
      <c r="C1935" s="6" t="s">
        <v>9</v>
      </c>
      <c r="D1935" s="6" t="str">
        <f>"卢钟柳"</f>
        <v>卢钟柳</v>
      </c>
      <c r="E1935" s="6" t="str">
        <f>"1990-05-22"</f>
        <v>1990-05-22</v>
      </c>
      <c r="F1935" s="6"/>
    </row>
    <row r="1936" spans="1:6" ht="30" customHeight="1">
      <c r="A1936" s="6">
        <v>1934</v>
      </c>
      <c r="B1936" s="6" t="str">
        <f>"2728202011222228311262"</f>
        <v>2728202011222228311262</v>
      </c>
      <c r="C1936" s="6" t="s">
        <v>9</v>
      </c>
      <c r="D1936" s="6" t="str">
        <f>"麦冬华"</f>
        <v>麦冬华</v>
      </c>
      <c r="E1936" s="6" t="str">
        <f>"1994-12-04"</f>
        <v>1994-12-04</v>
      </c>
      <c r="F1936" s="6"/>
    </row>
    <row r="1937" spans="1:6" ht="30" customHeight="1">
      <c r="A1937" s="6">
        <v>1935</v>
      </c>
      <c r="B1937" s="6" t="str">
        <f>"2728202011222234511266"</f>
        <v>2728202011222234511266</v>
      </c>
      <c r="C1937" s="6" t="s">
        <v>9</v>
      </c>
      <c r="D1937" s="6" t="str">
        <f>"符月梅"</f>
        <v>符月梅</v>
      </c>
      <c r="E1937" s="6" t="str">
        <f>"1996-05-12"</f>
        <v>1996-05-12</v>
      </c>
      <c r="F1937" s="6"/>
    </row>
    <row r="1938" spans="1:6" ht="30" customHeight="1">
      <c r="A1938" s="6">
        <v>1936</v>
      </c>
      <c r="B1938" s="6" t="str">
        <f>"2728202011222305021278"</f>
        <v>2728202011222305021278</v>
      </c>
      <c r="C1938" s="6" t="s">
        <v>9</v>
      </c>
      <c r="D1938" s="6" t="str">
        <f>"黄品"</f>
        <v>黄品</v>
      </c>
      <c r="E1938" s="6" t="str">
        <f>"1999-12-26"</f>
        <v>1999-12-26</v>
      </c>
      <c r="F1938" s="6"/>
    </row>
    <row r="1939" spans="1:6" ht="30" customHeight="1">
      <c r="A1939" s="6">
        <v>1937</v>
      </c>
      <c r="B1939" s="6" t="str">
        <f>"2728202011222311201279"</f>
        <v>2728202011222311201279</v>
      </c>
      <c r="C1939" s="6" t="s">
        <v>9</v>
      </c>
      <c r="D1939" s="6" t="str">
        <f>"王晶莹"</f>
        <v>王晶莹</v>
      </c>
      <c r="E1939" s="6" t="str">
        <f>"1994-10-05"</f>
        <v>1994-10-05</v>
      </c>
      <c r="F1939" s="6"/>
    </row>
    <row r="1940" spans="1:6" ht="30" customHeight="1">
      <c r="A1940" s="6">
        <v>1938</v>
      </c>
      <c r="B1940" s="6" t="str">
        <f>"2728202011230811091317"</f>
        <v>2728202011230811091317</v>
      </c>
      <c r="C1940" s="6" t="s">
        <v>9</v>
      </c>
      <c r="D1940" s="6" t="str">
        <f>"董克晓"</f>
        <v>董克晓</v>
      </c>
      <c r="E1940" s="6" t="str">
        <f>"1998-11-10"</f>
        <v>1998-11-10</v>
      </c>
      <c r="F1940" s="6"/>
    </row>
    <row r="1941" spans="1:6" ht="30" customHeight="1">
      <c r="A1941" s="6">
        <v>1939</v>
      </c>
      <c r="B1941" s="6" t="str">
        <f>"2728202011230846091324"</f>
        <v>2728202011230846091324</v>
      </c>
      <c r="C1941" s="6" t="s">
        <v>9</v>
      </c>
      <c r="D1941" s="6" t="str">
        <f>"李道科"</f>
        <v>李道科</v>
      </c>
      <c r="E1941" s="6" t="str">
        <f>"1998-09-24"</f>
        <v>1998-09-24</v>
      </c>
      <c r="F1941" s="6"/>
    </row>
    <row r="1942" spans="1:6" ht="30" customHeight="1">
      <c r="A1942" s="6">
        <v>1940</v>
      </c>
      <c r="B1942" s="6" t="str">
        <f>"2728202011230848521325"</f>
        <v>2728202011230848521325</v>
      </c>
      <c r="C1942" s="6" t="s">
        <v>9</v>
      </c>
      <c r="D1942" s="6" t="str">
        <f>"蔡丰婷"</f>
        <v>蔡丰婷</v>
      </c>
      <c r="E1942" s="6" t="str">
        <f>"1993-10-05"</f>
        <v>1993-10-05</v>
      </c>
      <c r="F1942" s="6"/>
    </row>
    <row r="1943" spans="1:6" ht="30" customHeight="1">
      <c r="A1943" s="6">
        <v>1941</v>
      </c>
      <c r="B1943" s="6" t="str">
        <f>"2728202011230857411331"</f>
        <v>2728202011230857411331</v>
      </c>
      <c r="C1943" s="6" t="s">
        <v>9</v>
      </c>
      <c r="D1943" s="6" t="str">
        <f>"胡家露"</f>
        <v>胡家露</v>
      </c>
      <c r="E1943" s="6" t="str">
        <f>"1997-10-02"</f>
        <v>1997-10-02</v>
      </c>
      <c r="F1943" s="6"/>
    </row>
    <row r="1944" spans="1:6" ht="30" customHeight="1">
      <c r="A1944" s="6">
        <v>1942</v>
      </c>
      <c r="B1944" s="6" t="str">
        <f>"2728202011230910351343"</f>
        <v>2728202011230910351343</v>
      </c>
      <c r="C1944" s="6" t="s">
        <v>9</v>
      </c>
      <c r="D1944" s="6" t="str">
        <f>"陈慧宇"</f>
        <v>陈慧宇</v>
      </c>
      <c r="E1944" s="6" t="str">
        <f>"1997-10-20"</f>
        <v>1997-10-20</v>
      </c>
      <c r="F1944" s="6"/>
    </row>
    <row r="1945" spans="1:6" ht="30" customHeight="1">
      <c r="A1945" s="6">
        <v>1943</v>
      </c>
      <c r="B1945" s="6" t="str">
        <f>"2728202011230919591346"</f>
        <v>2728202011230919591346</v>
      </c>
      <c r="C1945" s="6" t="s">
        <v>9</v>
      </c>
      <c r="D1945" s="6" t="str">
        <f>"符够珍"</f>
        <v>符够珍</v>
      </c>
      <c r="E1945" s="6" t="str">
        <f>"1993-12-11"</f>
        <v>1993-12-11</v>
      </c>
      <c r="F1945" s="6"/>
    </row>
    <row r="1946" spans="1:6" ht="30" customHeight="1">
      <c r="A1946" s="6">
        <v>1944</v>
      </c>
      <c r="B1946" s="6" t="str">
        <f>"2728202011230938221354"</f>
        <v>2728202011230938221354</v>
      </c>
      <c r="C1946" s="6" t="s">
        <v>9</v>
      </c>
      <c r="D1946" s="6" t="str">
        <f>"黄丹妮"</f>
        <v>黄丹妮</v>
      </c>
      <c r="E1946" s="6" t="str">
        <f>"1994-09-18"</f>
        <v>1994-09-18</v>
      </c>
      <c r="F1946" s="6"/>
    </row>
    <row r="1947" spans="1:6" ht="30" customHeight="1">
      <c r="A1947" s="6">
        <v>1945</v>
      </c>
      <c r="B1947" s="6" t="str">
        <f>"2728202011230941381356"</f>
        <v>2728202011230941381356</v>
      </c>
      <c r="C1947" s="6" t="s">
        <v>9</v>
      </c>
      <c r="D1947" s="6" t="str">
        <f>"周女"</f>
        <v>周女</v>
      </c>
      <c r="E1947" s="6" t="str">
        <f>"1997-05-12"</f>
        <v>1997-05-12</v>
      </c>
      <c r="F1947" s="6"/>
    </row>
    <row r="1948" spans="1:6" ht="30" customHeight="1">
      <c r="A1948" s="6">
        <v>1946</v>
      </c>
      <c r="B1948" s="6" t="str">
        <f>"2728202011231011111369"</f>
        <v>2728202011231011111369</v>
      </c>
      <c r="C1948" s="6" t="s">
        <v>9</v>
      </c>
      <c r="D1948" s="6" t="str">
        <f>"陈光娇"</f>
        <v>陈光娇</v>
      </c>
      <c r="E1948" s="6" t="str">
        <f>"1995-05-26"</f>
        <v>1995-05-26</v>
      </c>
      <c r="F1948" s="6"/>
    </row>
    <row r="1949" spans="1:6" ht="30" customHeight="1">
      <c r="A1949" s="6">
        <v>1947</v>
      </c>
      <c r="B1949" s="6" t="str">
        <f>"2728202011231014311371"</f>
        <v>2728202011231014311371</v>
      </c>
      <c r="C1949" s="6" t="s">
        <v>9</v>
      </c>
      <c r="D1949" s="6" t="str">
        <f>"李位威"</f>
        <v>李位威</v>
      </c>
      <c r="E1949" s="6" t="str">
        <f>"1994-11-28"</f>
        <v>1994-11-28</v>
      </c>
      <c r="F1949" s="6"/>
    </row>
    <row r="1950" spans="1:6" ht="30" customHeight="1">
      <c r="A1950" s="6">
        <v>1948</v>
      </c>
      <c r="B1950" s="6" t="str">
        <f>"2728202011231017101375"</f>
        <v>2728202011231017101375</v>
      </c>
      <c r="C1950" s="6" t="s">
        <v>9</v>
      </c>
      <c r="D1950" s="6" t="str">
        <f>"李美健"</f>
        <v>李美健</v>
      </c>
      <c r="E1950" s="6" t="str">
        <f>"1994-06-12"</f>
        <v>1994-06-12</v>
      </c>
      <c r="F1950" s="6"/>
    </row>
    <row r="1951" spans="1:6" ht="30" customHeight="1">
      <c r="A1951" s="6">
        <v>1949</v>
      </c>
      <c r="B1951" s="6" t="str">
        <f>"2728202011231143301428"</f>
        <v>2728202011231143301428</v>
      </c>
      <c r="C1951" s="6" t="s">
        <v>9</v>
      </c>
      <c r="D1951" s="6" t="str">
        <f>"王文"</f>
        <v>王文</v>
      </c>
      <c r="E1951" s="6" t="str">
        <f>"1998-05-16"</f>
        <v>1998-05-16</v>
      </c>
      <c r="F1951" s="6"/>
    </row>
    <row r="1952" spans="1:6" ht="30" customHeight="1">
      <c r="A1952" s="6">
        <v>1950</v>
      </c>
      <c r="B1952" s="6" t="str">
        <f>"2728202011231219141440"</f>
        <v>2728202011231219141440</v>
      </c>
      <c r="C1952" s="6" t="s">
        <v>9</v>
      </c>
      <c r="D1952" s="6" t="str">
        <f>"林彩玉"</f>
        <v>林彩玉</v>
      </c>
      <c r="E1952" s="6" t="str">
        <f>"1997-09-03"</f>
        <v>1997-09-03</v>
      </c>
      <c r="F1952" s="6"/>
    </row>
    <row r="1953" spans="1:6" ht="30" customHeight="1">
      <c r="A1953" s="6">
        <v>1951</v>
      </c>
      <c r="B1953" s="6" t="str">
        <f>"2728202011231258011456"</f>
        <v>2728202011231258011456</v>
      </c>
      <c r="C1953" s="6" t="s">
        <v>9</v>
      </c>
      <c r="D1953" s="6" t="str">
        <f>"杨如月"</f>
        <v>杨如月</v>
      </c>
      <c r="E1953" s="6" t="str">
        <f>"1995-11-23"</f>
        <v>1995-11-23</v>
      </c>
      <c r="F1953" s="6"/>
    </row>
    <row r="1954" spans="1:6" ht="30" customHeight="1">
      <c r="A1954" s="6">
        <v>1952</v>
      </c>
      <c r="B1954" s="6" t="str">
        <f>"2728202011231319581461"</f>
        <v>2728202011231319581461</v>
      </c>
      <c r="C1954" s="6" t="s">
        <v>9</v>
      </c>
      <c r="D1954" s="6" t="str">
        <f>"陈毓情"</f>
        <v>陈毓情</v>
      </c>
      <c r="E1954" s="6" t="str">
        <f>"1995-07-15"</f>
        <v>1995-07-15</v>
      </c>
      <c r="F1954" s="6"/>
    </row>
    <row r="1955" spans="1:6" ht="30" customHeight="1">
      <c r="A1955" s="6">
        <v>1953</v>
      </c>
      <c r="B1955" s="6" t="str">
        <f>"2728202011231357131470"</f>
        <v>2728202011231357131470</v>
      </c>
      <c r="C1955" s="6" t="s">
        <v>9</v>
      </c>
      <c r="D1955" s="6" t="str">
        <f>"秦钟真"</f>
        <v>秦钟真</v>
      </c>
      <c r="E1955" s="6" t="str">
        <f>"1996-08-01"</f>
        <v>1996-08-01</v>
      </c>
      <c r="F1955" s="6"/>
    </row>
    <row r="1956" spans="1:6" ht="30" customHeight="1">
      <c r="A1956" s="6">
        <v>1954</v>
      </c>
      <c r="B1956" s="6" t="str">
        <f>"2728202011231426001477"</f>
        <v>2728202011231426001477</v>
      </c>
      <c r="C1956" s="6" t="s">
        <v>9</v>
      </c>
      <c r="D1956" s="6" t="str">
        <f>"陈小梦"</f>
        <v>陈小梦</v>
      </c>
      <c r="E1956" s="6" t="str">
        <f>"1995-07-29"</f>
        <v>1995-07-29</v>
      </c>
      <c r="F1956" s="6"/>
    </row>
    <row r="1957" spans="1:6" ht="30" customHeight="1">
      <c r="A1957" s="6">
        <v>1955</v>
      </c>
      <c r="B1957" s="6" t="str">
        <f>"2728202011231448521480"</f>
        <v>2728202011231448521480</v>
      </c>
      <c r="C1957" s="6" t="s">
        <v>9</v>
      </c>
      <c r="D1957" s="6" t="str">
        <f>"陈国问"</f>
        <v>陈国问</v>
      </c>
      <c r="E1957" s="6" t="str">
        <f>"1996-04-28"</f>
        <v>1996-04-28</v>
      </c>
      <c r="F1957" s="6"/>
    </row>
    <row r="1958" spans="1:6" ht="30" customHeight="1">
      <c r="A1958" s="6">
        <v>1956</v>
      </c>
      <c r="B1958" s="6" t="str">
        <f>"2728202011231500291485"</f>
        <v>2728202011231500291485</v>
      </c>
      <c r="C1958" s="6" t="s">
        <v>9</v>
      </c>
      <c r="D1958" s="6" t="str">
        <f>"陈慧珍"</f>
        <v>陈慧珍</v>
      </c>
      <c r="E1958" s="6" t="str">
        <f>"1996-05-11"</f>
        <v>1996-05-11</v>
      </c>
      <c r="F1958" s="6"/>
    </row>
    <row r="1959" spans="1:6" ht="30" customHeight="1">
      <c r="A1959" s="6">
        <v>1957</v>
      </c>
      <c r="B1959" s="6" t="str">
        <f>"2728202011231512531495"</f>
        <v>2728202011231512531495</v>
      </c>
      <c r="C1959" s="6" t="s">
        <v>9</v>
      </c>
      <c r="D1959" s="6" t="str">
        <f>"罗泽献"</f>
        <v>罗泽献</v>
      </c>
      <c r="E1959" s="6" t="str">
        <f>"1994-08-08"</f>
        <v>1994-08-08</v>
      </c>
      <c r="F1959" s="6"/>
    </row>
    <row r="1960" spans="1:6" ht="30" customHeight="1">
      <c r="A1960" s="6">
        <v>1958</v>
      </c>
      <c r="B1960" s="6" t="str">
        <f>"2728202011231529101502"</f>
        <v>2728202011231529101502</v>
      </c>
      <c r="C1960" s="6" t="s">
        <v>9</v>
      </c>
      <c r="D1960" s="6" t="str">
        <f>"许小女"</f>
        <v>许小女</v>
      </c>
      <c r="E1960" s="6" t="str">
        <f>"1994-02-05"</f>
        <v>1994-02-05</v>
      </c>
      <c r="F1960" s="6"/>
    </row>
    <row r="1961" spans="1:6" ht="30" customHeight="1">
      <c r="A1961" s="6">
        <v>1959</v>
      </c>
      <c r="B1961" s="6" t="str">
        <f>"2728202011231529271503"</f>
        <v>2728202011231529271503</v>
      </c>
      <c r="C1961" s="6" t="s">
        <v>9</v>
      </c>
      <c r="D1961" s="6" t="str">
        <f>"王珺霆"</f>
        <v>王珺霆</v>
      </c>
      <c r="E1961" s="6" t="str">
        <f>"1999-05-20"</f>
        <v>1999-05-20</v>
      </c>
      <c r="F1961" s="6"/>
    </row>
    <row r="1962" spans="1:6" ht="30" customHeight="1">
      <c r="A1962" s="6">
        <v>1960</v>
      </c>
      <c r="B1962" s="6" t="str">
        <f>"2728202011231604481518"</f>
        <v>2728202011231604481518</v>
      </c>
      <c r="C1962" s="6" t="s">
        <v>9</v>
      </c>
      <c r="D1962" s="6" t="str">
        <f>"林昌旭"</f>
        <v>林昌旭</v>
      </c>
      <c r="E1962" s="6" t="str">
        <f>"1985-06-12"</f>
        <v>1985-06-12</v>
      </c>
      <c r="F1962" s="6"/>
    </row>
    <row r="1963" spans="1:6" ht="30" customHeight="1">
      <c r="A1963" s="6">
        <v>1961</v>
      </c>
      <c r="B1963" s="6" t="str">
        <f>"2728202011231645171536"</f>
        <v>2728202011231645171536</v>
      </c>
      <c r="C1963" s="6" t="s">
        <v>9</v>
      </c>
      <c r="D1963" s="6" t="str">
        <f>"庞曼舒"</f>
        <v>庞曼舒</v>
      </c>
      <c r="E1963" s="6" t="str">
        <f>"1996-09-02"</f>
        <v>1996-09-02</v>
      </c>
      <c r="F1963" s="6"/>
    </row>
    <row r="1964" spans="1:6" ht="30" customHeight="1">
      <c r="A1964" s="6">
        <v>1962</v>
      </c>
      <c r="B1964" s="6" t="str">
        <f>"2728202011231649251538"</f>
        <v>2728202011231649251538</v>
      </c>
      <c r="C1964" s="6" t="s">
        <v>9</v>
      </c>
      <c r="D1964" s="6" t="str">
        <f>"陈国棉"</f>
        <v>陈国棉</v>
      </c>
      <c r="E1964" s="6" t="str">
        <f>"1995-01-29"</f>
        <v>1995-01-29</v>
      </c>
      <c r="F1964" s="6"/>
    </row>
    <row r="1965" spans="1:6" ht="30" customHeight="1">
      <c r="A1965" s="6">
        <v>1963</v>
      </c>
      <c r="B1965" s="6" t="str">
        <f>"2728202011231735521571"</f>
        <v>2728202011231735521571</v>
      </c>
      <c r="C1965" s="6" t="s">
        <v>9</v>
      </c>
      <c r="D1965" s="6" t="str">
        <f>"卢拢梅"</f>
        <v>卢拢梅</v>
      </c>
      <c r="E1965" s="6" t="str">
        <f>"1987-08-15"</f>
        <v>1987-08-15</v>
      </c>
      <c r="F1965" s="6"/>
    </row>
    <row r="1966" spans="1:6" ht="30" customHeight="1">
      <c r="A1966" s="6">
        <v>1964</v>
      </c>
      <c r="B1966" s="6" t="str">
        <f>"2728202011231749461575"</f>
        <v>2728202011231749461575</v>
      </c>
      <c r="C1966" s="6" t="s">
        <v>9</v>
      </c>
      <c r="D1966" s="6" t="str">
        <f>"符子"</f>
        <v>符子</v>
      </c>
      <c r="E1966" s="6" t="str">
        <f>"1996-11-15"</f>
        <v>1996-11-15</v>
      </c>
      <c r="F1966" s="6"/>
    </row>
    <row r="1967" spans="1:6" ht="30" customHeight="1">
      <c r="A1967" s="6">
        <v>1965</v>
      </c>
      <c r="B1967" s="6" t="str">
        <f>"2728202011231818221582"</f>
        <v>2728202011231818221582</v>
      </c>
      <c r="C1967" s="6" t="s">
        <v>9</v>
      </c>
      <c r="D1967" s="6" t="str">
        <f>"曾安琪"</f>
        <v>曾安琪</v>
      </c>
      <c r="E1967" s="6" t="str">
        <f>"1990-10-05"</f>
        <v>1990-10-05</v>
      </c>
      <c r="F1967" s="6"/>
    </row>
    <row r="1968" spans="1:6" ht="30" customHeight="1">
      <c r="A1968" s="6">
        <v>1966</v>
      </c>
      <c r="B1968" s="6" t="str">
        <f>"2728202011232007121615"</f>
        <v>2728202011232007121615</v>
      </c>
      <c r="C1968" s="6" t="s">
        <v>9</v>
      </c>
      <c r="D1968" s="6" t="str">
        <f>"王晓岚"</f>
        <v>王晓岚</v>
      </c>
      <c r="E1968" s="6" t="str">
        <f>"1999-07-07"</f>
        <v>1999-07-07</v>
      </c>
      <c r="F1968" s="6"/>
    </row>
    <row r="1969" spans="1:6" ht="30" customHeight="1">
      <c r="A1969" s="6">
        <v>1967</v>
      </c>
      <c r="B1969" s="6" t="str">
        <f>"2728202011232036181621"</f>
        <v>2728202011232036181621</v>
      </c>
      <c r="C1969" s="6" t="s">
        <v>9</v>
      </c>
      <c r="D1969" s="6" t="str">
        <f>"李娜"</f>
        <v>李娜</v>
      </c>
      <c r="E1969" s="6" t="str">
        <f>"1996-04-07"</f>
        <v>1996-04-07</v>
      </c>
      <c r="F1969" s="6"/>
    </row>
    <row r="1970" spans="1:6" ht="30" customHeight="1">
      <c r="A1970" s="6">
        <v>1968</v>
      </c>
      <c r="B1970" s="6" t="str">
        <f>"2728202011232139011641"</f>
        <v>2728202011232139011641</v>
      </c>
      <c r="C1970" s="6" t="s">
        <v>9</v>
      </c>
      <c r="D1970" s="6" t="str">
        <f>"黄雅莹"</f>
        <v>黄雅莹</v>
      </c>
      <c r="E1970" s="6" t="str">
        <f>"1994-08-18"</f>
        <v>1994-08-18</v>
      </c>
      <c r="F1970" s="6"/>
    </row>
    <row r="1971" spans="1:6" ht="30" customHeight="1">
      <c r="A1971" s="6">
        <v>1969</v>
      </c>
      <c r="B1971" s="6" t="str">
        <f>"2728202011232152301650"</f>
        <v>2728202011232152301650</v>
      </c>
      <c r="C1971" s="6" t="s">
        <v>9</v>
      </c>
      <c r="D1971" s="6" t="str">
        <f>"黄美多"</f>
        <v>黄美多</v>
      </c>
      <c r="E1971" s="6" t="str">
        <f>"1995-12-30"</f>
        <v>1995-12-30</v>
      </c>
      <c r="F1971" s="6"/>
    </row>
    <row r="1972" spans="1:6" ht="30" customHeight="1">
      <c r="A1972" s="6">
        <v>1970</v>
      </c>
      <c r="B1972" s="6" t="str">
        <f>"2728202011232212341655"</f>
        <v>2728202011232212341655</v>
      </c>
      <c r="C1972" s="6" t="s">
        <v>9</v>
      </c>
      <c r="D1972" s="6" t="str">
        <f>"黎秀娥"</f>
        <v>黎秀娥</v>
      </c>
      <c r="E1972" s="6" t="str">
        <f>"1997-11-05"</f>
        <v>1997-11-05</v>
      </c>
      <c r="F1972" s="6"/>
    </row>
    <row r="1973" spans="1:6" ht="30" customHeight="1">
      <c r="A1973" s="6">
        <v>1971</v>
      </c>
      <c r="B1973" s="6" t="str">
        <f>"2728202011232313401670"</f>
        <v>2728202011232313401670</v>
      </c>
      <c r="C1973" s="6" t="s">
        <v>9</v>
      </c>
      <c r="D1973" s="6" t="str">
        <f>"邢丽华"</f>
        <v>邢丽华</v>
      </c>
      <c r="E1973" s="6" t="str">
        <f>"1987-12-01"</f>
        <v>1987-12-01</v>
      </c>
      <c r="F1973" s="6"/>
    </row>
    <row r="1974" spans="1:6" ht="30" customHeight="1">
      <c r="A1974" s="6">
        <v>1972</v>
      </c>
      <c r="B1974" s="6" t="str">
        <f>"2728202011240029281679"</f>
        <v>2728202011240029281679</v>
      </c>
      <c r="C1974" s="6" t="s">
        <v>9</v>
      </c>
      <c r="D1974" s="6" t="str">
        <f>"符典帝"</f>
        <v>符典帝</v>
      </c>
      <c r="E1974" s="6" t="str">
        <f>"1996-12-28"</f>
        <v>1996-12-28</v>
      </c>
      <c r="F1974" s="6"/>
    </row>
    <row r="1975" spans="1:6" ht="30" customHeight="1">
      <c r="A1975" s="6">
        <v>1973</v>
      </c>
      <c r="B1975" s="6" t="str">
        <f>"2728202011240823231687"</f>
        <v>2728202011240823231687</v>
      </c>
      <c r="C1975" s="6" t="s">
        <v>9</v>
      </c>
      <c r="D1975" s="6" t="str">
        <f>"王小配"</f>
        <v>王小配</v>
      </c>
      <c r="E1975" s="6" t="str">
        <f>"1995-10-31"</f>
        <v>1995-10-31</v>
      </c>
      <c r="F1975" s="6"/>
    </row>
    <row r="1976" spans="1:6" ht="30" customHeight="1">
      <c r="A1976" s="6">
        <v>1974</v>
      </c>
      <c r="B1976" s="6" t="str">
        <f>"2728202011240843011691"</f>
        <v>2728202011240843011691</v>
      </c>
      <c r="C1976" s="6" t="s">
        <v>9</v>
      </c>
      <c r="D1976" s="6" t="str">
        <f>"吴科婷"</f>
        <v>吴科婷</v>
      </c>
      <c r="E1976" s="6" t="str">
        <f>"1995-08-20"</f>
        <v>1995-08-20</v>
      </c>
      <c r="F1976" s="6"/>
    </row>
    <row r="1977" spans="1:6" ht="30" customHeight="1">
      <c r="A1977" s="6">
        <v>1975</v>
      </c>
      <c r="B1977" s="6" t="str">
        <f>"2728202011240852291695"</f>
        <v>2728202011240852291695</v>
      </c>
      <c r="C1977" s="6" t="s">
        <v>9</v>
      </c>
      <c r="D1977" s="6" t="str">
        <f>"叶秀桓"</f>
        <v>叶秀桓</v>
      </c>
      <c r="E1977" s="6" t="str">
        <f>"1997-07-06"</f>
        <v>1997-07-06</v>
      </c>
      <c r="F1977" s="6"/>
    </row>
    <row r="1978" spans="1:6" ht="30" customHeight="1">
      <c r="A1978" s="6">
        <v>1976</v>
      </c>
      <c r="B1978" s="6" t="str">
        <f>"2728202011240856001699"</f>
        <v>2728202011240856001699</v>
      </c>
      <c r="C1978" s="6" t="s">
        <v>9</v>
      </c>
      <c r="D1978" s="6" t="str">
        <f>"杨川高宇"</f>
        <v>杨川高宇</v>
      </c>
      <c r="E1978" s="6" t="str">
        <f>"1992-01-29"</f>
        <v>1992-01-29</v>
      </c>
      <c r="F1978" s="6"/>
    </row>
    <row r="1979" spans="1:6" ht="30" customHeight="1">
      <c r="A1979" s="6">
        <v>1977</v>
      </c>
      <c r="B1979" s="6" t="str">
        <f>"2728202011240901221701"</f>
        <v>2728202011240901221701</v>
      </c>
      <c r="C1979" s="6" t="s">
        <v>9</v>
      </c>
      <c r="D1979" s="6" t="str">
        <f>"陈秋桦"</f>
        <v>陈秋桦</v>
      </c>
      <c r="E1979" s="6" t="str">
        <f>"1998-10-06"</f>
        <v>1998-10-06</v>
      </c>
      <c r="F1979" s="6"/>
    </row>
    <row r="1980" spans="1:6" ht="30" customHeight="1">
      <c r="A1980" s="6">
        <v>1978</v>
      </c>
      <c r="B1980" s="6" t="str">
        <f>"2728202011241029171742"</f>
        <v>2728202011241029171742</v>
      </c>
      <c r="C1980" s="6" t="s">
        <v>9</v>
      </c>
      <c r="D1980" s="6" t="str">
        <f>"高裳"</f>
        <v>高裳</v>
      </c>
      <c r="E1980" s="6" t="str">
        <f>"1994-11-21"</f>
        <v>1994-11-21</v>
      </c>
      <c r="F1980" s="6"/>
    </row>
    <row r="1981" spans="1:6" ht="30" customHeight="1">
      <c r="A1981" s="6">
        <v>1979</v>
      </c>
      <c r="B1981" s="6" t="str">
        <f>"2728202011241051371748"</f>
        <v>2728202011241051371748</v>
      </c>
      <c r="C1981" s="6" t="s">
        <v>9</v>
      </c>
      <c r="D1981" s="6" t="str">
        <f>"王贤娟"</f>
        <v>王贤娟</v>
      </c>
      <c r="E1981" s="6" t="str">
        <f>"1998-08-29"</f>
        <v>1998-08-29</v>
      </c>
      <c r="F1981" s="6"/>
    </row>
    <row r="1982" spans="1:6" ht="30" customHeight="1">
      <c r="A1982" s="6">
        <v>1980</v>
      </c>
      <c r="B1982" s="6" t="str">
        <f>"2728202011241203201773"</f>
        <v>2728202011241203201773</v>
      </c>
      <c r="C1982" s="6" t="s">
        <v>9</v>
      </c>
      <c r="D1982" s="6" t="str">
        <f>"许秋齐"</f>
        <v>许秋齐</v>
      </c>
      <c r="E1982" s="6" t="str">
        <f>"1996-04-15"</f>
        <v>1996-04-15</v>
      </c>
      <c r="F1982" s="6"/>
    </row>
    <row r="1983" spans="1:6" ht="30" customHeight="1">
      <c r="A1983" s="6">
        <v>1981</v>
      </c>
      <c r="B1983" s="6" t="str">
        <f>"2728202011241249321781"</f>
        <v>2728202011241249321781</v>
      </c>
      <c r="C1983" s="6" t="s">
        <v>9</v>
      </c>
      <c r="D1983" s="6" t="str">
        <f>"陈思颖"</f>
        <v>陈思颖</v>
      </c>
      <c r="E1983" s="6" t="str">
        <f>"1994-10-04"</f>
        <v>1994-10-04</v>
      </c>
      <c r="F1983" s="6"/>
    </row>
    <row r="1984" spans="1:6" ht="30" customHeight="1">
      <c r="A1984" s="6">
        <v>1982</v>
      </c>
      <c r="B1984" s="6" t="str">
        <f>"2728202011241258281784"</f>
        <v>2728202011241258281784</v>
      </c>
      <c r="C1984" s="6" t="s">
        <v>9</v>
      </c>
      <c r="D1984" s="6" t="str">
        <f>"王光栋"</f>
        <v>王光栋</v>
      </c>
      <c r="E1984" s="6" t="str">
        <f>"1997-12-07"</f>
        <v>1997-12-07</v>
      </c>
      <c r="F1984" s="6"/>
    </row>
    <row r="1985" spans="1:6" ht="30" customHeight="1">
      <c r="A1985" s="6">
        <v>1983</v>
      </c>
      <c r="B1985" s="6" t="str">
        <f>"2728202011241305261789"</f>
        <v>2728202011241305261789</v>
      </c>
      <c r="C1985" s="6" t="s">
        <v>9</v>
      </c>
      <c r="D1985" s="6" t="str">
        <f>"张丽菊"</f>
        <v>张丽菊</v>
      </c>
      <c r="E1985" s="6" t="str">
        <f>"1996-08-02"</f>
        <v>1996-08-02</v>
      </c>
      <c r="F1985" s="6"/>
    </row>
    <row r="1986" spans="1:6" ht="30" customHeight="1">
      <c r="A1986" s="6">
        <v>1984</v>
      </c>
      <c r="B1986" s="6" t="str">
        <f>"2728202011241308511790"</f>
        <v>2728202011241308511790</v>
      </c>
      <c r="C1986" s="6" t="s">
        <v>9</v>
      </c>
      <c r="D1986" s="6" t="str">
        <f>"张小玲"</f>
        <v>张小玲</v>
      </c>
      <c r="E1986" s="6" t="str">
        <f>"1995-10-09"</f>
        <v>1995-10-09</v>
      </c>
      <c r="F1986" s="6"/>
    </row>
    <row r="1987" spans="1:6" ht="30" customHeight="1">
      <c r="A1987" s="6">
        <v>1985</v>
      </c>
      <c r="B1987" s="6" t="str">
        <f>"2728202011241327311795"</f>
        <v>2728202011241327311795</v>
      </c>
      <c r="C1987" s="6" t="s">
        <v>9</v>
      </c>
      <c r="D1987" s="6" t="str">
        <f>"唐祥妃"</f>
        <v>唐祥妃</v>
      </c>
      <c r="E1987" s="6" t="str">
        <f>"1994-05-20"</f>
        <v>1994-05-20</v>
      </c>
      <c r="F1987" s="6"/>
    </row>
    <row r="1988" spans="1:6" ht="30" customHeight="1">
      <c r="A1988" s="6">
        <v>1986</v>
      </c>
      <c r="B1988" s="6" t="str">
        <f>"2728202011241440271815"</f>
        <v>2728202011241440271815</v>
      </c>
      <c r="C1988" s="6" t="s">
        <v>9</v>
      </c>
      <c r="D1988" s="6" t="str">
        <f>"韦秀恩"</f>
        <v>韦秀恩</v>
      </c>
      <c r="E1988" s="6" t="str">
        <f>"1997-10-13"</f>
        <v>1997-10-13</v>
      </c>
      <c r="F1988" s="6"/>
    </row>
    <row r="1989" spans="1:6" ht="30" customHeight="1">
      <c r="A1989" s="6">
        <v>1987</v>
      </c>
      <c r="B1989" s="6" t="str">
        <f>"2728202011241440491816"</f>
        <v>2728202011241440491816</v>
      </c>
      <c r="C1989" s="6" t="s">
        <v>9</v>
      </c>
      <c r="D1989" s="6" t="str">
        <f>"杨惠景"</f>
        <v>杨惠景</v>
      </c>
      <c r="E1989" s="6" t="str">
        <f>"1994-10-23"</f>
        <v>1994-10-23</v>
      </c>
      <c r="F1989" s="6"/>
    </row>
    <row r="1990" spans="1:6" ht="30" customHeight="1">
      <c r="A1990" s="6">
        <v>1988</v>
      </c>
      <c r="B1990" s="6" t="str">
        <f>"2728202011241454541821"</f>
        <v>2728202011241454541821</v>
      </c>
      <c r="C1990" s="6" t="s">
        <v>9</v>
      </c>
      <c r="D1990" s="6" t="str">
        <f>"林雨薇"</f>
        <v>林雨薇</v>
      </c>
      <c r="E1990" s="6" t="str">
        <f>"1998-05-19"</f>
        <v>1998-05-19</v>
      </c>
      <c r="F1990" s="6"/>
    </row>
    <row r="1991" spans="1:6" ht="30" customHeight="1">
      <c r="A1991" s="6">
        <v>1989</v>
      </c>
      <c r="B1991" s="6" t="str">
        <f>"2728202011241522251833"</f>
        <v>2728202011241522251833</v>
      </c>
      <c r="C1991" s="6" t="s">
        <v>9</v>
      </c>
      <c r="D1991" s="6" t="str">
        <f>"林志燕"</f>
        <v>林志燕</v>
      </c>
      <c r="E1991" s="6" t="str">
        <f>"1994-06-08"</f>
        <v>1994-06-08</v>
      </c>
      <c r="F1991" s="6"/>
    </row>
    <row r="1992" spans="1:6" ht="30" customHeight="1">
      <c r="A1992" s="6">
        <v>1990</v>
      </c>
      <c r="B1992" s="6" t="str">
        <f>"2728202011241533511839"</f>
        <v>2728202011241533511839</v>
      </c>
      <c r="C1992" s="6" t="s">
        <v>9</v>
      </c>
      <c r="D1992" s="6" t="str">
        <f>"符小娜"</f>
        <v>符小娜</v>
      </c>
      <c r="E1992" s="6" t="str">
        <f>"1995-04-11"</f>
        <v>1995-04-11</v>
      </c>
      <c r="F1992" s="6"/>
    </row>
    <row r="1993" spans="1:6" ht="30" customHeight="1">
      <c r="A1993" s="6">
        <v>1991</v>
      </c>
      <c r="B1993" s="6" t="str">
        <f>"2728202011241604201850"</f>
        <v>2728202011241604201850</v>
      </c>
      <c r="C1993" s="6" t="s">
        <v>9</v>
      </c>
      <c r="D1993" s="6" t="str">
        <f>"陈飞飞"</f>
        <v>陈飞飞</v>
      </c>
      <c r="E1993" s="6" t="str">
        <f>"1997-06-17"</f>
        <v>1997-06-17</v>
      </c>
      <c r="F1993" s="6"/>
    </row>
    <row r="1994" spans="1:6" ht="30" customHeight="1">
      <c r="A1994" s="6">
        <v>1992</v>
      </c>
      <c r="B1994" s="6" t="str">
        <f>"2728202011241604471852"</f>
        <v>2728202011241604471852</v>
      </c>
      <c r="C1994" s="6" t="s">
        <v>9</v>
      </c>
      <c r="D1994" s="6" t="str">
        <f>"王萧儒"</f>
        <v>王萧儒</v>
      </c>
      <c r="E1994" s="6" t="str">
        <f>"1992-08-14"</f>
        <v>1992-08-14</v>
      </c>
      <c r="F1994" s="6"/>
    </row>
    <row r="1995" spans="1:6" ht="30" customHeight="1">
      <c r="A1995" s="6">
        <v>1993</v>
      </c>
      <c r="B1995" s="6" t="str">
        <f>"2728202011241611041855"</f>
        <v>2728202011241611041855</v>
      </c>
      <c r="C1995" s="6" t="s">
        <v>9</v>
      </c>
      <c r="D1995" s="6" t="str">
        <f>"吴年华"</f>
        <v>吴年华</v>
      </c>
      <c r="E1995" s="6" t="str">
        <f>"1997-06-01"</f>
        <v>1997-06-01</v>
      </c>
      <c r="F1995" s="6"/>
    </row>
    <row r="1996" spans="1:6" ht="30" customHeight="1">
      <c r="A1996" s="6">
        <v>1994</v>
      </c>
      <c r="B1996" s="6" t="str">
        <f>"2728202011241615121858"</f>
        <v>2728202011241615121858</v>
      </c>
      <c r="C1996" s="6" t="s">
        <v>9</v>
      </c>
      <c r="D1996" s="6" t="str">
        <f>"庞基柳"</f>
        <v>庞基柳</v>
      </c>
      <c r="E1996" s="6" t="str">
        <f>"1996-02-29"</f>
        <v>1996-02-29</v>
      </c>
      <c r="F1996" s="6"/>
    </row>
    <row r="1997" spans="1:6" ht="30" customHeight="1">
      <c r="A1997" s="6">
        <v>1995</v>
      </c>
      <c r="B1997" s="6" t="str">
        <f>"2728202011241632111863"</f>
        <v>2728202011241632111863</v>
      </c>
      <c r="C1997" s="6" t="s">
        <v>9</v>
      </c>
      <c r="D1997" s="6" t="str">
        <f>"陈振娇"</f>
        <v>陈振娇</v>
      </c>
      <c r="E1997" s="6" t="str">
        <f>"1996-12-25"</f>
        <v>1996-12-25</v>
      </c>
      <c r="F1997" s="6"/>
    </row>
    <row r="1998" spans="1:6" ht="30" customHeight="1">
      <c r="A1998" s="6">
        <v>1996</v>
      </c>
      <c r="B1998" s="6" t="str">
        <f>"2728202011241657131875"</f>
        <v>2728202011241657131875</v>
      </c>
      <c r="C1998" s="6" t="s">
        <v>9</v>
      </c>
      <c r="D1998" s="6" t="str">
        <f>"林莉"</f>
        <v>林莉</v>
      </c>
      <c r="E1998" s="6" t="str">
        <f>"1995-07-25"</f>
        <v>1995-07-25</v>
      </c>
      <c r="F1998" s="6"/>
    </row>
    <row r="1999" spans="1:6" ht="30" customHeight="1">
      <c r="A1999" s="6">
        <v>1997</v>
      </c>
      <c r="B1999" s="6" t="str">
        <f>"2728202011241708331878"</f>
        <v>2728202011241708331878</v>
      </c>
      <c r="C1999" s="6" t="s">
        <v>9</v>
      </c>
      <c r="D1999" s="6" t="str">
        <f>"周启珠"</f>
        <v>周启珠</v>
      </c>
      <c r="E1999" s="6" t="str">
        <f>"1995-04-23"</f>
        <v>1995-04-23</v>
      </c>
      <c r="F1999" s="6"/>
    </row>
    <row r="2000" spans="1:6" ht="30" customHeight="1">
      <c r="A2000" s="6">
        <v>1998</v>
      </c>
      <c r="B2000" s="6" t="str">
        <f>"2728202011241814371899"</f>
        <v>2728202011241814371899</v>
      </c>
      <c r="C2000" s="6" t="s">
        <v>9</v>
      </c>
      <c r="D2000" s="6" t="str">
        <f>"谭同庆"</f>
        <v>谭同庆</v>
      </c>
      <c r="E2000" s="6" t="str">
        <f>"1997-10-04"</f>
        <v>1997-10-04</v>
      </c>
      <c r="F2000" s="6"/>
    </row>
    <row r="2001" spans="1:6" ht="30" customHeight="1">
      <c r="A2001" s="6">
        <v>1999</v>
      </c>
      <c r="B2001" s="6" t="str">
        <f>"2728202011241838181903"</f>
        <v>2728202011241838181903</v>
      </c>
      <c r="C2001" s="6" t="s">
        <v>9</v>
      </c>
      <c r="D2001" s="6" t="str">
        <f>"张太宁"</f>
        <v>张太宁</v>
      </c>
      <c r="E2001" s="6" t="str">
        <f>"1994-11-14"</f>
        <v>1994-11-14</v>
      </c>
      <c r="F2001" s="6"/>
    </row>
    <row r="2002" spans="1:6" ht="30" customHeight="1">
      <c r="A2002" s="6">
        <v>2000</v>
      </c>
      <c r="B2002" s="6" t="str">
        <f>"2728202011241841391905"</f>
        <v>2728202011241841391905</v>
      </c>
      <c r="C2002" s="6" t="s">
        <v>9</v>
      </c>
      <c r="D2002" s="6" t="str">
        <f>"刘春霞"</f>
        <v>刘春霞</v>
      </c>
      <c r="E2002" s="6" t="str">
        <f>"1996-03-02"</f>
        <v>1996-03-02</v>
      </c>
      <c r="F2002" s="6"/>
    </row>
    <row r="2003" spans="1:6" ht="30" customHeight="1">
      <c r="A2003" s="6">
        <v>2001</v>
      </c>
      <c r="B2003" s="6" t="str">
        <f>"2728202011241857201908"</f>
        <v>2728202011241857201908</v>
      </c>
      <c r="C2003" s="6" t="s">
        <v>9</v>
      </c>
      <c r="D2003" s="6" t="str">
        <f>"蔡忠城"</f>
        <v>蔡忠城</v>
      </c>
      <c r="E2003" s="6" t="str">
        <f>"1993-04-10"</f>
        <v>1993-04-10</v>
      </c>
      <c r="F2003" s="6"/>
    </row>
    <row r="2004" spans="1:6" ht="30" customHeight="1">
      <c r="A2004" s="6">
        <v>2002</v>
      </c>
      <c r="B2004" s="6" t="str">
        <f>"2728202011241927391914"</f>
        <v>2728202011241927391914</v>
      </c>
      <c r="C2004" s="6" t="s">
        <v>9</v>
      </c>
      <c r="D2004" s="6" t="str">
        <f>"何嘉"</f>
        <v>何嘉</v>
      </c>
      <c r="E2004" s="6" t="str">
        <f>"1997-08-08"</f>
        <v>1997-08-08</v>
      </c>
      <c r="F2004" s="6"/>
    </row>
    <row r="2005" spans="1:6" ht="30" customHeight="1">
      <c r="A2005" s="6">
        <v>2003</v>
      </c>
      <c r="B2005" s="6" t="str">
        <f>"2728202011242022301923"</f>
        <v>2728202011242022301923</v>
      </c>
      <c r="C2005" s="6" t="s">
        <v>9</v>
      </c>
      <c r="D2005" s="6" t="str">
        <f>"容丹"</f>
        <v>容丹</v>
      </c>
      <c r="E2005" s="6" t="str">
        <f>"1997-10-23"</f>
        <v>1997-10-23</v>
      </c>
      <c r="F2005" s="6"/>
    </row>
    <row r="2006" spans="1:6" ht="30" customHeight="1">
      <c r="A2006" s="6">
        <v>2004</v>
      </c>
      <c r="B2006" s="6" t="str">
        <f>"2728202011242030591928"</f>
        <v>2728202011242030591928</v>
      </c>
      <c r="C2006" s="6" t="s">
        <v>9</v>
      </c>
      <c r="D2006" s="6" t="str">
        <f>"梁茜"</f>
        <v>梁茜</v>
      </c>
      <c r="E2006" s="6" t="str">
        <f>"1996-09-24"</f>
        <v>1996-09-24</v>
      </c>
      <c r="F2006" s="6"/>
    </row>
    <row r="2007" spans="1:6" ht="30" customHeight="1">
      <c r="A2007" s="6">
        <v>2005</v>
      </c>
      <c r="B2007" s="6" t="str">
        <f>"2728202011242104251939"</f>
        <v>2728202011242104251939</v>
      </c>
      <c r="C2007" s="6" t="s">
        <v>9</v>
      </c>
      <c r="D2007" s="6" t="str">
        <f>"吴科兰"</f>
        <v>吴科兰</v>
      </c>
      <c r="E2007" s="6" t="str">
        <f>"1995-07-13"</f>
        <v>1995-07-13</v>
      </c>
      <c r="F2007" s="6"/>
    </row>
    <row r="2008" spans="1:6" ht="30" customHeight="1">
      <c r="A2008" s="6">
        <v>2006</v>
      </c>
      <c r="B2008" s="6" t="str">
        <f>"2728202011242116071942"</f>
        <v>2728202011242116071942</v>
      </c>
      <c r="C2008" s="6" t="s">
        <v>9</v>
      </c>
      <c r="D2008" s="6" t="str">
        <f>"蔡雪云"</f>
        <v>蔡雪云</v>
      </c>
      <c r="E2008" s="6" t="str">
        <f>"1998-08-31"</f>
        <v>1998-08-31</v>
      </c>
      <c r="F2008" s="6"/>
    </row>
    <row r="2009" spans="1:6" ht="30" customHeight="1">
      <c r="A2009" s="6">
        <v>2007</v>
      </c>
      <c r="B2009" s="6" t="str">
        <f>"2728202011242118071944"</f>
        <v>2728202011242118071944</v>
      </c>
      <c r="C2009" s="6" t="s">
        <v>9</v>
      </c>
      <c r="D2009" s="6" t="str">
        <f>"凌海东"</f>
        <v>凌海东</v>
      </c>
      <c r="E2009" s="6" t="str">
        <f>"1998-06-09"</f>
        <v>1998-06-09</v>
      </c>
      <c r="F2009" s="6"/>
    </row>
    <row r="2010" spans="1:6" ht="30" customHeight="1">
      <c r="A2010" s="6">
        <v>2008</v>
      </c>
      <c r="B2010" s="6" t="str">
        <f>"2728202011242230051966"</f>
        <v>2728202011242230051966</v>
      </c>
      <c r="C2010" s="6" t="s">
        <v>9</v>
      </c>
      <c r="D2010" s="6" t="str">
        <f>"李慢晶"</f>
        <v>李慢晶</v>
      </c>
      <c r="E2010" s="6" t="str">
        <f>"1997-07-03"</f>
        <v>1997-07-03</v>
      </c>
      <c r="F2010" s="6"/>
    </row>
    <row r="2011" spans="1:6" ht="30" customHeight="1">
      <c r="A2011" s="6">
        <v>2009</v>
      </c>
      <c r="B2011" s="6" t="str">
        <f>"2728202011242316571980"</f>
        <v>2728202011242316571980</v>
      </c>
      <c r="C2011" s="6" t="s">
        <v>9</v>
      </c>
      <c r="D2011" s="6" t="str">
        <f>"高林义"</f>
        <v>高林义</v>
      </c>
      <c r="E2011" s="6" t="str">
        <f>"1990-07-08"</f>
        <v>1990-07-08</v>
      </c>
      <c r="F2011" s="6"/>
    </row>
    <row r="2012" spans="1:6" ht="30" customHeight="1">
      <c r="A2012" s="6">
        <v>2010</v>
      </c>
      <c r="B2012" s="6" t="str">
        <f>"2728202011242320481981"</f>
        <v>2728202011242320481981</v>
      </c>
      <c r="C2012" s="6" t="s">
        <v>9</v>
      </c>
      <c r="D2012" s="6" t="str">
        <f>"叶子钰"</f>
        <v>叶子钰</v>
      </c>
      <c r="E2012" s="6" t="str">
        <f>"1997-12-19"</f>
        <v>1997-12-19</v>
      </c>
      <c r="F2012" s="6"/>
    </row>
    <row r="2013" spans="1:6" ht="30" customHeight="1">
      <c r="A2013" s="6">
        <v>2011</v>
      </c>
      <c r="B2013" s="6" t="str">
        <f>"2728202011242322051982"</f>
        <v>2728202011242322051982</v>
      </c>
      <c r="C2013" s="6" t="s">
        <v>9</v>
      </c>
      <c r="D2013" s="6" t="str">
        <f>"林女真"</f>
        <v>林女真</v>
      </c>
      <c r="E2013" s="6" t="str">
        <f>"1993-03-08"</f>
        <v>1993-03-08</v>
      </c>
      <c r="F2013" s="6"/>
    </row>
    <row r="2014" spans="1:6" ht="30" customHeight="1">
      <c r="A2014" s="6">
        <v>2012</v>
      </c>
      <c r="B2014" s="6" t="str">
        <f>"2728202011250027141991"</f>
        <v>2728202011250027141991</v>
      </c>
      <c r="C2014" s="6" t="s">
        <v>9</v>
      </c>
      <c r="D2014" s="6" t="str">
        <f>"陈文娜"</f>
        <v>陈文娜</v>
      </c>
      <c r="E2014" s="6" t="str">
        <f>"1997-10-17"</f>
        <v>1997-10-17</v>
      </c>
      <c r="F2014" s="6"/>
    </row>
    <row r="2015" spans="1:6" ht="30" customHeight="1">
      <c r="A2015" s="6">
        <v>2013</v>
      </c>
      <c r="B2015" s="6" t="str">
        <f>"2728202011250105341994"</f>
        <v>2728202011250105341994</v>
      </c>
      <c r="C2015" s="6" t="s">
        <v>9</v>
      </c>
      <c r="D2015" s="6" t="str">
        <f>"戴宇"</f>
        <v>戴宇</v>
      </c>
      <c r="E2015" s="6" t="str">
        <f>"1994-09-10"</f>
        <v>1994-09-10</v>
      </c>
      <c r="F2015" s="6"/>
    </row>
    <row r="2016" spans="1:6" ht="30" customHeight="1">
      <c r="A2016" s="6">
        <v>2014</v>
      </c>
      <c r="B2016" s="6" t="str">
        <f>"2728202011250842372004"</f>
        <v>2728202011250842372004</v>
      </c>
      <c r="C2016" s="6" t="s">
        <v>9</v>
      </c>
      <c r="D2016" s="6" t="str">
        <f>"李倩"</f>
        <v>李倩</v>
      </c>
      <c r="E2016" s="6" t="str">
        <f>"1997-08-03"</f>
        <v>1997-08-03</v>
      </c>
      <c r="F2016" s="6"/>
    </row>
    <row r="2017" spans="1:6" ht="30" customHeight="1">
      <c r="A2017" s="6">
        <v>2015</v>
      </c>
      <c r="B2017" s="6" t="str">
        <f>"2728202011250853572010"</f>
        <v>2728202011250853572010</v>
      </c>
      <c r="C2017" s="6" t="s">
        <v>9</v>
      </c>
      <c r="D2017" s="6" t="str">
        <f>"杜尚汝"</f>
        <v>杜尚汝</v>
      </c>
      <c r="E2017" s="6" t="str">
        <f>"1997-04-10"</f>
        <v>1997-04-10</v>
      </c>
      <c r="F2017" s="6"/>
    </row>
    <row r="2018" spans="1:6" ht="30" customHeight="1">
      <c r="A2018" s="6">
        <v>2016</v>
      </c>
      <c r="B2018" s="6" t="str">
        <f>"2728202011250911142018"</f>
        <v>2728202011250911142018</v>
      </c>
      <c r="C2018" s="6" t="s">
        <v>9</v>
      </c>
      <c r="D2018" s="6" t="str">
        <f>"曾玟"</f>
        <v>曾玟</v>
      </c>
      <c r="E2018" s="6" t="str">
        <f>"1996-09-12"</f>
        <v>1996-09-12</v>
      </c>
      <c r="F2018" s="6"/>
    </row>
    <row r="2019" spans="1:6" ht="30" customHeight="1">
      <c r="A2019" s="6">
        <v>2017</v>
      </c>
      <c r="B2019" s="6" t="str">
        <f>"2728202011251012432034"</f>
        <v>2728202011251012432034</v>
      </c>
      <c r="C2019" s="6" t="s">
        <v>9</v>
      </c>
      <c r="D2019" s="6" t="str">
        <f>"韦团"</f>
        <v>韦团</v>
      </c>
      <c r="E2019" s="6" t="str">
        <f>"1997-04-19"</f>
        <v>1997-04-19</v>
      </c>
      <c r="F2019" s="6"/>
    </row>
    <row r="2020" spans="1:6" ht="30" customHeight="1">
      <c r="A2020" s="6">
        <v>2018</v>
      </c>
      <c r="B2020" s="6" t="str">
        <f>"2728202011251050472051"</f>
        <v>2728202011251050472051</v>
      </c>
      <c r="C2020" s="6" t="s">
        <v>9</v>
      </c>
      <c r="D2020" s="6" t="str">
        <f>"杨善玉"</f>
        <v>杨善玉</v>
      </c>
      <c r="E2020" s="6" t="str">
        <f>"1995-08-04"</f>
        <v>1995-08-04</v>
      </c>
      <c r="F2020" s="6"/>
    </row>
    <row r="2021" spans="1:6" ht="30" customHeight="1">
      <c r="A2021" s="6">
        <v>2019</v>
      </c>
      <c r="B2021" s="6" t="str">
        <f>"2728202011251059232058"</f>
        <v>2728202011251059232058</v>
      </c>
      <c r="C2021" s="6" t="s">
        <v>9</v>
      </c>
      <c r="D2021" s="6" t="str">
        <f>"董澜"</f>
        <v>董澜</v>
      </c>
      <c r="E2021" s="6" t="str">
        <f>"1997-08-28"</f>
        <v>1997-08-28</v>
      </c>
      <c r="F2021" s="6"/>
    </row>
    <row r="2022" spans="1:6" ht="30" customHeight="1">
      <c r="A2022" s="6">
        <v>2020</v>
      </c>
      <c r="B2022" s="6" t="str">
        <f>"2728202011251125412064"</f>
        <v>2728202011251125412064</v>
      </c>
      <c r="C2022" s="6" t="s">
        <v>9</v>
      </c>
      <c r="D2022" s="6" t="str">
        <f>"陈宜嫚"</f>
        <v>陈宜嫚</v>
      </c>
      <c r="E2022" s="6" t="str">
        <f>"1995-12-23"</f>
        <v>1995-12-23</v>
      </c>
      <c r="F2022" s="6"/>
    </row>
    <row r="2023" spans="1:6" ht="30" customHeight="1">
      <c r="A2023" s="6">
        <v>2021</v>
      </c>
      <c r="B2023" s="6" t="str">
        <f>"2728202011251145202071"</f>
        <v>2728202011251145202071</v>
      </c>
      <c r="C2023" s="6" t="s">
        <v>9</v>
      </c>
      <c r="D2023" s="6" t="str">
        <f>"潘辅俐"</f>
        <v>潘辅俐</v>
      </c>
      <c r="E2023" s="6" t="str">
        <f>"1994-08-15"</f>
        <v>1994-08-15</v>
      </c>
      <c r="F2023" s="6"/>
    </row>
    <row r="2024" spans="1:6" ht="30" customHeight="1">
      <c r="A2024" s="6">
        <v>2022</v>
      </c>
      <c r="B2024" s="6" t="str">
        <f>"2728202011251455022124"</f>
        <v>2728202011251455022124</v>
      </c>
      <c r="C2024" s="6" t="s">
        <v>9</v>
      </c>
      <c r="D2024" s="6" t="str">
        <f>"罗文贤"</f>
        <v>罗文贤</v>
      </c>
      <c r="E2024" s="6" t="str">
        <f>"1997-08-27"</f>
        <v>1997-08-27</v>
      </c>
      <c r="F2024" s="6"/>
    </row>
    <row r="2025" spans="1:6" ht="30" customHeight="1">
      <c r="A2025" s="6">
        <v>2023</v>
      </c>
      <c r="B2025" s="6" t="str">
        <f>"2728202011251548092139"</f>
        <v>2728202011251548092139</v>
      </c>
      <c r="C2025" s="6" t="s">
        <v>9</v>
      </c>
      <c r="D2025" s="6" t="str">
        <f>"潘小冰"</f>
        <v>潘小冰</v>
      </c>
      <c r="E2025" s="6" t="str">
        <f>"1995-09-05"</f>
        <v>1995-09-05</v>
      </c>
      <c r="F2025" s="6"/>
    </row>
    <row r="2026" spans="1:6" ht="30" customHeight="1">
      <c r="A2026" s="6">
        <v>2024</v>
      </c>
      <c r="B2026" s="6" t="str">
        <f>"2728202011251551362140"</f>
        <v>2728202011251551362140</v>
      </c>
      <c r="C2026" s="6" t="s">
        <v>9</v>
      </c>
      <c r="D2026" s="6" t="str">
        <f>"李正兰"</f>
        <v>李正兰</v>
      </c>
      <c r="E2026" s="6" t="str">
        <f>"1994-04-09"</f>
        <v>1994-04-09</v>
      </c>
      <c r="F2026" s="6"/>
    </row>
    <row r="2027" spans="1:6" ht="30" customHeight="1">
      <c r="A2027" s="6">
        <v>2025</v>
      </c>
      <c r="B2027" s="6" t="str">
        <f>"2728202011251557062145"</f>
        <v>2728202011251557062145</v>
      </c>
      <c r="C2027" s="6" t="s">
        <v>9</v>
      </c>
      <c r="D2027" s="6" t="str">
        <f>"林婷"</f>
        <v>林婷</v>
      </c>
      <c r="E2027" s="6" t="str">
        <f>"1995-12-10"</f>
        <v>1995-12-10</v>
      </c>
      <c r="F2027" s="6"/>
    </row>
    <row r="2028" spans="1:6" ht="30" customHeight="1">
      <c r="A2028" s="6">
        <v>2026</v>
      </c>
      <c r="B2028" s="6" t="str">
        <f>"2728202011251600212147"</f>
        <v>2728202011251600212147</v>
      </c>
      <c r="C2028" s="6" t="s">
        <v>9</v>
      </c>
      <c r="D2028" s="6" t="str">
        <f>"陈伙春"</f>
        <v>陈伙春</v>
      </c>
      <c r="E2028" s="6" t="str">
        <f>"1997-11-06"</f>
        <v>1997-11-06</v>
      </c>
      <c r="F2028" s="6"/>
    </row>
    <row r="2029" spans="1:6" ht="30" customHeight="1">
      <c r="A2029" s="6">
        <v>2027</v>
      </c>
      <c r="B2029" s="6" t="str">
        <f>"2728202011251601482148"</f>
        <v>2728202011251601482148</v>
      </c>
      <c r="C2029" s="6" t="s">
        <v>9</v>
      </c>
      <c r="D2029" s="6" t="str">
        <f>"张红梅"</f>
        <v>张红梅</v>
      </c>
      <c r="E2029" s="6" t="str">
        <f>"1995-09-28"</f>
        <v>1995-09-28</v>
      </c>
      <c r="F2029" s="6"/>
    </row>
    <row r="2030" spans="1:6" ht="30" customHeight="1">
      <c r="A2030" s="6">
        <v>2028</v>
      </c>
      <c r="B2030" s="6" t="str">
        <f>"2728202011251644022160"</f>
        <v>2728202011251644022160</v>
      </c>
      <c r="C2030" s="6" t="s">
        <v>9</v>
      </c>
      <c r="D2030" s="6" t="str">
        <f>"洪二妹"</f>
        <v>洪二妹</v>
      </c>
      <c r="E2030" s="6" t="str">
        <f>"1995-07-12"</f>
        <v>1995-07-12</v>
      </c>
      <c r="F2030" s="6"/>
    </row>
    <row r="2031" spans="1:6" ht="30" customHeight="1">
      <c r="A2031" s="6">
        <v>2029</v>
      </c>
      <c r="B2031" s="6" t="str">
        <f>"2728202011251712372172"</f>
        <v>2728202011251712372172</v>
      </c>
      <c r="C2031" s="6" t="s">
        <v>9</v>
      </c>
      <c r="D2031" s="6" t="str">
        <f>"陈丽容"</f>
        <v>陈丽容</v>
      </c>
      <c r="E2031" s="6" t="str">
        <f>"1996-07-15"</f>
        <v>1996-07-15</v>
      </c>
      <c r="F2031" s="6"/>
    </row>
    <row r="2032" spans="1:6" ht="30" customHeight="1">
      <c r="A2032" s="6">
        <v>2030</v>
      </c>
      <c r="B2032" s="6" t="str">
        <f>"2728202011251719562173"</f>
        <v>2728202011251719562173</v>
      </c>
      <c r="C2032" s="6" t="s">
        <v>9</v>
      </c>
      <c r="D2032" s="6" t="str">
        <f>"郑尹"</f>
        <v>郑尹</v>
      </c>
      <c r="E2032" s="6" t="str">
        <f>"1995-10-03"</f>
        <v>1995-10-03</v>
      </c>
      <c r="F2032" s="6"/>
    </row>
    <row r="2033" spans="1:6" ht="30" customHeight="1">
      <c r="A2033" s="6">
        <v>2031</v>
      </c>
      <c r="B2033" s="6" t="str">
        <f>"2728202011251738292183"</f>
        <v>2728202011251738292183</v>
      </c>
      <c r="C2033" s="6" t="s">
        <v>9</v>
      </c>
      <c r="D2033" s="6" t="str">
        <f>"黎经娜"</f>
        <v>黎经娜</v>
      </c>
      <c r="E2033" s="6" t="str">
        <f>"1990-05-02"</f>
        <v>1990-05-02</v>
      </c>
      <c r="F2033" s="6"/>
    </row>
    <row r="2034" spans="1:6" ht="30" customHeight="1">
      <c r="A2034" s="6">
        <v>2032</v>
      </c>
      <c r="B2034" s="6" t="str">
        <f>"2728202011251815212196"</f>
        <v>2728202011251815212196</v>
      </c>
      <c r="C2034" s="6" t="s">
        <v>9</v>
      </c>
      <c r="D2034" s="6" t="str">
        <f>"冯元娇"</f>
        <v>冯元娇</v>
      </c>
      <c r="E2034" s="6" t="str">
        <f>"1997-01-10"</f>
        <v>1997-01-10</v>
      </c>
      <c r="F2034" s="6"/>
    </row>
    <row r="2035" spans="1:6" ht="30" customHeight="1">
      <c r="A2035" s="6">
        <v>2033</v>
      </c>
      <c r="B2035" s="6" t="str">
        <f>"2728202011251835162202"</f>
        <v>2728202011251835162202</v>
      </c>
      <c r="C2035" s="6" t="s">
        <v>9</v>
      </c>
      <c r="D2035" s="6" t="str">
        <f>"李银浠"</f>
        <v>李银浠</v>
      </c>
      <c r="E2035" s="6" t="str">
        <f>"1995-01-12"</f>
        <v>1995-01-12</v>
      </c>
      <c r="F2035" s="6"/>
    </row>
    <row r="2036" spans="1:6" ht="30" customHeight="1">
      <c r="A2036" s="6">
        <v>2034</v>
      </c>
      <c r="B2036" s="6" t="str">
        <f>"2728202011251850142205"</f>
        <v>2728202011251850142205</v>
      </c>
      <c r="C2036" s="6" t="s">
        <v>9</v>
      </c>
      <c r="D2036" s="6" t="str">
        <f>"郑德亮"</f>
        <v>郑德亮</v>
      </c>
      <c r="E2036" s="6" t="str">
        <f>"1995-08-29"</f>
        <v>1995-08-29</v>
      </c>
      <c r="F2036" s="6"/>
    </row>
    <row r="2037" spans="1:6" ht="30" customHeight="1">
      <c r="A2037" s="6">
        <v>2035</v>
      </c>
      <c r="B2037" s="6" t="str">
        <f>"2728202011251909552213"</f>
        <v>2728202011251909552213</v>
      </c>
      <c r="C2037" s="6" t="s">
        <v>9</v>
      </c>
      <c r="D2037" s="6" t="str">
        <f>"黄琼娇"</f>
        <v>黄琼娇</v>
      </c>
      <c r="E2037" s="6" t="str">
        <f>"1995-08-11"</f>
        <v>1995-08-11</v>
      </c>
      <c r="F2037" s="6"/>
    </row>
    <row r="2038" spans="1:6" ht="30" customHeight="1">
      <c r="A2038" s="6">
        <v>2036</v>
      </c>
      <c r="B2038" s="6" t="str">
        <f>"2728202011251925292222"</f>
        <v>2728202011251925292222</v>
      </c>
      <c r="C2038" s="6" t="s">
        <v>9</v>
      </c>
      <c r="D2038" s="6" t="str">
        <f>"高丽怀"</f>
        <v>高丽怀</v>
      </c>
      <c r="E2038" s="6" t="str">
        <f>"1991-04-30"</f>
        <v>1991-04-30</v>
      </c>
      <c r="F2038" s="6"/>
    </row>
    <row r="2039" spans="1:6" ht="30" customHeight="1">
      <c r="A2039" s="6">
        <v>2037</v>
      </c>
      <c r="B2039" s="6" t="str">
        <f>"2728202011251928552225"</f>
        <v>2728202011251928552225</v>
      </c>
      <c r="C2039" s="6" t="s">
        <v>9</v>
      </c>
      <c r="D2039" s="6" t="str">
        <f>"黄宜菲"</f>
        <v>黄宜菲</v>
      </c>
      <c r="E2039" s="6" t="str">
        <f>"1995-10-12"</f>
        <v>1995-10-12</v>
      </c>
      <c r="F2039" s="6"/>
    </row>
    <row r="2040" spans="1:6" ht="30" customHeight="1">
      <c r="A2040" s="6">
        <v>2038</v>
      </c>
      <c r="B2040" s="6" t="str">
        <f>"2728202011251957162233"</f>
        <v>2728202011251957162233</v>
      </c>
      <c r="C2040" s="6" t="s">
        <v>9</v>
      </c>
      <c r="D2040" s="6" t="str">
        <f>"邢慧慧"</f>
        <v>邢慧慧</v>
      </c>
      <c r="E2040" s="6" t="str">
        <f>"1997-12-27"</f>
        <v>1997-12-27</v>
      </c>
      <c r="F2040" s="6"/>
    </row>
    <row r="2041" spans="1:6" ht="30" customHeight="1">
      <c r="A2041" s="6">
        <v>2039</v>
      </c>
      <c r="B2041" s="6" t="str">
        <f>"2728202011252016252242"</f>
        <v>2728202011252016252242</v>
      </c>
      <c r="C2041" s="6" t="s">
        <v>9</v>
      </c>
      <c r="D2041" s="6" t="str">
        <f>"曾玉璘"</f>
        <v>曾玉璘</v>
      </c>
      <c r="E2041" s="6" t="str">
        <f>"1998-10-20"</f>
        <v>1998-10-20</v>
      </c>
      <c r="F2041" s="6"/>
    </row>
    <row r="2042" spans="1:6" ht="30" customHeight="1">
      <c r="A2042" s="6">
        <v>2040</v>
      </c>
      <c r="B2042" s="6" t="str">
        <f>"2728202011252021202244"</f>
        <v>2728202011252021202244</v>
      </c>
      <c r="C2042" s="6" t="s">
        <v>9</v>
      </c>
      <c r="D2042" s="6" t="str">
        <f>"吴雅雯"</f>
        <v>吴雅雯</v>
      </c>
      <c r="E2042" s="6" t="str">
        <f>"1997-08-12"</f>
        <v>1997-08-12</v>
      </c>
      <c r="F2042" s="6"/>
    </row>
    <row r="2043" spans="1:6" ht="30" customHeight="1">
      <c r="A2043" s="6">
        <v>2041</v>
      </c>
      <c r="B2043" s="6" t="str">
        <f>"2728202011252108452261"</f>
        <v>2728202011252108452261</v>
      </c>
      <c r="C2043" s="6" t="s">
        <v>9</v>
      </c>
      <c r="D2043" s="6" t="str">
        <f>"陈琎"</f>
        <v>陈琎</v>
      </c>
      <c r="E2043" s="6" t="str">
        <f>"1992-08-09"</f>
        <v>1992-08-09</v>
      </c>
      <c r="F2043" s="6"/>
    </row>
    <row r="2044" spans="1:6" ht="30" customHeight="1">
      <c r="A2044" s="6">
        <v>2042</v>
      </c>
      <c r="B2044" s="6" t="str">
        <f>"2728202011252114112265"</f>
        <v>2728202011252114112265</v>
      </c>
      <c r="C2044" s="6" t="s">
        <v>9</v>
      </c>
      <c r="D2044" s="6" t="str">
        <f>"符丽丽"</f>
        <v>符丽丽</v>
      </c>
      <c r="E2044" s="6" t="str">
        <f>"1996-04-08"</f>
        <v>1996-04-08</v>
      </c>
      <c r="F2044" s="6"/>
    </row>
    <row r="2045" spans="1:6" ht="30" customHeight="1">
      <c r="A2045" s="6">
        <v>2043</v>
      </c>
      <c r="B2045" s="6" t="str">
        <f>"2728202011252152102285"</f>
        <v>2728202011252152102285</v>
      </c>
      <c r="C2045" s="6" t="s">
        <v>9</v>
      </c>
      <c r="D2045" s="6" t="str">
        <f>"林清由"</f>
        <v>林清由</v>
      </c>
      <c r="E2045" s="6" t="str">
        <f>"1994-02-22"</f>
        <v>1994-02-22</v>
      </c>
      <c r="F2045" s="6"/>
    </row>
    <row r="2046" spans="1:6" ht="30" customHeight="1">
      <c r="A2046" s="6">
        <v>2044</v>
      </c>
      <c r="B2046" s="6" t="str">
        <f>"2728202011252159082289"</f>
        <v>2728202011252159082289</v>
      </c>
      <c r="C2046" s="6" t="s">
        <v>9</v>
      </c>
      <c r="D2046" s="6" t="str">
        <f>"张岚岚"</f>
        <v>张岚岚</v>
      </c>
      <c r="E2046" s="6" t="str">
        <f>"1998-05-21"</f>
        <v>1998-05-21</v>
      </c>
      <c r="F2046" s="6"/>
    </row>
    <row r="2047" spans="1:6" ht="30" customHeight="1">
      <c r="A2047" s="6">
        <v>2045</v>
      </c>
      <c r="B2047" s="6" t="str">
        <f>"2728202011252210252296"</f>
        <v>2728202011252210252296</v>
      </c>
      <c r="C2047" s="6" t="s">
        <v>9</v>
      </c>
      <c r="D2047" s="6" t="str">
        <f>"符惠柳"</f>
        <v>符惠柳</v>
      </c>
      <c r="E2047" s="6" t="str">
        <f>"1998-03-06"</f>
        <v>1998-03-06</v>
      </c>
      <c r="F2047" s="6"/>
    </row>
    <row r="2048" spans="1:6" ht="30" customHeight="1">
      <c r="A2048" s="6">
        <v>2046</v>
      </c>
      <c r="B2048" s="6" t="str">
        <f>"2728202011252238482313"</f>
        <v>2728202011252238482313</v>
      </c>
      <c r="C2048" s="6" t="s">
        <v>9</v>
      </c>
      <c r="D2048" s="6" t="str">
        <f>"洪家思"</f>
        <v>洪家思</v>
      </c>
      <c r="E2048" s="6" t="str">
        <f>"1995-10-14"</f>
        <v>1995-10-14</v>
      </c>
      <c r="F2048" s="6"/>
    </row>
    <row r="2049" spans="1:6" ht="30" customHeight="1">
      <c r="A2049" s="6">
        <v>2047</v>
      </c>
      <c r="B2049" s="6" t="str">
        <f>"2728202011252239382315"</f>
        <v>2728202011252239382315</v>
      </c>
      <c r="C2049" s="6" t="s">
        <v>9</v>
      </c>
      <c r="D2049" s="6" t="str">
        <f>"伍咏莹"</f>
        <v>伍咏莹</v>
      </c>
      <c r="E2049" s="6" t="str">
        <f>"1998-01-06"</f>
        <v>1998-01-06</v>
      </c>
      <c r="F2049" s="6"/>
    </row>
    <row r="2050" spans="1:6" ht="30" customHeight="1">
      <c r="A2050" s="6">
        <v>2048</v>
      </c>
      <c r="B2050" s="6" t="str">
        <f>"2728202011252241482317"</f>
        <v>2728202011252241482317</v>
      </c>
      <c r="C2050" s="6" t="s">
        <v>9</v>
      </c>
      <c r="D2050" s="6" t="str">
        <f>"郭义勇"</f>
        <v>郭义勇</v>
      </c>
      <c r="E2050" s="6" t="str">
        <f>"1992-11-04"</f>
        <v>1992-11-04</v>
      </c>
      <c r="F2050" s="6"/>
    </row>
    <row r="2051" spans="1:6" ht="30" customHeight="1">
      <c r="A2051" s="6">
        <v>2049</v>
      </c>
      <c r="B2051" s="6" t="str">
        <f>"2728202011252301062328"</f>
        <v>2728202011252301062328</v>
      </c>
      <c r="C2051" s="6" t="s">
        <v>9</v>
      </c>
      <c r="D2051" s="6" t="str">
        <f>"盛广婷"</f>
        <v>盛广婷</v>
      </c>
      <c r="E2051" s="6" t="str">
        <f>"1996-07-08"</f>
        <v>1996-07-08</v>
      </c>
      <c r="F2051" s="6"/>
    </row>
    <row r="2052" spans="1:6" ht="30" customHeight="1">
      <c r="A2052" s="6">
        <v>2050</v>
      </c>
      <c r="B2052" s="6" t="str">
        <f>"2728202011252302332330"</f>
        <v>2728202011252302332330</v>
      </c>
      <c r="C2052" s="6" t="s">
        <v>9</v>
      </c>
      <c r="D2052" s="6" t="str">
        <f>"黄茂明"</f>
        <v>黄茂明</v>
      </c>
      <c r="E2052" s="6" t="str">
        <f>"1998-11-17"</f>
        <v>1998-11-17</v>
      </c>
      <c r="F2052" s="6"/>
    </row>
    <row r="2053" spans="1:6" ht="30" customHeight="1">
      <c r="A2053" s="6">
        <v>2051</v>
      </c>
      <c r="B2053" s="6" t="str">
        <f>"2728202011252306412331"</f>
        <v>2728202011252306412331</v>
      </c>
      <c r="C2053" s="6" t="s">
        <v>9</v>
      </c>
      <c r="D2053" s="6" t="str">
        <f>"潘颖"</f>
        <v>潘颖</v>
      </c>
      <c r="E2053" s="6" t="str">
        <f>"1998-10-09"</f>
        <v>1998-10-09</v>
      </c>
      <c r="F2053" s="6"/>
    </row>
    <row r="2054" spans="1:6" ht="30" customHeight="1">
      <c r="A2054" s="6">
        <v>2052</v>
      </c>
      <c r="B2054" s="6" t="str">
        <f>"2728202011252319232335"</f>
        <v>2728202011252319232335</v>
      </c>
      <c r="C2054" s="6" t="s">
        <v>9</v>
      </c>
      <c r="D2054" s="6" t="str">
        <f>"徐静云"</f>
        <v>徐静云</v>
      </c>
      <c r="E2054" s="6" t="str">
        <f>"1990-09-29"</f>
        <v>1990-09-29</v>
      </c>
      <c r="F2054" s="6"/>
    </row>
    <row r="2055" spans="1:6" ht="30" customHeight="1">
      <c r="A2055" s="6">
        <v>2053</v>
      </c>
      <c r="B2055" s="6" t="str">
        <f>"2728202011260719092370"</f>
        <v>2728202011260719092370</v>
      </c>
      <c r="C2055" s="6" t="s">
        <v>9</v>
      </c>
      <c r="D2055" s="6" t="str">
        <f>"陈少凤"</f>
        <v>陈少凤</v>
      </c>
      <c r="E2055" s="6" t="str">
        <f>"1993-06-23"</f>
        <v>1993-06-23</v>
      </c>
      <c r="F2055" s="6"/>
    </row>
    <row r="2056" spans="1:6" ht="30" customHeight="1">
      <c r="A2056" s="6">
        <v>2054</v>
      </c>
      <c r="B2056" s="6" t="str">
        <f>"2728202011260723202371"</f>
        <v>2728202011260723202371</v>
      </c>
      <c r="C2056" s="6" t="s">
        <v>9</v>
      </c>
      <c r="D2056" s="6" t="str">
        <f>"徐家贝"</f>
        <v>徐家贝</v>
      </c>
      <c r="E2056" s="6" t="str">
        <f>"1996-03-26"</f>
        <v>1996-03-26</v>
      </c>
      <c r="F2056" s="6"/>
    </row>
    <row r="2057" spans="1:6" ht="30" customHeight="1">
      <c r="A2057" s="6">
        <v>2055</v>
      </c>
      <c r="B2057" s="6" t="str">
        <f>"2728202011260846562385"</f>
        <v>2728202011260846562385</v>
      </c>
      <c r="C2057" s="6" t="s">
        <v>9</v>
      </c>
      <c r="D2057" s="6" t="str">
        <f>"陈娜"</f>
        <v>陈娜</v>
      </c>
      <c r="E2057" s="6" t="str">
        <f>"1996-08-13"</f>
        <v>1996-08-13</v>
      </c>
      <c r="F2057" s="6"/>
    </row>
    <row r="2058" spans="1:6" ht="30" customHeight="1">
      <c r="A2058" s="6">
        <v>2056</v>
      </c>
      <c r="B2058" s="6" t="str">
        <f>"2728202011260901102387"</f>
        <v>2728202011260901102387</v>
      </c>
      <c r="C2058" s="6" t="s">
        <v>9</v>
      </c>
      <c r="D2058" s="6" t="str">
        <f>"罗通"</f>
        <v>罗通</v>
      </c>
      <c r="E2058" s="6" t="str">
        <f>"1991-07-16"</f>
        <v>1991-07-16</v>
      </c>
      <c r="F2058" s="6"/>
    </row>
    <row r="2059" spans="1:6" ht="30" customHeight="1">
      <c r="A2059" s="6">
        <v>2057</v>
      </c>
      <c r="B2059" s="6" t="str">
        <f>"2728202011260928152404"</f>
        <v>2728202011260928152404</v>
      </c>
      <c r="C2059" s="6" t="s">
        <v>9</v>
      </c>
      <c r="D2059" s="6" t="str">
        <f>"陈柳杏"</f>
        <v>陈柳杏</v>
      </c>
      <c r="E2059" s="6" t="str">
        <f>"1996-11-19"</f>
        <v>1996-11-19</v>
      </c>
      <c r="F2059" s="6"/>
    </row>
    <row r="2060" spans="1:6" ht="30" customHeight="1">
      <c r="A2060" s="6">
        <v>2058</v>
      </c>
      <c r="B2060" s="6" t="str">
        <f>"2728202011260939392410"</f>
        <v>2728202011260939392410</v>
      </c>
      <c r="C2060" s="6" t="s">
        <v>9</v>
      </c>
      <c r="D2060" s="6" t="str">
        <f>"欧康霞"</f>
        <v>欧康霞</v>
      </c>
      <c r="E2060" s="6" t="str">
        <f>"1996-07-25"</f>
        <v>1996-07-25</v>
      </c>
      <c r="F2060" s="6"/>
    </row>
    <row r="2061" spans="1:6" ht="30" customHeight="1">
      <c r="A2061" s="6">
        <v>2059</v>
      </c>
      <c r="B2061" s="6" t="str">
        <f>"2728202011261002082421"</f>
        <v>2728202011261002082421</v>
      </c>
      <c r="C2061" s="6" t="s">
        <v>9</v>
      </c>
      <c r="D2061" s="6" t="str">
        <f>"李玲玲"</f>
        <v>李玲玲</v>
      </c>
      <c r="E2061" s="6" t="str">
        <f>"1998-07-26"</f>
        <v>1998-07-26</v>
      </c>
      <c r="F2061" s="6"/>
    </row>
    <row r="2062" spans="1:6" ht="30" customHeight="1">
      <c r="A2062" s="6">
        <v>2060</v>
      </c>
      <c r="B2062" s="6" t="str">
        <f>"2728202011261124272456"</f>
        <v>2728202011261124272456</v>
      </c>
      <c r="C2062" s="6" t="s">
        <v>9</v>
      </c>
      <c r="D2062" s="6" t="str">
        <f>"纪新献"</f>
        <v>纪新献</v>
      </c>
      <c r="E2062" s="6" t="str">
        <f>"1994-08-04"</f>
        <v>1994-08-04</v>
      </c>
      <c r="F2062" s="6"/>
    </row>
    <row r="2063" spans="1:6" ht="30" customHeight="1">
      <c r="A2063" s="6">
        <v>2061</v>
      </c>
      <c r="B2063" s="6" t="str">
        <f>"2728202011261127102461"</f>
        <v>2728202011261127102461</v>
      </c>
      <c r="C2063" s="6" t="s">
        <v>9</v>
      </c>
      <c r="D2063" s="6" t="str">
        <f>"邢海云"</f>
        <v>邢海云</v>
      </c>
      <c r="E2063" s="6" t="str">
        <f>"1988-05-04"</f>
        <v>1988-05-04</v>
      </c>
      <c r="F2063" s="6"/>
    </row>
    <row r="2064" spans="1:6" ht="30" customHeight="1">
      <c r="A2064" s="6">
        <v>2062</v>
      </c>
      <c r="B2064" s="6" t="str">
        <f>"2728202011261129572463"</f>
        <v>2728202011261129572463</v>
      </c>
      <c r="C2064" s="6" t="s">
        <v>9</v>
      </c>
      <c r="D2064" s="6" t="str">
        <f>"王彩芳"</f>
        <v>王彩芳</v>
      </c>
      <c r="E2064" s="6" t="str">
        <f>"1993-03-23"</f>
        <v>1993-03-23</v>
      </c>
      <c r="F2064" s="6"/>
    </row>
    <row r="2065" spans="1:6" ht="30" customHeight="1">
      <c r="A2065" s="6">
        <v>2063</v>
      </c>
      <c r="B2065" s="6" t="str">
        <f>"2728202011261132542464"</f>
        <v>2728202011261132542464</v>
      </c>
      <c r="C2065" s="6" t="s">
        <v>9</v>
      </c>
      <c r="D2065" s="6" t="str">
        <f>"杨景番"</f>
        <v>杨景番</v>
      </c>
      <c r="E2065" s="6" t="str">
        <f>"1997-01-10"</f>
        <v>1997-01-10</v>
      </c>
      <c r="F2065" s="6"/>
    </row>
    <row r="2066" spans="1:6" ht="30" customHeight="1">
      <c r="A2066" s="6">
        <v>2064</v>
      </c>
      <c r="B2066" s="6" t="str">
        <f>"2728202011261139062467"</f>
        <v>2728202011261139062467</v>
      </c>
      <c r="C2066" s="6" t="s">
        <v>9</v>
      </c>
      <c r="D2066" s="6" t="str">
        <f>"欧阳利林"</f>
        <v>欧阳利林</v>
      </c>
      <c r="E2066" s="6" t="str">
        <f>"1991-11-27"</f>
        <v>1991-11-27</v>
      </c>
      <c r="F2066" s="6"/>
    </row>
    <row r="2067" spans="1:6" ht="30" customHeight="1">
      <c r="A2067" s="6">
        <v>2065</v>
      </c>
      <c r="B2067" s="6" t="str">
        <f>"2728202011261222592484"</f>
        <v>2728202011261222592484</v>
      </c>
      <c r="C2067" s="6" t="s">
        <v>9</v>
      </c>
      <c r="D2067" s="6" t="str">
        <f>"夏科明"</f>
        <v>夏科明</v>
      </c>
      <c r="E2067" s="6" t="str">
        <f>"1997-11-07"</f>
        <v>1997-11-07</v>
      </c>
      <c r="F2067" s="6"/>
    </row>
    <row r="2068" spans="1:6" ht="30" customHeight="1">
      <c r="A2068" s="6">
        <v>2066</v>
      </c>
      <c r="B2068" s="6" t="str">
        <f>"2728202011261253382500"</f>
        <v>2728202011261253382500</v>
      </c>
      <c r="C2068" s="6" t="s">
        <v>9</v>
      </c>
      <c r="D2068" s="6" t="str">
        <f>"王帝淦"</f>
        <v>王帝淦</v>
      </c>
      <c r="E2068" s="6" t="str">
        <f>"1998-09-12"</f>
        <v>1998-09-12</v>
      </c>
      <c r="F2068" s="6"/>
    </row>
    <row r="2069" spans="1:6" ht="30" customHeight="1">
      <c r="A2069" s="6">
        <v>2067</v>
      </c>
      <c r="B2069" s="6" t="str">
        <f>"2728202011261255502503"</f>
        <v>2728202011261255502503</v>
      </c>
      <c r="C2069" s="6" t="s">
        <v>9</v>
      </c>
      <c r="D2069" s="6" t="str">
        <f>"盛皓然"</f>
        <v>盛皓然</v>
      </c>
      <c r="E2069" s="6" t="str">
        <f>"1997-10-08"</f>
        <v>1997-10-08</v>
      </c>
      <c r="F2069" s="6"/>
    </row>
    <row r="2070" spans="1:6" ht="30" customHeight="1">
      <c r="A2070" s="6">
        <v>2068</v>
      </c>
      <c r="B2070" s="6" t="str">
        <f>"2728202011261301082509"</f>
        <v>2728202011261301082509</v>
      </c>
      <c r="C2070" s="6" t="s">
        <v>9</v>
      </c>
      <c r="D2070" s="6" t="str">
        <f>"邢淑娟"</f>
        <v>邢淑娟</v>
      </c>
      <c r="E2070" s="6" t="str">
        <f>"1994-09-22"</f>
        <v>1994-09-22</v>
      </c>
      <c r="F2070" s="6"/>
    </row>
    <row r="2071" spans="1:6" ht="30" customHeight="1">
      <c r="A2071" s="6">
        <v>2069</v>
      </c>
      <c r="B2071" s="6" t="str">
        <f>"2728202011261317012517"</f>
        <v>2728202011261317012517</v>
      </c>
      <c r="C2071" s="6" t="s">
        <v>9</v>
      </c>
      <c r="D2071" s="6" t="str">
        <f>"李小雨"</f>
        <v>李小雨</v>
      </c>
      <c r="E2071" s="6" t="str">
        <f>"1998-03-12"</f>
        <v>1998-03-12</v>
      </c>
      <c r="F2071" s="6"/>
    </row>
    <row r="2072" spans="1:6" ht="30" customHeight="1">
      <c r="A2072" s="6">
        <v>2070</v>
      </c>
      <c r="B2072" s="6" t="str">
        <f>"2728202011261326152522"</f>
        <v>2728202011261326152522</v>
      </c>
      <c r="C2072" s="6" t="s">
        <v>9</v>
      </c>
      <c r="D2072" s="6" t="str">
        <f>"吴美佳"</f>
        <v>吴美佳</v>
      </c>
      <c r="E2072" s="6" t="str">
        <f>"1996-10-29"</f>
        <v>1996-10-29</v>
      </c>
      <c r="F2072" s="6"/>
    </row>
    <row r="2073" spans="1:6" ht="30" customHeight="1">
      <c r="A2073" s="6">
        <v>2071</v>
      </c>
      <c r="B2073" s="6" t="str">
        <f>"2728202011261420302554"</f>
        <v>2728202011261420302554</v>
      </c>
      <c r="C2073" s="6" t="s">
        <v>9</v>
      </c>
      <c r="D2073" s="6" t="str">
        <f>"苏琼媚"</f>
        <v>苏琼媚</v>
      </c>
      <c r="E2073" s="6" t="str">
        <f>"1995-11-01"</f>
        <v>1995-11-01</v>
      </c>
      <c r="F2073" s="6"/>
    </row>
    <row r="2074" spans="1:6" ht="30" customHeight="1">
      <c r="A2074" s="6">
        <v>2072</v>
      </c>
      <c r="B2074" s="6" t="str">
        <f>"2728202011261422212555"</f>
        <v>2728202011261422212555</v>
      </c>
      <c r="C2074" s="6" t="s">
        <v>9</v>
      </c>
      <c r="D2074" s="6" t="str">
        <f>"符小慧"</f>
        <v>符小慧</v>
      </c>
      <c r="E2074" s="6" t="str">
        <f>"1995-04-04"</f>
        <v>1995-04-04</v>
      </c>
      <c r="F2074" s="6"/>
    </row>
    <row r="2075" spans="1:6" ht="30" customHeight="1">
      <c r="A2075" s="6">
        <v>2073</v>
      </c>
      <c r="B2075" s="6" t="str">
        <f>"2728202011261450122563"</f>
        <v>2728202011261450122563</v>
      </c>
      <c r="C2075" s="6" t="s">
        <v>9</v>
      </c>
      <c r="D2075" s="6" t="str">
        <f>"胡静雯"</f>
        <v>胡静雯</v>
      </c>
      <c r="E2075" s="6" t="str">
        <f>"1997-07-14"</f>
        <v>1997-07-14</v>
      </c>
      <c r="F2075" s="6"/>
    </row>
    <row r="2076" spans="1:6" ht="30" customHeight="1">
      <c r="A2076" s="6">
        <v>2074</v>
      </c>
      <c r="B2076" s="6" t="str">
        <f>"2728202011261513542573"</f>
        <v>2728202011261513542573</v>
      </c>
      <c r="C2076" s="6" t="s">
        <v>9</v>
      </c>
      <c r="D2076" s="6" t="str">
        <f>"苏初"</f>
        <v>苏初</v>
      </c>
      <c r="E2076" s="6" t="str">
        <f>"1993-04-15"</f>
        <v>1993-04-15</v>
      </c>
      <c r="F2076" s="6"/>
    </row>
    <row r="2077" spans="1:6" ht="30" customHeight="1">
      <c r="A2077" s="6">
        <v>2075</v>
      </c>
      <c r="B2077" s="6" t="str">
        <f>"2728202011261516442577"</f>
        <v>2728202011261516442577</v>
      </c>
      <c r="C2077" s="6" t="s">
        <v>9</v>
      </c>
      <c r="D2077" s="6" t="str">
        <f>"吴小妹"</f>
        <v>吴小妹</v>
      </c>
      <c r="E2077" s="6" t="str">
        <f>"1995-03-08"</f>
        <v>1995-03-08</v>
      </c>
      <c r="F2077" s="6"/>
    </row>
    <row r="2078" spans="1:6" ht="30" customHeight="1">
      <c r="A2078" s="6">
        <v>2076</v>
      </c>
      <c r="B2078" s="6" t="str">
        <f>"2728202011261529032582"</f>
        <v>2728202011261529032582</v>
      </c>
      <c r="C2078" s="6" t="s">
        <v>9</v>
      </c>
      <c r="D2078" s="6" t="str">
        <f>"黎文庄"</f>
        <v>黎文庄</v>
      </c>
      <c r="E2078" s="6" t="str">
        <f>"1998-03-04"</f>
        <v>1998-03-04</v>
      </c>
      <c r="F2078" s="6"/>
    </row>
    <row r="2079" spans="1:6" ht="30" customHeight="1">
      <c r="A2079" s="6">
        <v>2077</v>
      </c>
      <c r="B2079" s="6" t="str">
        <f>"2728202011261610022610"</f>
        <v>2728202011261610022610</v>
      </c>
      <c r="C2079" s="6" t="s">
        <v>9</v>
      </c>
      <c r="D2079" s="6" t="str">
        <f>"董娟"</f>
        <v>董娟</v>
      </c>
      <c r="E2079" s="6" t="str">
        <f>"1998-11-19"</f>
        <v>1998-11-19</v>
      </c>
      <c r="F2079" s="6"/>
    </row>
    <row r="2080" spans="1:6" ht="30" customHeight="1">
      <c r="A2080" s="6">
        <v>2078</v>
      </c>
      <c r="B2080" s="6" t="str">
        <f>"2728202011261633002628"</f>
        <v>2728202011261633002628</v>
      </c>
      <c r="C2080" s="6" t="s">
        <v>9</v>
      </c>
      <c r="D2080" s="6" t="str">
        <f>"赵河威"</f>
        <v>赵河威</v>
      </c>
      <c r="E2080" s="6" t="str">
        <f>"1998-12-28"</f>
        <v>1998-12-28</v>
      </c>
      <c r="F2080" s="6"/>
    </row>
    <row r="2081" spans="1:6" ht="30" customHeight="1">
      <c r="A2081" s="6">
        <v>2079</v>
      </c>
      <c r="B2081" s="6" t="str">
        <f>"27282020112009125343"</f>
        <v>27282020112009125343</v>
      </c>
      <c r="C2081" s="6" t="s">
        <v>10</v>
      </c>
      <c r="D2081" s="6" t="str">
        <f>"孙冲"</f>
        <v>孙冲</v>
      </c>
      <c r="E2081" s="6" t="str">
        <f>"1996-10-14"</f>
        <v>1996-10-14</v>
      </c>
      <c r="F2081" s="6"/>
    </row>
    <row r="2082" spans="1:6" ht="30" customHeight="1">
      <c r="A2082" s="6">
        <v>2080</v>
      </c>
      <c r="B2082" s="6" t="str">
        <f>"27282020112009452184"</f>
        <v>27282020112009452184</v>
      </c>
      <c r="C2082" s="6" t="s">
        <v>10</v>
      </c>
      <c r="D2082" s="6" t="str">
        <f>"蔡木琴"</f>
        <v>蔡木琴</v>
      </c>
      <c r="E2082" s="6" t="str">
        <f>"1996-09-02"</f>
        <v>1996-09-02</v>
      </c>
      <c r="F2082" s="6"/>
    </row>
    <row r="2083" spans="1:6" ht="30" customHeight="1">
      <c r="A2083" s="6">
        <v>2081</v>
      </c>
      <c r="B2083" s="6" t="str">
        <f>"272820201120100307115"</f>
        <v>272820201120100307115</v>
      </c>
      <c r="C2083" s="6" t="s">
        <v>10</v>
      </c>
      <c r="D2083" s="6" t="str">
        <f>"林鸿斌"</f>
        <v>林鸿斌</v>
      </c>
      <c r="E2083" s="6" t="str">
        <f>"1997-01-11"</f>
        <v>1997-01-11</v>
      </c>
      <c r="F2083" s="6"/>
    </row>
    <row r="2084" spans="1:6" ht="30" customHeight="1">
      <c r="A2084" s="6">
        <v>2082</v>
      </c>
      <c r="B2084" s="6" t="str">
        <f>"272820201120103303163"</f>
        <v>272820201120103303163</v>
      </c>
      <c r="C2084" s="6" t="s">
        <v>10</v>
      </c>
      <c r="D2084" s="6" t="str">
        <f>"陈景"</f>
        <v>陈景</v>
      </c>
      <c r="E2084" s="6" t="str">
        <f>"1992-06-14"</f>
        <v>1992-06-14</v>
      </c>
      <c r="F2084" s="6"/>
    </row>
    <row r="2085" spans="1:6" ht="30" customHeight="1">
      <c r="A2085" s="6">
        <v>2083</v>
      </c>
      <c r="B2085" s="6" t="str">
        <f>"272820201120110214194"</f>
        <v>272820201120110214194</v>
      </c>
      <c r="C2085" s="6" t="s">
        <v>10</v>
      </c>
      <c r="D2085" s="6" t="str">
        <f>"卓扬琴"</f>
        <v>卓扬琴</v>
      </c>
      <c r="E2085" s="6" t="str">
        <f>"1993-12-18"</f>
        <v>1993-12-18</v>
      </c>
      <c r="F2085" s="6"/>
    </row>
    <row r="2086" spans="1:6" ht="30" customHeight="1">
      <c r="A2086" s="6">
        <v>2084</v>
      </c>
      <c r="B2086" s="6" t="str">
        <f>"272820201120112452220"</f>
        <v>272820201120112452220</v>
      </c>
      <c r="C2086" s="6" t="s">
        <v>10</v>
      </c>
      <c r="D2086" s="6" t="str">
        <f>"王婕"</f>
        <v>王婕</v>
      </c>
      <c r="E2086" s="6" t="str">
        <f>"1996-11-22"</f>
        <v>1996-11-22</v>
      </c>
      <c r="F2086" s="6"/>
    </row>
    <row r="2087" spans="1:6" ht="30" customHeight="1">
      <c r="A2087" s="6">
        <v>2085</v>
      </c>
      <c r="B2087" s="6" t="str">
        <f>"272820201120113116225"</f>
        <v>272820201120113116225</v>
      </c>
      <c r="C2087" s="6" t="s">
        <v>10</v>
      </c>
      <c r="D2087" s="6" t="str">
        <f>"兰涛"</f>
        <v>兰涛</v>
      </c>
      <c r="E2087" s="6" t="str">
        <f>"1995-02-21"</f>
        <v>1995-02-21</v>
      </c>
      <c r="F2087" s="6"/>
    </row>
    <row r="2088" spans="1:6" ht="30" customHeight="1">
      <c r="A2088" s="6">
        <v>2086</v>
      </c>
      <c r="B2088" s="6" t="str">
        <f>"272820201120114133239"</f>
        <v>272820201120114133239</v>
      </c>
      <c r="C2088" s="6" t="s">
        <v>10</v>
      </c>
      <c r="D2088" s="6" t="str">
        <f>"邢梅冬"</f>
        <v>邢梅冬</v>
      </c>
      <c r="E2088" s="6" t="str">
        <f>"1996-05-07"</f>
        <v>1996-05-07</v>
      </c>
      <c r="F2088" s="6"/>
    </row>
    <row r="2089" spans="1:6" ht="30" customHeight="1">
      <c r="A2089" s="6">
        <v>2087</v>
      </c>
      <c r="B2089" s="6" t="str">
        <f>"272820201120120832262"</f>
        <v>272820201120120832262</v>
      </c>
      <c r="C2089" s="6" t="s">
        <v>10</v>
      </c>
      <c r="D2089" s="6" t="str">
        <f>"胡小菲"</f>
        <v>胡小菲</v>
      </c>
      <c r="E2089" s="6" t="str">
        <f>"1995-01-15"</f>
        <v>1995-01-15</v>
      </c>
      <c r="F2089" s="6"/>
    </row>
    <row r="2090" spans="1:6" ht="30" customHeight="1">
      <c r="A2090" s="6">
        <v>2088</v>
      </c>
      <c r="B2090" s="6" t="str">
        <f>"272820201120154342409"</f>
        <v>272820201120154342409</v>
      </c>
      <c r="C2090" s="6" t="s">
        <v>10</v>
      </c>
      <c r="D2090" s="6" t="str">
        <f>"容彩虹"</f>
        <v>容彩虹</v>
      </c>
      <c r="E2090" s="6" t="str">
        <f>"1995-08-13"</f>
        <v>1995-08-13</v>
      </c>
      <c r="F2090" s="6"/>
    </row>
    <row r="2091" spans="1:6" ht="30" customHeight="1">
      <c r="A2091" s="6">
        <v>2089</v>
      </c>
      <c r="B2091" s="6" t="str">
        <f>"272820201120162415449"</f>
        <v>272820201120162415449</v>
      </c>
      <c r="C2091" s="6" t="s">
        <v>10</v>
      </c>
      <c r="D2091" s="6" t="str">
        <f>"董薇"</f>
        <v>董薇</v>
      </c>
      <c r="E2091" s="6" t="str">
        <f>"1990-07-12"</f>
        <v>1990-07-12</v>
      </c>
      <c r="F2091" s="6"/>
    </row>
    <row r="2092" spans="1:6" ht="30" customHeight="1">
      <c r="A2092" s="6">
        <v>2090</v>
      </c>
      <c r="B2092" s="6" t="str">
        <f>"272820201120172638488"</f>
        <v>272820201120172638488</v>
      </c>
      <c r="C2092" s="6" t="s">
        <v>10</v>
      </c>
      <c r="D2092" s="6" t="str">
        <f>"刘斌"</f>
        <v>刘斌</v>
      </c>
      <c r="E2092" s="6" t="str">
        <f>"1997-08-29"</f>
        <v>1997-08-29</v>
      </c>
      <c r="F2092" s="6"/>
    </row>
    <row r="2093" spans="1:6" ht="30" customHeight="1">
      <c r="A2093" s="6">
        <v>2091</v>
      </c>
      <c r="B2093" s="6" t="str">
        <f>"272820201120174904503"</f>
        <v>272820201120174904503</v>
      </c>
      <c r="C2093" s="6" t="s">
        <v>10</v>
      </c>
      <c r="D2093" s="6" t="str">
        <f>"梁振广"</f>
        <v>梁振广</v>
      </c>
      <c r="E2093" s="6" t="str">
        <f>"1998-04-18"</f>
        <v>1998-04-18</v>
      </c>
      <c r="F2093" s="6"/>
    </row>
    <row r="2094" spans="1:6" ht="30" customHeight="1">
      <c r="A2094" s="6">
        <v>2092</v>
      </c>
      <c r="B2094" s="6" t="str">
        <f>"272820201120175142507"</f>
        <v>272820201120175142507</v>
      </c>
      <c r="C2094" s="6" t="s">
        <v>10</v>
      </c>
      <c r="D2094" s="6" t="str">
        <f>"李化蝶"</f>
        <v>李化蝶</v>
      </c>
      <c r="E2094" s="6" t="str">
        <f>"1994-02-14"</f>
        <v>1994-02-14</v>
      </c>
      <c r="F2094" s="6"/>
    </row>
    <row r="2095" spans="1:6" ht="30" customHeight="1">
      <c r="A2095" s="6">
        <v>2093</v>
      </c>
      <c r="B2095" s="6" t="str">
        <f>"272820201120182216523"</f>
        <v>272820201120182216523</v>
      </c>
      <c r="C2095" s="6" t="s">
        <v>10</v>
      </c>
      <c r="D2095" s="6" t="str">
        <f>"齐立艳"</f>
        <v>齐立艳</v>
      </c>
      <c r="E2095" s="6" t="str">
        <f>"1987-05-10"</f>
        <v>1987-05-10</v>
      </c>
      <c r="F2095" s="6"/>
    </row>
    <row r="2096" spans="1:6" ht="30" customHeight="1">
      <c r="A2096" s="6">
        <v>2094</v>
      </c>
      <c r="B2096" s="6" t="str">
        <f>"272820201120185316535"</f>
        <v>272820201120185316535</v>
      </c>
      <c r="C2096" s="6" t="s">
        <v>10</v>
      </c>
      <c r="D2096" s="6" t="str">
        <f>"吴生瑞"</f>
        <v>吴生瑞</v>
      </c>
      <c r="E2096" s="6" t="str">
        <f>"1996-08-11"</f>
        <v>1996-08-11</v>
      </c>
      <c r="F2096" s="6"/>
    </row>
    <row r="2097" spans="1:6" ht="30" customHeight="1">
      <c r="A2097" s="6">
        <v>2095</v>
      </c>
      <c r="B2097" s="6" t="str">
        <f>"272820201120193954558"</f>
        <v>272820201120193954558</v>
      </c>
      <c r="C2097" s="6" t="s">
        <v>10</v>
      </c>
      <c r="D2097" s="6" t="str">
        <f>"吉世娜"</f>
        <v>吉世娜</v>
      </c>
      <c r="E2097" s="6" t="str">
        <f>"1996-08-05"</f>
        <v>1996-08-05</v>
      </c>
      <c r="F2097" s="6"/>
    </row>
    <row r="2098" spans="1:6" ht="30" customHeight="1">
      <c r="A2098" s="6">
        <v>2096</v>
      </c>
      <c r="B2098" s="6" t="str">
        <f>"272820201120203832593"</f>
        <v>272820201120203832593</v>
      </c>
      <c r="C2098" s="6" t="s">
        <v>10</v>
      </c>
      <c r="D2098" s="6" t="str">
        <f>"周嘉珍"</f>
        <v>周嘉珍</v>
      </c>
      <c r="E2098" s="6" t="str">
        <f>"1996-05-21"</f>
        <v>1996-05-21</v>
      </c>
      <c r="F2098" s="6"/>
    </row>
    <row r="2099" spans="1:6" ht="30" customHeight="1">
      <c r="A2099" s="6">
        <v>2097</v>
      </c>
      <c r="B2099" s="6" t="str">
        <f>"272820201120205104604"</f>
        <v>272820201120205104604</v>
      </c>
      <c r="C2099" s="6" t="s">
        <v>10</v>
      </c>
      <c r="D2099" s="6" t="str">
        <f>"李学亮"</f>
        <v>李学亮</v>
      </c>
      <c r="E2099" s="6" t="str">
        <f>"1997-10-16"</f>
        <v>1997-10-16</v>
      </c>
      <c r="F2099" s="6"/>
    </row>
    <row r="2100" spans="1:6" ht="30" customHeight="1">
      <c r="A2100" s="6">
        <v>2098</v>
      </c>
      <c r="B2100" s="6" t="str">
        <f>"272820201120213149622"</f>
        <v>272820201120213149622</v>
      </c>
      <c r="C2100" s="6" t="s">
        <v>10</v>
      </c>
      <c r="D2100" s="6" t="str">
        <f>"徐月圆"</f>
        <v>徐月圆</v>
      </c>
      <c r="E2100" s="6" t="str">
        <f>"1997-11-22"</f>
        <v>1997-11-22</v>
      </c>
      <c r="F2100" s="6"/>
    </row>
    <row r="2101" spans="1:6" ht="30" customHeight="1">
      <c r="A2101" s="6">
        <v>2099</v>
      </c>
      <c r="B2101" s="6" t="str">
        <f>"272820201120230612661"</f>
        <v>272820201120230612661</v>
      </c>
      <c r="C2101" s="6" t="s">
        <v>10</v>
      </c>
      <c r="D2101" s="6" t="str">
        <f>"陈国景"</f>
        <v>陈国景</v>
      </c>
      <c r="E2101" s="6" t="str">
        <f>"1997-07-22"</f>
        <v>1997-07-22</v>
      </c>
      <c r="F2101" s="6"/>
    </row>
    <row r="2102" spans="1:6" ht="30" customHeight="1">
      <c r="A2102" s="6">
        <v>2100</v>
      </c>
      <c r="B2102" s="6" t="str">
        <f>"272820201120234919674"</f>
        <v>272820201120234919674</v>
      </c>
      <c r="C2102" s="6" t="s">
        <v>10</v>
      </c>
      <c r="D2102" s="6" t="str">
        <f>"陈虹"</f>
        <v>陈虹</v>
      </c>
      <c r="E2102" s="6" t="str">
        <f>"1996-01-23"</f>
        <v>1996-01-23</v>
      </c>
      <c r="F2102" s="6"/>
    </row>
    <row r="2103" spans="1:6" ht="30" customHeight="1">
      <c r="A2103" s="6">
        <v>2101</v>
      </c>
      <c r="B2103" s="6" t="str">
        <f>"272820201121105704746"</f>
        <v>272820201121105704746</v>
      </c>
      <c r="C2103" s="6" t="s">
        <v>10</v>
      </c>
      <c r="D2103" s="6" t="str">
        <f>"何宇平"</f>
        <v>何宇平</v>
      </c>
      <c r="E2103" s="6" t="str">
        <f>"1997-09-30"</f>
        <v>1997-09-30</v>
      </c>
      <c r="F2103" s="6"/>
    </row>
    <row r="2104" spans="1:6" ht="30" customHeight="1">
      <c r="A2104" s="6">
        <v>2102</v>
      </c>
      <c r="B2104" s="6" t="str">
        <f>"272820201121141441813"</f>
        <v>272820201121141441813</v>
      </c>
      <c r="C2104" s="6" t="s">
        <v>10</v>
      </c>
      <c r="D2104" s="6" t="str">
        <f>"杨硕"</f>
        <v>杨硕</v>
      </c>
      <c r="E2104" s="6" t="str">
        <f>"1998-01-12"</f>
        <v>1998-01-12</v>
      </c>
      <c r="F2104" s="6"/>
    </row>
    <row r="2105" spans="1:6" ht="30" customHeight="1">
      <c r="A2105" s="6">
        <v>2103</v>
      </c>
      <c r="B2105" s="6" t="str">
        <f>"272820201121152507835"</f>
        <v>272820201121152507835</v>
      </c>
      <c r="C2105" s="6" t="s">
        <v>10</v>
      </c>
      <c r="D2105" s="6" t="str">
        <f>"蒙美植"</f>
        <v>蒙美植</v>
      </c>
      <c r="E2105" s="6" t="str">
        <f>"1997-05-08"</f>
        <v>1997-05-08</v>
      </c>
      <c r="F2105" s="6"/>
    </row>
    <row r="2106" spans="1:6" ht="30" customHeight="1">
      <c r="A2106" s="6">
        <v>2104</v>
      </c>
      <c r="B2106" s="6" t="str">
        <f>"272820201121162359849"</f>
        <v>272820201121162359849</v>
      </c>
      <c r="C2106" s="6" t="s">
        <v>10</v>
      </c>
      <c r="D2106" s="6" t="str">
        <f>"邓南弟"</f>
        <v>邓南弟</v>
      </c>
      <c r="E2106" s="6" t="str">
        <f>"1996-11-07"</f>
        <v>1996-11-07</v>
      </c>
      <c r="F2106" s="6"/>
    </row>
    <row r="2107" spans="1:6" ht="30" customHeight="1">
      <c r="A2107" s="6">
        <v>2105</v>
      </c>
      <c r="B2107" s="6" t="str">
        <f>"272820201121194657910"</f>
        <v>272820201121194657910</v>
      </c>
      <c r="C2107" s="6" t="s">
        <v>10</v>
      </c>
      <c r="D2107" s="6" t="str">
        <f>"赵婷"</f>
        <v>赵婷</v>
      </c>
      <c r="E2107" s="6" t="str">
        <f>"1998-01-22"</f>
        <v>1998-01-22</v>
      </c>
      <c r="F2107" s="6"/>
    </row>
    <row r="2108" spans="1:6" ht="30" customHeight="1">
      <c r="A2108" s="6">
        <v>2106</v>
      </c>
      <c r="B2108" s="6" t="str">
        <f>"272820201121205322930"</f>
        <v>272820201121205322930</v>
      </c>
      <c r="C2108" s="6" t="s">
        <v>10</v>
      </c>
      <c r="D2108" s="6" t="str">
        <f>"黎凯妤"</f>
        <v>黎凯妤</v>
      </c>
      <c r="E2108" s="6" t="str">
        <f>"1997-02-16"</f>
        <v>1997-02-16</v>
      </c>
      <c r="F2108" s="6"/>
    </row>
    <row r="2109" spans="1:6" ht="30" customHeight="1">
      <c r="A2109" s="6">
        <v>2107</v>
      </c>
      <c r="B2109" s="6" t="str">
        <f>"272820201121212530941"</f>
        <v>272820201121212530941</v>
      </c>
      <c r="C2109" s="6" t="s">
        <v>10</v>
      </c>
      <c r="D2109" s="6" t="str">
        <f>"李辉坤"</f>
        <v>李辉坤</v>
      </c>
      <c r="E2109" s="6" t="str">
        <f>"1986-12-16"</f>
        <v>1986-12-16</v>
      </c>
      <c r="F2109" s="6"/>
    </row>
    <row r="2110" spans="1:6" ht="30" customHeight="1">
      <c r="A2110" s="6">
        <v>2108</v>
      </c>
      <c r="B2110" s="6" t="str">
        <f>"272820201121220735957"</f>
        <v>272820201121220735957</v>
      </c>
      <c r="C2110" s="6" t="s">
        <v>10</v>
      </c>
      <c r="D2110" s="6" t="str">
        <f>"梁郁琪"</f>
        <v>梁郁琪</v>
      </c>
      <c r="E2110" s="6" t="str">
        <f>"1994-03-25"</f>
        <v>1994-03-25</v>
      </c>
      <c r="F2110" s="6"/>
    </row>
    <row r="2111" spans="1:6" ht="30" customHeight="1">
      <c r="A2111" s="6">
        <v>2109</v>
      </c>
      <c r="B2111" s="6" t="str">
        <f>"2728202011221039301032"</f>
        <v>2728202011221039301032</v>
      </c>
      <c r="C2111" s="6" t="s">
        <v>10</v>
      </c>
      <c r="D2111" s="6" t="str">
        <f>"李鹏"</f>
        <v>李鹏</v>
      </c>
      <c r="E2111" s="6" t="str">
        <f>"1990-02-17"</f>
        <v>1990-02-17</v>
      </c>
      <c r="F2111" s="6"/>
    </row>
    <row r="2112" spans="1:6" ht="30" customHeight="1">
      <c r="A2112" s="6">
        <v>2110</v>
      </c>
      <c r="B2112" s="6" t="str">
        <f>"2728202011221522581116"</f>
        <v>2728202011221522581116</v>
      </c>
      <c r="C2112" s="6" t="s">
        <v>10</v>
      </c>
      <c r="D2112" s="6" t="str">
        <f>"林一峰"</f>
        <v>林一峰</v>
      </c>
      <c r="E2112" s="6" t="str">
        <f>"1997-03-18"</f>
        <v>1997-03-18</v>
      </c>
      <c r="F2112" s="6"/>
    </row>
    <row r="2113" spans="1:6" ht="30" customHeight="1">
      <c r="A2113" s="6">
        <v>2111</v>
      </c>
      <c r="B2113" s="6" t="str">
        <f>"2728202011221558211128"</f>
        <v>2728202011221558211128</v>
      </c>
      <c r="C2113" s="6" t="s">
        <v>10</v>
      </c>
      <c r="D2113" s="6" t="str">
        <f>"陈广献"</f>
        <v>陈广献</v>
      </c>
      <c r="E2113" s="6" t="str">
        <f>"1989-02-28"</f>
        <v>1989-02-28</v>
      </c>
      <c r="F2113" s="6"/>
    </row>
    <row r="2114" spans="1:6" ht="30" customHeight="1">
      <c r="A2114" s="6">
        <v>2112</v>
      </c>
      <c r="B2114" s="6" t="str">
        <f>"2728202011221800371152"</f>
        <v>2728202011221800371152</v>
      </c>
      <c r="C2114" s="6" t="s">
        <v>10</v>
      </c>
      <c r="D2114" s="6" t="str">
        <f>"董吉芬"</f>
        <v>董吉芬</v>
      </c>
      <c r="E2114" s="6" t="str">
        <f>"1989-10-01"</f>
        <v>1989-10-01</v>
      </c>
      <c r="F2114" s="6"/>
    </row>
    <row r="2115" spans="1:6" ht="30" customHeight="1">
      <c r="A2115" s="6">
        <v>2113</v>
      </c>
      <c r="B2115" s="6" t="str">
        <f>"2728202011222111551229"</f>
        <v>2728202011222111551229</v>
      </c>
      <c r="C2115" s="6" t="s">
        <v>10</v>
      </c>
      <c r="D2115" s="6" t="str">
        <f>"涂磊"</f>
        <v>涂磊</v>
      </c>
      <c r="E2115" s="6" t="str">
        <f>"1998-02-11"</f>
        <v>1998-02-11</v>
      </c>
      <c r="F2115" s="6"/>
    </row>
    <row r="2116" spans="1:6" ht="30" customHeight="1">
      <c r="A2116" s="6">
        <v>2114</v>
      </c>
      <c r="B2116" s="6" t="str">
        <f>"2728202011222128541235"</f>
        <v>2728202011222128541235</v>
      </c>
      <c r="C2116" s="6" t="s">
        <v>10</v>
      </c>
      <c r="D2116" s="6" t="str">
        <f>"陈献鹏"</f>
        <v>陈献鹏</v>
      </c>
      <c r="E2116" s="6" t="str">
        <f>"1996-03-01"</f>
        <v>1996-03-01</v>
      </c>
      <c r="F2116" s="6"/>
    </row>
    <row r="2117" spans="1:6" ht="30" customHeight="1">
      <c r="A2117" s="6">
        <v>2115</v>
      </c>
      <c r="B2117" s="6" t="str">
        <f>"2728202011222242261271"</f>
        <v>2728202011222242261271</v>
      </c>
      <c r="C2117" s="6" t="s">
        <v>10</v>
      </c>
      <c r="D2117" s="6" t="str">
        <f>"曹瀚"</f>
        <v>曹瀚</v>
      </c>
      <c r="E2117" s="6" t="str">
        <f>"1990-02-18"</f>
        <v>1990-02-18</v>
      </c>
      <c r="F2117" s="6"/>
    </row>
    <row r="2118" spans="1:6" ht="30" customHeight="1">
      <c r="A2118" s="6">
        <v>2116</v>
      </c>
      <c r="B2118" s="6" t="str">
        <f>"2728202011230955111364"</f>
        <v>2728202011230955111364</v>
      </c>
      <c r="C2118" s="6" t="s">
        <v>10</v>
      </c>
      <c r="D2118" s="6" t="str">
        <f>"韦良宗"</f>
        <v>韦良宗</v>
      </c>
      <c r="E2118" s="6" t="str">
        <f>"1996-04-27"</f>
        <v>1996-04-27</v>
      </c>
      <c r="F2118" s="6"/>
    </row>
    <row r="2119" spans="1:6" ht="30" customHeight="1">
      <c r="A2119" s="6">
        <v>2117</v>
      </c>
      <c r="B2119" s="6" t="str">
        <f>"2728202011231119261410"</f>
        <v>2728202011231119261410</v>
      </c>
      <c r="C2119" s="6" t="s">
        <v>10</v>
      </c>
      <c r="D2119" s="6" t="str">
        <f>"陈秋婷"</f>
        <v>陈秋婷</v>
      </c>
      <c r="E2119" s="6" t="str">
        <f>"1994-01-17"</f>
        <v>1994-01-17</v>
      </c>
      <c r="F2119" s="6"/>
    </row>
    <row r="2120" spans="1:6" ht="30" customHeight="1">
      <c r="A2120" s="6">
        <v>2118</v>
      </c>
      <c r="B2120" s="6" t="str">
        <f>"2728202011231138331425"</f>
        <v>2728202011231138331425</v>
      </c>
      <c r="C2120" s="6" t="s">
        <v>10</v>
      </c>
      <c r="D2120" s="6" t="str">
        <f>"王开城"</f>
        <v>王开城</v>
      </c>
      <c r="E2120" s="6" t="str">
        <f>"1992-02-10"</f>
        <v>1992-02-10</v>
      </c>
      <c r="F2120" s="6"/>
    </row>
    <row r="2121" spans="1:6" ht="30" customHeight="1">
      <c r="A2121" s="6">
        <v>2119</v>
      </c>
      <c r="B2121" s="6" t="str">
        <f>"2728202011231223111442"</f>
        <v>2728202011231223111442</v>
      </c>
      <c r="C2121" s="6" t="s">
        <v>10</v>
      </c>
      <c r="D2121" s="6" t="str">
        <f>"李天录"</f>
        <v>李天录</v>
      </c>
      <c r="E2121" s="6" t="str">
        <f>"1994-03-02"</f>
        <v>1994-03-02</v>
      </c>
      <c r="F2121" s="6"/>
    </row>
    <row r="2122" spans="1:6" ht="30" customHeight="1">
      <c r="A2122" s="6">
        <v>2120</v>
      </c>
      <c r="B2122" s="6" t="str">
        <f>"2728202011231509301493"</f>
        <v>2728202011231509301493</v>
      </c>
      <c r="C2122" s="6" t="s">
        <v>10</v>
      </c>
      <c r="D2122" s="6" t="str">
        <f>"董舒仙"</f>
        <v>董舒仙</v>
      </c>
      <c r="E2122" s="6" t="str">
        <f>"1994-03-08"</f>
        <v>1994-03-08</v>
      </c>
      <c r="F2122" s="6"/>
    </row>
    <row r="2123" spans="1:6" ht="30" customHeight="1">
      <c r="A2123" s="6">
        <v>2121</v>
      </c>
      <c r="B2123" s="6" t="str">
        <f>"2728202011231657411542"</f>
        <v>2728202011231657411542</v>
      </c>
      <c r="C2123" s="6" t="s">
        <v>10</v>
      </c>
      <c r="D2123" s="6" t="str">
        <f>"陈首乾"</f>
        <v>陈首乾</v>
      </c>
      <c r="E2123" s="6" t="str">
        <f>"1999-01-31"</f>
        <v>1999-01-31</v>
      </c>
      <c r="F2123" s="6"/>
    </row>
    <row r="2124" spans="1:6" ht="30" customHeight="1">
      <c r="A2124" s="6">
        <v>2122</v>
      </c>
      <c r="B2124" s="6" t="str">
        <f>"2728202011232201411653"</f>
        <v>2728202011232201411653</v>
      </c>
      <c r="C2124" s="6" t="s">
        <v>10</v>
      </c>
      <c r="D2124" s="6" t="str">
        <f>"高人钦"</f>
        <v>高人钦</v>
      </c>
      <c r="E2124" s="6" t="str">
        <f>"1998-05-05"</f>
        <v>1998-05-05</v>
      </c>
      <c r="F2124" s="6"/>
    </row>
    <row r="2125" spans="1:6" ht="30" customHeight="1">
      <c r="A2125" s="6">
        <v>2123</v>
      </c>
      <c r="B2125" s="6" t="str">
        <f>"2728202011240034531680"</f>
        <v>2728202011240034531680</v>
      </c>
      <c r="C2125" s="6" t="s">
        <v>10</v>
      </c>
      <c r="D2125" s="6" t="str">
        <f>"董健"</f>
        <v>董健</v>
      </c>
      <c r="E2125" s="6" t="str">
        <f>"1998-10-02"</f>
        <v>1998-10-02</v>
      </c>
      <c r="F2125" s="6"/>
    </row>
    <row r="2126" spans="1:6" ht="30" customHeight="1">
      <c r="A2126" s="6">
        <v>2124</v>
      </c>
      <c r="B2126" s="6" t="str">
        <f>"2728202011241029051740"</f>
        <v>2728202011241029051740</v>
      </c>
      <c r="C2126" s="6" t="s">
        <v>10</v>
      </c>
      <c r="D2126" s="6" t="str">
        <f>"王礼韬"</f>
        <v>王礼韬</v>
      </c>
      <c r="E2126" s="6" t="str">
        <f>"1998-08-02"</f>
        <v>1998-08-02</v>
      </c>
      <c r="F2126" s="6"/>
    </row>
    <row r="2127" spans="1:6" ht="30" customHeight="1">
      <c r="A2127" s="6">
        <v>2125</v>
      </c>
      <c r="B2127" s="6" t="str">
        <f>"2728202011241101511753"</f>
        <v>2728202011241101511753</v>
      </c>
      <c r="C2127" s="6" t="s">
        <v>10</v>
      </c>
      <c r="D2127" s="6" t="str">
        <f>"廖苓杏"</f>
        <v>廖苓杏</v>
      </c>
      <c r="E2127" s="6" t="str">
        <f>"1995-07-16"</f>
        <v>1995-07-16</v>
      </c>
      <c r="F2127" s="6"/>
    </row>
    <row r="2128" spans="1:6" ht="30" customHeight="1">
      <c r="A2128" s="6">
        <v>2126</v>
      </c>
      <c r="B2128" s="6" t="str">
        <f>"2728202011241154341772"</f>
        <v>2728202011241154341772</v>
      </c>
      <c r="C2128" s="6" t="s">
        <v>10</v>
      </c>
      <c r="D2128" s="6" t="str">
        <f>"李培锦"</f>
        <v>李培锦</v>
      </c>
      <c r="E2128" s="6" t="str">
        <f>"1987-11-16"</f>
        <v>1987-11-16</v>
      </c>
      <c r="F2128" s="6"/>
    </row>
    <row r="2129" spans="1:6" ht="30" customHeight="1">
      <c r="A2129" s="6">
        <v>2127</v>
      </c>
      <c r="B2129" s="6" t="str">
        <f>"2728202011241550041844"</f>
        <v>2728202011241550041844</v>
      </c>
      <c r="C2129" s="6" t="s">
        <v>10</v>
      </c>
      <c r="D2129" s="6" t="str">
        <f>"柯青庆"</f>
        <v>柯青庆</v>
      </c>
      <c r="E2129" s="6" t="str">
        <f>"1997-09-09"</f>
        <v>1997-09-09</v>
      </c>
      <c r="F2129" s="6"/>
    </row>
    <row r="2130" spans="1:6" ht="30" customHeight="1">
      <c r="A2130" s="6">
        <v>2128</v>
      </c>
      <c r="B2130" s="6" t="str">
        <f>"2728202011242213071960"</f>
        <v>2728202011242213071960</v>
      </c>
      <c r="C2130" s="6" t="s">
        <v>10</v>
      </c>
      <c r="D2130" s="6" t="str">
        <f>"梁元君"</f>
        <v>梁元君</v>
      </c>
      <c r="E2130" s="6" t="str">
        <f>"1996-10-31"</f>
        <v>1996-10-31</v>
      </c>
      <c r="F2130" s="6"/>
    </row>
    <row r="2131" spans="1:6" ht="30" customHeight="1">
      <c r="A2131" s="6">
        <v>2129</v>
      </c>
      <c r="B2131" s="6" t="str">
        <f>"2728202011242217511961"</f>
        <v>2728202011242217511961</v>
      </c>
      <c r="C2131" s="6" t="s">
        <v>10</v>
      </c>
      <c r="D2131" s="6" t="str">
        <f>"黎灵晶"</f>
        <v>黎灵晶</v>
      </c>
      <c r="E2131" s="6" t="str">
        <f>"1985-02-12"</f>
        <v>1985-02-12</v>
      </c>
      <c r="F2131" s="6"/>
    </row>
    <row r="2132" spans="1:6" ht="30" customHeight="1">
      <c r="A2132" s="6">
        <v>2130</v>
      </c>
      <c r="B2132" s="6" t="str">
        <f>"2728202011250912092019"</f>
        <v>2728202011250912092019</v>
      </c>
      <c r="C2132" s="6" t="s">
        <v>10</v>
      </c>
      <c r="D2132" s="6" t="str">
        <f>"陈巧"</f>
        <v>陈巧</v>
      </c>
      <c r="E2132" s="6" t="str">
        <f>"1992-08-05"</f>
        <v>1992-08-05</v>
      </c>
      <c r="F2132" s="6"/>
    </row>
    <row r="2133" spans="1:6" ht="30" customHeight="1">
      <c r="A2133" s="6">
        <v>2131</v>
      </c>
      <c r="B2133" s="6" t="str">
        <f>"2728202011250956442030"</f>
        <v>2728202011250956442030</v>
      </c>
      <c r="C2133" s="6" t="s">
        <v>10</v>
      </c>
      <c r="D2133" s="6" t="str">
        <f>"朱玉霞"</f>
        <v>朱玉霞</v>
      </c>
      <c r="E2133" s="6" t="str">
        <f>"1993-01-03"</f>
        <v>1993-01-03</v>
      </c>
      <c r="F2133" s="6"/>
    </row>
    <row r="2134" spans="1:6" ht="30" customHeight="1">
      <c r="A2134" s="6">
        <v>2132</v>
      </c>
      <c r="B2134" s="6" t="str">
        <f>"2728202011251144262070"</f>
        <v>2728202011251144262070</v>
      </c>
      <c r="C2134" s="6" t="s">
        <v>10</v>
      </c>
      <c r="D2134" s="6" t="str">
        <f>"王佩茹"</f>
        <v>王佩茹</v>
      </c>
      <c r="E2134" s="6" t="str">
        <f>"1996-07-27"</f>
        <v>1996-07-27</v>
      </c>
      <c r="F2134" s="6"/>
    </row>
    <row r="2135" spans="1:6" ht="30" customHeight="1">
      <c r="A2135" s="6">
        <v>2133</v>
      </c>
      <c r="B2135" s="6" t="str">
        <f>"2728202011251154142074"</f>
        <v>2728202011251154142074</v>
      </c>
      <c r="C2135" s="6" t="s">
        <v>10</v>
      </c>
      <c r="D2135" s="6" t="str">
        <f>"钟斌"</f>
        <v>钟斌</v>
      </c>
      <c r="E2135" s="6" t="str">
        <f>"1996-04-03"</f>
        <v>1996-04-03</v>
      </c>
      <c r="F2135" s="6"/>
    </row>
    <row r="2136" spans="1:6" ht="30" customHeight="1">
      <c r="A2136" s="6">
        <v>2134</v>
      </c>
      <c r="B2136" s="6" t="str">
        <f>"2728202011251518352133"</f>
        <v>2728202011251518352133</v>
      </c>
      <c r="C2136" s="6" t="s">
        <v>10</v>
      </c>
      <c r="D2136" s="6" t="str">
        <f>"林昌俊"</f>
        <v>林昌俊</v>
      </c>
      <c r="E2136" s="6" t="str">
        <f>"2000-10-08"</f>
        <v>2000-10-08</v>
      </c>
      <c r="F2136" s="6"/>
    </row>
    <row r="2137" spans="1:6" ht="30" customHeight="1">
      <c r="A2137" s="6">
        <v>2135</v>
      </c>
      <c r="B2137" s="6" t="str">
        <f>"2728202011251629172155"</f>
        <v>2728202011251629172155</v>
      </c>
      <c r="C2137" s="6" t="s">
        <v>10</v>
      </c>
      <c r="D2137" s="6" t="str">
        <f>"邢成涛"</f>
        <v>邢成涛</v>
      </c>
      <c r="E2137" s="6" t="str">
        <f>"1996-11-20"</f>
        <v>1996-11-20</v>
      </c>
      <c r="F2137" s="6"/>
    </row>
    <row r="2138" spans="1:6" ht="30" customHeight="1">
      <c r="A2138" s="6">
        <v>2136</v>
      </c>
      <c r="B2138" s="6" t="str">
        <f>"2728202011252220192304"</f>
        <v>2728202011252220192304</v>
      </c>
      <c r="C2138" s="6" t="s">
        <v>10</v>
      </c>
      <c r="D2138" s="6" t="str">
        <f>"周莹莉"</f>
        <v>周莹莉</v>
      </c>
      <c r="E2138" s="6" t="str">
        <f>"1997-10-27"</f>
        <v>1997-10-27</v>
      </c>
      <c r="F2138" s="6"/>
    </row>
    <row r="2139" spans="1:6" ht="30" customHeight="1">
      <c r="A2139" s="6">
        <v>2137</v>
      </c>
      <c r="B2139" s="6" t="str">
        <f>"2728202011252249022321"</f>
        <v>2728202011252249022321</v>
      </c>
      <c r="C2139" s="6" t="s">
        <v>10</v>
      </c>
      <c r="D2139" s="6" t="str">
        <f>"吴钟斌"</f>
        <v>吴钟斌</v>
      </c>
      <c r="E2139" s="6" t="str">
        <f>"1998-08-10"</f>
        <v>1998-08-10</v>
      </c>
      <c r="F2139" s="6"/>
    </row>
    <row r="2140" spans="1:6" ht="30" customHeight="1">
      <c r="A2140" s="6">
        <v>2138</v>
      </c>
      <c r="B2140" s="6" t="str">
        <f>"2728202011260016472352"</f>
        <v>2728202011260016472352</v>
      </c>
      <c r="C2140" s="6" t="s">
        <v>10</v>
      </c>
      <c r="D2140" s="6" t="str">
        <f>"梁观健"</f>
        <v>梁观健</v>
      </c>
      <c r="E2140" s="6" t="str">
        <f>"1996-10-02"</f>
        <v>1996-10-02</v>
      </c>
      <c r="F2140" s="6"/>
    </row>
    <row r="2141" spans="1:6" ht="30" customHeight="1">
      <c r="A2141" s="6">
        <v>2139</v>
      </c>
      <c r="B2141" s="6" t="str">
        <f>"2728202011260130092365"</f>
        <v>2728202011260130092365</v>
      </c>
      <c r="C2141" s="6" t="s">
        <v>10</v>
      </c>
      <c r="D2141" s="6" t="str">
        <f>"黄新雄"</f>
        <v>黄新雄</v>
      </c>
      <c r="E2141" s="6" t="str">
        <f>"1997-12-01"</f>
        <v>1997-12-01</v>
      </c>
      <c r="F2141" s="6"/>
    </row>
    <row r="2142" spans="1:6" ht="30" customHeight="1">
      <c r="A2142" s="6">
        <v>2140</v>
      </c>
      <c r="B2142" s="6" t="str">
        <f>"2728202011260910322391"</f>
        <v>2728202011260910322391</v>
      </c>
      <c r="C2142" s="6" t="s">
        <v>10</v>
      </c>
      <c r="D2142" s="6" t="str">
        <f>"唐萍"</f>
        <v>唐萍</v>
      </c>
      <c r="E2142" s="6" t="str">
        <f>"1987-12-24"</f>
        <v>1987-12-24</v>
      </c>
      <c r="F2142" s="6"/>
    </row>
    <row r="2143" spans="1:6" ht="30" customHeight="1">
      <c r="A2143" s="6">
        <v>2141</v>
      </c>
      <c r="B2143" s="6" t="str">
        <f>"2728202011261257372505"</f>
        <v>2728202011261257372505</v>
      </c>
      <c r="C2143" s="6" t="s">
        <v>10</v>
      </c>
      <c r="D2143" s="6" t="str">
        <f>"赵文航"</f>
        <v>赵文航</v>
      </c>
      <c r="E2143" s="6" t="str">
        <f>"1997-08-24"</f>
        <v>1997-08-24</v>
      </c>
      <c r="F2143" s="6"/>
    </row>
    <row r="2144" spans="1:6" ht="30" customHeight="1">
      <c r="A2144" s="6">
        <v>2142</v>
      </c>
      <c r="B2144" s="6" t="str">
        <f>"2728202011261322352520"</f>
        <v>2728202011261322352520</v>
      </c>
      <c r="C2144" s="6" t="s">
        <v>10</v>
      </c>
      <c r="D2144" s="6" t="str">
        <f>"余孙艺"</f>
        <v>余孙艺</v>
      </c>
      <c r="E2144" s="6" t="str">
        <f>"1992-01-17"</f>
        <v>1992-01-17</v>
      </c>
      <c r="F2144" s="6"/>
    </row>
    <row r="2145" spans="1:6" ht="30" customHeight="1">
      <c r="A2145" s="6">
        <v>2143</v>
      </c>
      <c r="B2145" s="6" t="str">
        <f>"2728202011261358242541"</f>
        <v>2728202011261358242541</v>
      </c>
      <c r="C2145" s="6" t="s">
        <v>10</v>
      </c>
      <c r="D2145" s="6" t="str">
        <f>"周晓彤"</f>
        <v>周晓彤</v>
      </c>
      <c r="E2145" s="6" t="str">
        <f>"2000-10-06"</f>
        <v>2000-10-06</v>
      </c>
      <c r="F2145" s="6"/>
    </row>
    <row r="2146" spans="1:6" ht="30" customHeight="1">
      <c r="A2146" s="6">
        <v>2144</v>
      </c>
      <c r="B2146" s="6" t="str">
        <f>"2728202011261415272550"</f>
        <v>2728202011261415272550</v>
      </c>
      <c r="C2146" s="6" t="s">
        <v>10</v>
      </c>
      <c r="D2146" s="6" t="str">
        <f>"陈秀妹"</f>
        <v>陈秀妹</v>
      </c>
      <c r="E2146" s="6" t="str">
        <f>"1995-05-08"</f>
        <v>1995-05-08</v>
      </c>
      <c r="F2146" s="6"/>
    </row>
    <row r="2147" spans="1:6" ht="30" customHeight="1">
      <c r="A2147" s="6">
        <v>2145</v>
      </c>
      <c r="B2147" s="6" t="str">
        <f>"2728202011261605112606"</f>
        <v>2728202011261605112606</v>
      </c>
      <c r="C2147" s="6" t="s">
        <v>10</v>
      </c>
      <c r="D2147" s="6" t="str">
        <f>"董怀燕"</f>
        <v>董怀燕</v>
      </c>
      <c r="E2147" s="6" t="str">
        <f>"1997-09-29"</f>
        <v>1997-09-29</v>
      </c>
      <c r="F2147" s="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2020-11-27T09:07:34Z</dcterms:created>
  <dcterms:modified xsi:type="dcterms:W3CDTF">2020-12-01T04:51:00Z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