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护理" sheetId="1" r:id="rId1"/>
    <sheet name="医师、康复" sheetId="2" r:id="rId2"/>
    <sheet name="放射" sheetId="3" r:id="rId3"/>
    <sheet name="药剂、超声" sheetId="4" r:id="rId4"/>
    <sheet name="检验" sheetId="5" r:id="rId5"/>
  </sheets>
  <definedNames/>
  <calcPr fullCalcOnLoad="1"/>
</workbook>
</file>

<file path=xl/sharedStrings.xml><?xml version="1.0" encoding="utf-8"?>
<sst xmlns="http://schemas.openxmlformats.org/spreadsheetml/2006/main" count="537" uniqueCount="138">
  <si>
    <t>陵水黎族自治县第二人民医院（河北医科大学第一医院陵水分院）公开招聘考试护理综合成绩</t>
  </si>
  <si>
    <t>岗位</t>
  </si>
  <si>
    <t>姓名</t>
  </si>
  <si>
    <t>性别</t>
  </si>
  <si>
    <t>身份证号码</t>
  </si>
  <si>
    <t>综合成绩</t>
  </si>
  <si>
    <t>排名</t>
  </si>
  <si>
    <t>护理5</t>
  </si>
  <si>
    <t>护理10</t>
  </si>
  <si>
    <t>郑小香</t>
  </si>
  <si>
    <t>女</t>
  </si>
  <si>
    <t>460034199406185026</t>
  </si>
  <si>
    <t>护理2</t>
  </si>
  <si>
    <t>陈彩飞</t>
  </si>
  <si>
    <t>460034199608030444</t>
  </si>
  <si>
    <t>护理6</t>
  </si>
  <si>
    <t>护理4</t>
  </si>
  <si>
    <t>陈丹</t>
  </si>
  <si>
    <t>460034199704135027</t>
  </si>
  <si>
    <t>护理1</t>
  </si>
  <si>
    <t>护理3</t>
  </si>
  <si>
    <t>护理7</t>
  </si>
  <si>
    <t>胡茂敏</t>
  </si>
  <si>
    <t>46003419990512042X</t>
  </si>
  <si>
    <t>护理9</t>
  </si>
  <si>
    <t>郑兰兰</t>
  </si>
  <si>
    <t>469028200003245043</t>
  </si>
  <si>
    <t>李培晓</t>
  </si>
  <si>
    <t>460034198912203325</t>
  </si>
  <si>
    <t>护理12</t>
  </si>
  <si>
    <t>符小沙</t>
  </si>
  <si>
    <t>460034199105300924</t>
  </si>
  <si>
    <t>杨兰</t>
  </si>
  <si>
    <t>460034199712030022</t>
  </si>
  <si>
    <t>谢亚盈</t>
  </si>
  <si>
    <t>460034199104030440</t>
  </si>
  <si>
    <t>护理11</t>
  </si>
  <si>
    <t>黄少青</t>
  </si>
  <si>
    <t>460034199307182727</t>
  </si>
  <si>
    <t>郑诗芬</t>
  </si>
  <si>
    <t>469028200005161222</t>
  </si>
  <si>
    <t>郑春香</t>
  </si>
  <si>
    <t>460034199306155065</t>
  </si>
  <si>
    <t>护理8</t>
  </si>
  <si>
    <t>陈延杰</t>
  </si>
  <si>
    <t>男</t>
  </si>
  <si>
    <t>460034199701181212</t>
  </si>
  <si>
    <t>杨娇芳</t>
  </si>
  <si>
    <t>460034199302070443</t>
  </si>
  <si>
    <t>卓婷婷</t>
  </si>
  <si>
    <t>460034199503043329</t>
  </si>
  <si>
    <t>王彩红</t>
  </si>
  <si>
    <t>460034200008010701</t>
  </si>
  <si>
    <t>谭燕瑶</t>
  </si>
  <si>
    <t>460034199704170420</t>
  </si>
  <si>
    <t>邱燕飞</t>
  </si>
  <si>
    <t>46003419930616042X</t>
  </si>
  <si>
    <t>李潇潇</t>
  </si>
  <si>
    <t>460034200110100746</t>
  </si>
  <si>
    <t>任伟娜</t>
  </si>
  <si>
    <t>130406198008200361</t>
  </si>
  <si>
    <t>许如晶</t>
  </si>
  <si>
    <t>460034199109121229</t>
  </si>
  <si>
    <t>谭亚雅</t>
  </si>
  <si>
    <t>460034199211070966</t>
  </si>
  <si>
    <t>杨楚映</t>
  </si>
  <si>
    <t>460034199807030420</t>
  </si>
  <si>
    <t>符梦玉</t>
  </si>
  <si>
    <t>460034199204241229</t>
  </si>
  <si>
    <t>吴婷婷</t>
  </si>
  <si>
    <t>460034200001045821</t>
  </si>
  <si>
    <t>卓冬叶</t>
  </si>
  <si>
    <t>460034199507234122</t>
  </si>
  <si>
    <t>冯春春</t>
  </si>
  <si>
    <t>460034199303040449</t>
  </si>
  <si>
    <t>卢义芬</t>
  </si>
  <si>
    <t>46003419950525332X</t>
  </si>
  <si>
    <t>曾小宁</t>
  </si>
  <si>
    <t>460034199205090426</t>
  </si>
  <si>
    <t>徐燕雅</t>
  </si>
  <si>
    <t>46003419980111122X</t>
  </si>
  <si>
    <t>胡小婷</t>
  </si>
  <si>
    <t>460034199606154128</t>
  </si>
  <si>
    <t>王赛群</t>
  </si>
  <si>
    <t>460034199412021829</t>
  </si>
  <si>
    <t>李素芬</t>
  </si>
  <si>
    <t>460034200006111824</t>
  </si>
  <si>
    <t>刘小册</t>
  </si>
  <si>
    <t>460034199509281520</t>
  </si>
  <si>
    <t>何子花</t>
  </si>
  <si>
    <t>460034199705210041</t>
  </si>
  <si>
    <t>周子儿</t>
  </si>
  <si>
    <t>460034199406260428</t>
  </si>
  <si>
    <t>陈小娥</t>
  </si>
  <si>
    <t>460034198909295820</t>
  </si>
  <si>
    <t>王雪波</t>
  </si>
  <si>
    <t>460034199504020428</t>
  </si>
  <si>
    <t>黄念</t>
  </si>
  <si>
    <t>460033199210024881</t>
  </si>
  <si>
    <t>李东耕</t>
  </si>
  <si>
    <t>460034199805201521</t>
  </si>
  <si>
    <t>陈燕玲</t>
  </si>
  <si>
    <t>46003419950816412X</t>
  </si>
  <si>
    <t>未面试</t>
  </si>
  <si>
    <t>黄亚丽</t>
  </si>
  <si>
    <t>41142119880323364X</t>
  </si>
  <si>
    <t>吴珠环</t>
  </si>
  <si>
    <t>460034199404051825</t>
  </si>
  <si>
    <t>吉岳消</t>
  </si>
  <si>
    <t>460200199210251404</t>
  </si>
  <si>
    <t>陵水黎族自治县第二人民医院（河北医科大学第一医院陵水分院）公开招聘考试医师综合成绩</t>
  </si>
  <si>
    <t>医师</t>
  </si>
  <si>
    <t>丰圣凯</t>
  </si>
  <si>
    <t>460034198711120056</t>
  </si>
  <si>
    <t>周必延</t>
  </si>
  <si>
    <t>460034199003100497</t>
  </si>
  <si>
    <t>李焕秉</t>
  </si>
  <si>
    <t>460002199603074113</t>
  </si>
  <si>
    <t>无</t>
  </si>
  <si>
    <t>王闪</t>
  </si>
  <si>
    <t>460034199406120441</t>
  </si>
  <si>
    <t>康复</t>
  </si>
  <si>
    <t>陵水黎族自治县第二人民医院（河北医科大学第一医院陵水分院）公开招聘考试放射综合成绩</t>
  </si>
  <si>
    <t>放射1</t>
  </si>
  <si>
    <t>460034199707050424</t>
  </si>
  <si>
    <t>陵水黎族自治县第二人民医院（河北医科大学第一医院陵水分院）公开招聘考试药剂、超声综合成绩</t>
  </si>
  <si>
    <t>药剂1</t>
  </si>
  <si>
    <t>张晓颜</t>
  </si>
  <si>
    <t>46003419951127002X</t>
  </si>
  <si>
    <t>黎娇弟</t>
  </si>
  <si>
    <t>460034199701111222</t>
  </si>
  <si>
    <t>李玲玉</t>
  </si>
  <si>
    <t>460034199004060482</t>
  </si>
  <si>
    <t>朱芳仪</t>
  </si>
  <si>
    <t>460006199912264426</t>
  </si>
  <si>
    <t>超声1</t>
  </si>
  <si>
    <t>陵水黎族自治县第二人民医院（河北医科大学第一医院陵水分院）公开招聘考试检验综合成绩</t>
  </si>
  <si>
    <t>检验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</si>
</sst>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16"/>
      <color rgb="FF000000"/>
      <name val="宋体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6" fontId="48" fillId="0" borderId="0" xfId="0" applyNumberFormat="1" applyFont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34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view="pageBreakPreview" zoomScaleNormal="130" zoomScaleSheetLayoutView="100" workbookViewId="0" topLeftCell="A1">
      <selection activeCell="J64" sqref="J64"/>
    </sheetView>
  </sheetViews>
  <sheetFormatPr defaultColWidth="9.00390625" defaultRowHeight="15"/>
  <cols>
    <col min="1" max="1" width="11.57421875" style="46" customWidth="1"/>
    <col min="2" max="2" width="12.421875" style="46" customWidth="1"/>
    <col min="3" max="3" width="8.57421875" style="46" customWidth="1"/>
    <col min="4" max="4" width="31.28125" style="46" customWidth="1"/>
    <col min="5" max="5" width="12.7109375" style="0" customWidth="1"/>
    <col min="6" max="6" width="13.00390625" style="0" customWidth="1"/>
  </cols>
  <sheetData>
    <row r="1" spans="1:6" ht="45.75" customHeight="1">
      <c r="A1" s="47" t="s">
        <v>0</v>
      </c>
      <c r="B1" s="47"/>
      <c r="C1" s="47"/>
      <c r="D1" s="47"/>
      <c r="E1" s="47"/>
      <c r="F1" s="47"/>
    </row>
    <row r="2" spans="1:6" ht="42" customHeight="1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</row>
    <row r="3" spans="1:6" ht="24.75" customHeight="1">
      <c r="A3" s="27" t="s">
        <v>7</v>
      </c>
      <c r="B3" s="27" t="str">
        <f>"陈泽昊"</f>
        <v>陈泽昊</v>
      </c>
      <c r="C3" s="27" t="str">
        <f>"男"</f>
        <v>男</v>
      </c>
      <c r="D3" s="27" t="str">
        <f>"130105199808091230"</f>
        <v>130105199808091230</v>
      </c>
      <c r="E3" s="51">
        <v>81.8</v>
      </c>
      <c r="F3" s="51">
        <v>1</v>
      </c>
    </row>
    <row r="4" spans="1:6" ht="24.75" customHeight="1">
      <c r="A4" s="27" t="s">
        <v>8</v>
      </c>
      <c r="B4" s="27" t="s">
        <v>9</v>
      </c>
      <c r="C4" s="27" t="s">
        <v>10</v>
      </c>
      <c r="D4" s="54" t="s">
        <v>11</v>
      </c>
      <c r="E4" s="51">
        <v>75.4</v>
      </c>
      <c r="F4" s="51">
        <v>2</v>
      </c>
    </row>
    <row r="5" spans="1:6" ht="24.75" customHeight="1">
      <c r="A5" s="27" t="s">
        <v>12</v>
      </c>
      <c r="B5" s="27" t="str">
        <f>"张在丽"</f>
        <v>张在丽</v>
      </c>
      <c r="C5" s="27" t="str">
        <f>"女"</f>
        <v>女</v>
      </c>
      <c r="D5" s="27" t="str">
        <f>"460003199705093821"</f>
        <v>460003199705093821</v>
      </c>
      <c r="E5" s="51">
        <v>75</v>
      </c>
      <c r="F5" s="51">
        <v>3</v>
      </c>
    </row>
    <row r="6" spans="1:6" ht="24.75" customHeight="1">
      <c r="A6" s="27" t="s">
        <v>8</v>
      </c>
      <c r="B6" s="27" t="s">
        <v>13</v>
      </c>
      <c r="C6" s="27" t="s">
        <v>10</v>
      </c>
      <c r="D6" s="54" t="s">
        <v>14</v>
      </c>
      <c r="E6" s="51">
        <v>73.2</v>
      </c>
      <c r="F6" s="51">
        <v>4</v>
      </c>
    </row>
    <row r="7" spans="1:6" ht="24.75" customHeight="1">
      <c r="A7" s="27" t="s">
        <v>15</v>
      </c>
      <c r="B7" s="27" t="str">
        <f>"柯锦焕"</f>
        <v>柯锦焕</v>
      </c>
      <c r="C7" s="27" t="str">
        <f>"女"</f>
        <v>女</v>
      </c>
      <c r="D7" s="27" t="str">
        <f>"460003199205104301"</f>
        <v>460003199205104301</v>
      </c>
      <c r="E7" s="51">
        <v>72</v>
      </c>
      <c r="F7" s="51">
        <v>5</v>
      </c>
    </row>
    <row r="8" spans="1:6" ht="24.75" customHeight="1">
      <c r="A8" s="27" t="s">
        <v>16</v>
      </c>
      <c r="B8" s="27" t="str">
        <f>"欧彩莲"</f>
        <v>欧彩莲</v>
      </c>
      <c r="C8" s="27" t="str">
        <f>"女"</f>
        <v>女</v>
      </c>
      <c r="D8" s="27" t="str">
        <f>"469028199606060720"</f>
        <v>469028199606060720</v>
      </c>
      <c r="E8" s="51">
        <v>71.6</v>
      </c>
      <c r="F8" s="51">
        <v>6</v>
      </c>
    </row>
    <row r="9" spans="1:6" ht="24.75" customHeight="1">
      <c r="A9" s="27" t="s">
        <v>8</v>
      </c>
      <c r="B9" s="27" t="s">
        <v>17</v>
      </c>
      <c r="C9" s="27" t="s">
        <v>10</v>
      </c>
      <c r="D9" s="54" t="s">
        <v>18</v>
      </c>
      <c r="E9" s="51">
        <v>71.2</v>
      </c>
      <c r="F9" s="51">
        <v>7</v>
      </c>
    </row>
    <row r="10" spans="1:6" ht="24.75" customHeight="1">
      <c r="A10" s="27" t="s">
        <v>19</v>
      </c>
      <c r="B10" s="27" t="str">
        <f>"许娇珠"</f>
        <v>许娇珠</v>
      </c>
      <c r="C10" s="27" t="str">
        <f>"女"</f>
        <v>女</v>
      </c>
      <c r="D10" s="27" t="str">
        <f>"460034199001055047"</f>
        <v>460034199001055047</v>
      </c>
      <c r="E10" s="51">
        <v>70.6</v>
      </c>
      <c r="F10" s="51">
        <v>8</v>
      </c>
    </row>
    <row r="11" spans="1:6" ht="24.75" customHeight="1">
      <c r="A11" s="27" t="s">
        <v>7</v>
      </c>
      <c r="B11" s="27" t="str">
        <f>"陈才飘"</f>
        <v>陈才飘</v>
      </c>
      <c r="C11" s="27" t="str">
        <f>"女"</f>
        <v>女</v>
      </c>
      <c r="D11" s="27" t="str">
        <f>"460034199508112143"</f>
        <v>460034199508112143</v>
      </c>
      <c r="E11" s="51">
        <v>70.4</v>
      </c>
      <c r="F11" s="51">
        <v>9</v>
      </c>
    </row>
    <row r="12" spans="1:6" ht="24.75" customHeight="1">
      <c r="A12" s="27" t="s">
        <v>7</v>
      </c>
      <c r="B12" s="27" t="str">
        <f>"邓欣"</f>
        <v>邓欣</v>
      </c>
      <c r="C12" s="27" t="str">
        <f>"女"</f>
        <v>女</v>
      </c>
      <c r="D12" s="27" t="str">
        <f>"460034199503030448"</f>
        <v>460034199503030448</v>
      </c>
      <c r="E12" s="51">
        <v>69.6</v>
      </c>
      <c r="F12" s="51">
        <v>10</v>
      </c>
    </row>
    <row r="13" spans="1:6" ht="24.75" customHeight="1">
      <c r="A13" s="27" t="s">
        <v>20</v>
      </c>
      <c r="B13" s="27" t="str">
        <f>"张玲玉"</f>
        <v>张玲玉</v>
      </c>
      <c r="C13" s="27" t="str">
        <f>"女"</f>
        <v>女</v>
      </c>
      <c r="D13" s="27" t="str">
        <f>"431126199606215622"</f>
        <v>431126199606215622</v>
      </c>
      <c r="E13" s="51">
        <v>69.4</v>
      </c>
      <c r="F13" s="51">
        <v>11</v>
      </c>
    </row>
    <row r="14" spans="1:6" ht="24.75" customHeight="1">
      <c r="A14" s="27" t="s">
        <v>21</v>
      </c>
      <c r="B14" s="27" t="str">
        <f>"王琪教"</f>
        <v>王琪教</v>
      </c>
      <c r="C14" s="27" t="str">
        <f>"女"</f>
        <v>女</v>
      </c>
      <c r="D14" s="27" t="str">
        <f>"460003199406302021"</f>
        <v>460003199406302021</v>
      </c>
      <c r="E14" s="51">
        <v>69.2</v>
      </c>
      <c r="F14" s="51">
        <v>12</v>
      </c>
    </row>
    <row r="15" spans="1:6" ht="24.75" customHeight="1">
      <c r="A15" s="27" t="s">
        <v>8</v>
      </c>
      <c r="B15" s="27" t="s">
        <v>22</v>
      </c>
      <c r="C15" s="27" t="s">
        <v>10</v>
      </c>
      <c r="D15" s="53" t="s">
        <v>23</v>
      </c>
      <c r="E15" s="51">
        <v>68.6</v>
      </c>
      <c r="F15" s="51">
        <v>13</v>
      </c>
    </row>
    <row r="16" spans="1:6" ht="24.75" customHeight="1">
      <c r="A16" s="27" t="s">
        <v>16</v>
      </c>
      <c r="B16" s="27" t="str">
        <f>"符步科"</f>
        <v>符步科</v>
      </c>
      <c r="C16" s="27" t="str">
        <f>"男"</f>
        <v>男</v>
      </c>
      <c r="D16" s="27" t="str">
        <f>"460003199511032211"</f>
        <v>460003199511032211</v>
      </c>
      <c r="E16" s="51">
        <v>68.4</v>
      </c>
      <c r="F16" s="51">
        <v>14</v>
      </c>
    </row>
    <row r="17" spans="1:6" ht="24.75" customHeight="1">
      <c r="A17" s="27" t="s">
        <v>24</v>
      </c>
      <c r="B17" s="27" t="s">
        <v>25</v>
      </c>
      <c r="C17" s="27" t="s">
        <v>10</v>
      </c>
      <c r="D17" s="53" t="s">
        <v>26</v>
      </c>
      <c r="E17" s="51">
        <v>68</v>
      </c>
      <c r="F17" s="51">
        <v>15</v>
      </c>
    </row>
    <row r="18" spans="1:6" ht="24.75" customHeight="1">
      <c r="A18" s="27" t="s">
        <v>19</v>
      </c>
      <c r="B18" s="27" t="str">
        <f>"邓仪倩"</f>
        <v>邓仪倩</v>
      </c>
      <c r="C18" s="27" t="str">
        <f>"女"</f>
        <v>女</v>
      </c>
      <c r="D18" s="27" t="str">
        <f>"469028199706100427"</f>
        <v>469028199706100427</v>
      </c>
      <c r="E18" s="51">
        <v>67.2</v>
      </c>
      <c r="F18" s="51">
        <v>16</v>
      </c>
    </row>
    <row r="19" spans="1:6" ht="24.75" customHeight="1">
      <c r="A19" s="27" t="s">
        <v>8</v>
      </c>
      <c r="B19" s="27" t="s">
        <v>27</v>
      </c>
      <c r="C19" s="27" t="s">
        <v>10</v>
      </c>
      <c r="D19" s="54" t="s">
        <v>28</v>
      </c>
      <c r="E19" s="51">
        <v>66.8</v>
      </c>
      <c r="F19" s="51">
        <v>17</v>
      </c>
    </row>
    <row r="20" spans="1:6" ht="24.75" customHeight="1">
      <c r="A20" s="27" t="s">
        <v>19</v>
      </c>
      <c r="B20" s="27" t="str">
        <f>"杨涯"</f>
        <v>杨涯</v>
      </c>
      <c r="C20" s="27" t="str">
        <f>"女"</f>
        <v>女</v>
      </c>
      <c r="D20" s="27" t="str">
        <f>"460034199502240427"</f>
        <v>460034199502240427</v>
      </c>
      <c r="E20" s="51">
        <v>65.6</v>
      </c>
      <c r="F20" s="51">
        <v>18</v>
      </c>
    </row>
    <row r="21" spans="1:6" ht="24.75" customHeight="1">
      <c r="A21" s="27" t="s">
        <v>29</v>
      </c>
      <c r="B21" s="27" t="s">
        <v>30</v>
      </c>
      <c r="C21" s="27" t="s">
        <v>10</v>
      </c>
      <c r="D21" s="54" t="s">
        <v>31</v>
      </c>
      <c r="E21" s="51">
        <v>65.6</v>
      </c>
      <c r="F21" s="51">
        <v>19</v>
      </c>
    </row>
    <row r="22" spans="1:6" ht="24.75" customHeight="1">
      <c r="A22" s="27" t="s">
        <v>8</v>
      </c>
      <c r="B22" s="27" t="s">
        <v>32</v>
      </c>
      <c r="C22" s="27" t="s">
        <v>10</v>
      </c>
      <c r="D22" s="54" t="s">
        <v>33</v>
      </c>
      <c r="E22" s="51">
        <v>65</v>
      </c>
      <c r="F22" s="51">
        <v>20</v>
      </c>
    </row>
    <row r="23" spans="1:6" ht="24.75" customHeight="1">
      <c r="A23" s="27" t="s">
        <v>29</v>
      </c>
      <c r="B23" s="27" t="s">
        <v>34</v>
      </c>
      <c r="C23" s="27" t="s">
        <v>10</v>
      </c>
      <c r="D23" s="54" t="s">
        <v>35</v>
      </c>
      <c r="E23" s="51">
        <v>64.8</v>
      </c>
      <c r="F23" s="51">
        <v>21</v>
      </c>
    </row>
    <row r="24" spans="1:6" ht="24.75" customHeight="1">
      <c r="A24" s="27" t="s">
        <v>36</v>
      </c>
      <c r="B24" s="27" t="s">
        <v>37</v>
      </c>
      <c r="C24" s="27" t="s">
        <v>10</v>
      </c>
      <c r="D24" s="54" t="s">
        <v>38</v>
      </c>
      <c r="E24" s="51">
        <v>64.5</v>
      </c>
      <c r="F24" s="51">
        <v>22</v>
      </c>
    </row>
    <row r="25" spans="1:6" ht="24.75" customHeight="1">
      <c r="A25" s="27" t="s">
        <v>24</v>
      </c>
      <c r="B25" s="27" t="s">
        <v>39</v>
      </c>
      <c r="C25" s="27" t="s">
        <v>10</v>
      </c>
      <c r="D25" s="54" t="s">
        <v>40</v>
      </c>
      <c r="E25" s="51">
        <v>64.2</v>
      </c>
      <c r="F25" s="51">
        <v>23</v>
      </c>
    </row>
    <row r="26" spans="1:6" ht="24.75" customHeight="1">
      <c r="A26" s="27" t="s">
        <v>29</v>
      </c>
      <c r="B26" s="27" t="s">
        <v>41</v>
      </c>
      <c r="C26" s="27" t="s">
        <v>10</v>
      </c>
      <c r="D26" s="54" t="s">
        <v>42</v>
      </c>
      <c r="E26" s="51">
        <v>64</v>
      </c>
      <c r="F26" s="51">
        <v>24</v>
      </c>
    </row>
    <row r="27" spans="1:6" ht="24.75" customHeight="1">
      <c r="A27" s="27" t="s">
        <v>15</v>
      </c>
      <c r="B27" s="27" t="str">
        <f>"贾雪丽"</f>
        <v>贾雪丽</v>
      </c>
      <c r="C27" s="27" t="str">
        <f>"女"</f>
        <v>女</v>
      </c>
      <c r="D27" s="27" t="str">
        <f>"130125199810048026"</f>
        <v>130125199810048026</v>
      </c>
      <c r="E27" s="51">
        <v>63.6</v>
      </c>
      <c r="F27" s="51">
        <v>25</v>
      </c>
    </row>
    <row r="28" spans="1:6" ht="24.75" customHeight="1">
      <c r="A28" s="27" t="s">
        <v>43</v>
      </c>
      <c r="B28" s="27" t="str">
        <f>"王春满"</f>
        <v>王春满</v>
      </c>
      <c r="C28" s="27" t="str">
        <f>"女"</f>
        <v>女</v>
      </c>
      <c r="D28" s="27" t="str">
        <f>"460034200011251821"</f>
        <v>460034200011251821</v>
      </c>
      <c r="E28" s="51">
        <v>63.400000000000006</v>
      </c>
      <c r="F28" s="51">
        <v>26</v>
      </c>
    </row>
    <row r="29" spans="1:6" ht="24.75" customHeight="1">
      <c r="A29" s="27" t="s">
        <v>7</v>
      </c>
      <c r="B29" s="27" t="str">
        <f>"温丹玲"</f>
        <v>温丹玲</v>
      </c>
      <c r="C29" s="27" t="str">
        <f>"女"</f>
        <v>女</v>
      </c>
      <c r="D29" s="27" t="str">
        <f>"460027199410055941"</f>
        <v>460027199410055941</v>
      </c>
      <c r="E29" s="51">
        <v>63.4</v>
      </c>
      <c r="F29" s="51">
        <v>27</v>
      </c>
    </row>
    <row r="30" spans="1:6" ht="24.75" customHeight="1">
      <c r="A30" s="27" t="s">
        <v>29</v>
      </c>
      <c r="B30" s="27" t="s">
        <v>44</v>
      </c>
      <c r="C30" s="27" t="s">
        <v>45</v>
      </c>
      <c r="D30" s="54" t="s">
        <v>46</v>
      </c>
      <c r="E30" s="51">
        <v>63.3</v>
      </c>
      <c r="F30" s="51">
        <v>28</v>
      </c>
    </row>
    <row r="31" spans="1:6" ht="24.75" customHeight="1">
      <c r="A31" s="27" t="s">
        <v>15</v>
      </c>
      <c r="B31" s="27" t="str">
        <f>"王春南"</f>
        <v>王春南</v>
      </c>
      <c r="C31" s="27" t="str">
        <f>"女"</f>
        <v>女</v>
      </c>
      <c r="D31" s="27" t="str">
        <f>"460027199806013721"</f>
        <v>460027199806013721</v>
      </c>
      <c r="E31" s="51">
        <v>63.2</v>
      </c>
      <c r="F31" s="51">
        <v>29</v>
      </c>
    </row>
    <row r="32" spans="1:6" ht="24.75" customHeight="1">
      <c r="A32" s="27" t="s">
        <v>7</v>
      </c>
      <c r="B32" s="27" t="str">
        <f>"杨妃"</f>
        <v>杨妃</v>
      </c>
      <c r="C32" s="27" t="str">
        <f>"女"</f>
        <v>女</v>
      </c>
      <c r="D32" s="27" t="str">
        <f>"46000319971128662X"</f>
        <v>46000319971128662X</v>
      </c>
      <c r="E32" s="51">
        <v>61.8</v>
      </c>
      <c r="F32" s="51">
        <v>30</v>
      </c>
    </row>
    <row r="33" spans="1:6" ht="24.75" customHeight="1">
      <c r="A33" s="27" t="s">
        <v>12</v>
      </c>
      <c r="B33" s="27" t="str">
        <f>"陈少丽"</f>
        <v>陈少丽</v>
      </c>
      <c r="C33" s="27" t="str">
        <f>"女"</f>
        <v>女</v>
      </c>
      <c r="D33" s="27" t="str">
        <f>"460034199403122126"</f>
        <v>460034199403122126</v>
      </c>
      <c r="E33" s="51">
        <v>61.8</v>
      </c>
      <c r="F33" s="51">
        <v>31</v>
      </c>
    </row>
    <row r="34" spans="1:6" ht="24.75" customHeight="1">
      <c r="A34" s="27" t="s">
        <v>12</v>
      </c>
      <c r="B34" s="27" t="str">
        <f>"林海榆"</f>
        <v>林海榆</v>
      </c>
      <c r="C34" s="27" t="str">
        <f>"女"</f>
        <v>女</v>
      </c>
      <c r="D34" s="27" t="str">
        <f>"460028199706280028"</f>
        <v>460028199706280028</v>
      </c>
      <c r="E34" s="51">
        <v>61.4</v>
      </c>
      <c r="F34" s="51">
        <v>32</v>
      </c>
    </row>
    <row r="35" spans="1:6" ht="24.75" customHeight="1">
      <c r="A35" s="27" t="s">
        <v>8</v>
      </c>
      <c r="B35" s="27" t="s">
        <v>47</v>
      </c>
      <c r="C35" s="27" t="s">
        <v>10</v>
      </c>
      <c r="D35" s="54" t="s">
        <v>48</v>
      </c>
      <c r="E35" s="51">
        <v>61.4</v>
      </c>
      <c r="F35" s="51">
        <v>33</v>
      </c>
    </row>
    <row r="36" spans="1:6" ht="24.75" customHeight="1">
      <c r="A36" s="27" t="s">
        <v>29</v>
      </c>
      <c r="B36" s="27" t="s">
        <v>49</v>
      </c>
      <c r="C36" s="27" t="s">
        <v>10</v>
      </c>
      <c r="D36" s="54" t="s">
        <v>50</v>
      </c>
      <c r="E36" s="51">
        <v>61.2</v>
      </c>
      <c r="F36" s="51">
        <v>34</v>
      </c>
    </row>
    <row r="37" spans="1:6" ht="24.75" customHeight="1">
      <c r="A37" s="27" t="s">
        <v>16</v>
      </c>
      <c r="B37" s="27" t="str">
        <f>"谢少凡"</f>
        <v>谢少凡</v>
      </c>
      <c r="C37" s="27" t="str">
        <f>"女"</f>
        <v>女</v>
      </c>
      <c r="D37" s="27" t="str">
        <f>"460025199706061221"</f>
        <v>460025199706061221</v>
      </c>
      <c r="E37" s="51">
        <v>61.1</v>
      </c>
      <c r="F37" s="51">
        <v>35</v>
      </c>
    </row>
    <row r="38" spans="1:6" ht="24.75" customHeight="1">
      <c r="A38" s="27" t="s">
        <v>19</v>
      </c>
      <c r="B38" s="27" t="str">
        <f>"杨春满"</f>
        <v>杨春满</v>
      </c>
      <c r="C38" s="27" t="str">
        <f>"女"</f>
        <v>女</v>
      </c>
      <c r="D38" s="27" t="str">
        <f>"460034199005080426"</f>
        <v>460034199005080426</v>
      </c>
      <c r="E38" s="51">
        <v>60.8</v>
      </c>
      <c r="F38" s="51">
        <v>36</v>
      </c>
    </row>
    <row r="39" spans="1:6" ht="24.75" customHeight="1">
      <c r="A39" s="27" t="s">
        <v>16</v>
      </c>
      <c r="B39" s="27" t="str">
        <f>"施石岸"</f>
        <v>施石岸</v>
      </c>
      <c r="C39" s="27" t="str">
        <f>"女"</f>
        <v>女</v>
      </c>
      <c r="D39" s="27" t="str">
        <f>"460034199501051528"</f>
        <v>460034199501051528</v>
      </c>
      <c r="E39" s="51">
        <v>60.8</v>
      </c>
      <c r="F39" s="51">
        <v>37</v>
      </c>
    </row>
    <row r="40" spans="1:6" ht="24.75" customHeight="1">
      <c r="A40" s="27" t="s">
        <v>12</v>
      </c>
      <c r="B40" s="27" t="str">
        <f>"郑带弟"</f>
        <v>郑带弟</v>
      </c>
      <c r="C40" s="27" t="str">
        <f>"女"</f>
        <v>女</v>
      </c>
      <c r="D40" s="27" t="str">
        <f>"460034199505270429"</f>
        <v>460034199505270429</v>
      </c>
      <c r="E40" s="51">
        <v>60.6</v>
      </c>
      <c r="F40" s="51">
        <v>38</v>
      </c>
    </row>
    <row r="41" spans="1:6" ht="24.75" customHeight="1">
      <c r="A41" s="27" t="s">
        <v>8</v>
      </c>
      <c r="B41" s="27" t="s">
        <v>51</v>
      </c>
      <c r="C41" s="27" t="s">
        <v>10</v>
      </c>
      <c r="D41" s="54" t="s">
        <v>52</v>
      </c>
      <c r="E41" s="51">
        <v>60.6</v>
      </c>
      <c r="F41" s="51">
        <v>39</v>
      </c>
    </row>
    <row r="42" spans="1:6" ht="24.75" customHeight="1">
      <c r="A42" s="27" t="s">
        <v>19</v>
      </c>
      <c r="B42" s="27" t="str">
        <f>"郑奇娜"</f>
        <v>郑奇娜</v>
      </c>
      <c r="C42" s="27" t="str">
        <f>"女"</f>
        <v>女</v>
      </c>
      <c r="D42" s="27" t="str">
        <f>"460200199202121669"</f>
        <v>460200199202121669</v>
      </c>
      <c r="E42" s="51">
        <v>60.599999999999994</v>
      </c>
      <c r="F42" s="51">
        <v>40</v>
      </c>
    </row>
    <row r="43" spans="1:6" ht="24.75" customHeight="1">
      <c r="A43" s="27" t="s">
        <v>8</v>
      </c>
      <c r="B43" s="27" t="s">
        <v>53</v>
      </c>
      <c r="C43" s="27" t="s">
        <v>10</v>
      </c>
      <c r="D43" s="54" t="s">
        <v>54</v>
      </c>
      <c r="E43" s="51">
        <v>60.599999999999994</v>
      </c>
      <c r="F43" s="51">
        <v>41</v>
      </c>
    </row>
    <row r="44" spans="1:6" ht="24.75" customHeight="1">
      <c r="A44" s="27" t="s">
        <v>19</v>
      </c>
      <c r="B44" s="27" t="str">
        <f>"黄敬琳"</f>
        <v>黄敬琳</v>
      </c>
      <c r="C44" s="27" t="str">
        <f>"女"</f>
        <v>女</v>
      </c>
      <c r="D44" s="27" t="str">
        <f>"460034199004145523"</f>
        <v>460034199004145523</v>
      </c>
      <c r="E44" s="51">
        <v>60.5</v>
      </c>
      <c r="F44" s="51">
        <v>42</v>
      </c>
    </row>
    <row r="45" spans="1:6" ht="24.75" customHeight="1">
      <c r="A45" s="27" t="s">
        <v>29</v>
      </c>
      <c r="B45" s="27" t="s">
        <v>55</v>
      </c>
      <c r="C45" s="27" t="s">
        <v>10</v>
      </c>
      <c r="D45" s="53" t="s">
        <v>56</v>
      </c>
      <c r="E45" s="51">
        <v>60.4</v>
      </c>
      <c r="F45" s="51">
        <v>43</v>
      </c>
    </row>
    <row r="46" spans="1:6" ht="24.75" customHeight="1">
      <c r="A46" s="27" t="s">
        <v>16</v>
      </c>
      <c r="B46" s="27" t="str">
        <f>"高海秀"</f>
        <v>高海秀</v>
      </c>
      <c r="C46" s="27" t="str">
        <f>"女"</f>
        <v>女</v>
      </c>
      <c r="D46" s="27" t="str">
        <f>"460007199402285362"</f>
        <v>460007199402285362</v>
      </c>
      <c r="E46" s="51">
        <v>60.4</v>
      </c>
      <c r="F46" s="51">
        <v>44</v>
      </c>
    </row>
    <row r="47" spans="1:6" ht="24.75" customHeight="1">
      <c r="A47" s="27" t="s">
        <v>12</v>
      </c>
      <c r="B47" s="27" t="str">
        <f>"郑亚莞"</f>
        <v>郑亚莞</v>
      </c>
      <c r="C47" s="27" t="str">
        <f>"女"</f>
        <v>女</v>
      </c>
      <c r="D47" s="27" t="str">
        <f>"460034199606121828"</f>
        <v>460034199606121828</v>
      </c>
      <c r="E47" s="51">
        <v>60</v>
      </c>
      <c r="F47" s="51">
        <v>45</v>
      </c>
    </row>
    <row r="48" spans="1:6" ht="24.75" customHeight="1">
      <c r="A48" s="27" t="s">
        <v>16</v>
      </c>
      <c r="B48" s="27" t="str">
        <f>"符小袆"</f>
        <v>符小袆</v>
      </c>
      <c r="C48" s="27" t="str">
        <f>"女"</f>
        <v>女</v>
      </c>
      <c r="D48" s="27" t="str">
        <f>"460034199701283323"</f>
        <v>460034199701283323</v>
      </c>
      <c r="E48" s="51">
        <v>60</v>
      </c>
      <c r="F48" s="51">
        <v>46</v>
      </c>
    </row>
    <row r="49" spans="1:6" ht="24.75" customHeight="1">
      <c r="A49" s="27" t="s">
        <v>29</v>
      </c>
      <c r="B49" s="27" t="s">
        <v>57</v>
      </c>
      <c r="C49" s="27" t="s">
        <v>10</v>
      </c>
      <c r="D49" s="54" t="s">
        <v>58</v>
      </c>
      <c r="E49" s="51">
        <v>59.8</v>
      </c>
      <c r="F49" s="51">
        <v>47</v>
      </c>
    </row>
    <row r="50" spans="1:6" ht="24.75" customHeight="1">
      <c r="A50" s="27" t="s">
        <v>12</v>
      </c>
      <c r="B50" s="27" t="str">
        <f>"王云延"</f>
        <v>王云延</v>
      </c>
      <c r="C50" s="27" t="str">
        <f>"女"</f>
        <v>女</v>
      </c>
      <c r="D50" s="27" t="str">
        <f>"460034199610140423"</f>
        <v>460034199610140423</v>
      </c>
      <c r="E50" s="51">
        <v>59.599999999999994</v>
      </c>
      <c r="F50" s="51">
        <v>48</v>
      </c>
    </row>
    <row r="51" spans="1:6" ht="24.75" customHeight="1">
      <c r="A51" s="27" t="s">
        <v>21</v>
      </c>
      <c r="B51" s="27" t="str">
        <f>"谢伟乾"</f>
        <v>谢伟乾</v>
      </c>
      <c r="C51" s="27" t="str">
        <f>"女"</f>
        <v>女</v>
      </c>
      <c r="D51" s="27" t="str">
        <f>"460003199407104844"</f>
        <v>460003199407104844</v>
      </c>
      <c r="E51" s="51">
        <v>59.2</v>
      </c>
      <c r="F51" s="51">
        <v>49</v>
      </c>
    </row>
    <row r="52" spans="1:6" ht="24.75" customHeight="1">
      <c r="A52" s="27" t="s">
        <v>15</v>
      </c>
      <c r="B52" s="27" t="str">
        <f>"何达金"</f>
        <v>何达金</v>
      </c>
      <c r="C52" s="27" t="str">
        <f>"女"</f>
        <v>女</v>
      </c>
      <c r="D52" s="27" t="str">
        <f>"460026199804190920"</f>
        <v>460026199804190920</v>
      </c>
      <c r="E52" s="51">
        <v>58.8</v>
      </c>
      <c r="F52" s="51">
        <v>50</v>
      </c>
    </row>
    <row r="53" spans="1:6" ht="24.75" customHeight="1">
      <c r="A53" s="27" t="s">
        <v>8</v>
      </c>
      <c r="B53" s="27" t="s">
        <v>59</v>
      </c>
      <c r="C53" s="27" t="s">
        <v>10</v>
      </c>
      <c r="D53" s="54" t="s">
        <v>60</v>
      </c>
      <c r="E53" s="51">
        <v>58.8</v>
      </c>
      <c r="F53" s="51">
        <v>51</v>
      </c>
    </row>
    <row r="54" spans="1:6" ht="24.75" customHeight="1">
      <c r="A54" s="27" t="s">
        <v>15</v>
      </c>
      <c r="B54" s="27" t="str">
        <f>"林坚花"</f>
        <v>林坚花</v>
      </c>
      <c r="C54" s="27" t="str">
        <f aca="true" t="shared" si="0" ref="C54:C63">"女"</f>
        <v>女</v>
      </c>
      <c r="D54" s="27" t="str">
        <f>"460003200108272827"</f>
        <v>460003200108272827</v>
      </c>
      <c r="E54" s="51">
        <v>58.8</v>
      </c>
      <c r="F54" s="51">
        <v>52</v>
      </c>
    </row>
    <row r="55" spans="1:6" ht="24.75" customHeight="1">
      <c r="A55" s="27" t="s">
        <v>24</v>
      </c>
      <c r="B55" s="27" t="str">
        <f>"林坚"</f>
        <v>林坚</v>
      </c>
      <c r="C55" s="27" t="str">
        <f t="shared" si="0"/>
        <v>女</v>
      </c>
      <c r="D55" s="27" t="str">
        <f>"460027199511226009"</f>
        <v>460027199511226009</v>
      </c>
      <c r="E55" s="51">
        <v>58.6</v>
      </c>
      <c r="F55" s="51">
        <v>53</v>
      </c>
    </row>
    <row r="56" spans="1:6" ht="24.75" customHeight="1">
      <c r="A56" s="27" t="s">
        <v>43</v>
      </c>
      <c r="B56" s="27" t="str">
        <f>"王周曼"</f>
        <v>王周曼</v>
      </c>
      <c r="C56" s="27" t="str">
        <f t="shared" si="0"/>
        <v>女</v>
      </c>
      <c r="D56" s="27" t="str">
        <f>"460034199705100440"</f>
        <v>460034199705100440</v>
      </c>
      <c r="E56" s="51">
        <v>58.6</v>
      </c>
      <c r="F56" s="51">
        <v>54</v>
      </c>
    </row>
    <row r="57" spans="1:6" ht="24.75" customHeight="1">
      <c r="A57" s="27" t="s">
        <v>7</v>
      </c>
      <c r="B57" s="27" t="str">
        <f>"黎想"</f>
        <v>黎想</v>
      </c>
      <c r="C57" s="27" t="str">
        <f t="shared" si="0"/>
        <v>女</v>
      </c>
      <c r="D57" s="27" t="str">
        <f>"460033199905103228"</f>
        <v>460033199905103228</v>
      </c>
      <c r="E57" s="51">
        <v>58.599999999999994</v>
      </c>
      <c r="F57" s="51">
        <v>55</v>
      </c>
    </row>
    <row r="58" spans="1:6" ht="24.75" customHeight="1">
      <c r="A58" s="27" t="s">
        <v>15</v>
      </c>
      <c r="B58" s="27" t="str">
        <f>"符玉娟"</f>
        <v>符玉娟</v>
      </c>
      <c r="C58" s="27" t="str">
        <f t="shared" si="0"/>
        <v>女</v>
      </c>
      <c r="D58" s="27" t="str">
        <f>"460007199705068525"</f>
        <v>460007199705068525</v>
      </c>
      <c r="E58" s="51">
        <v>58.1</v>
      </c>
      <c r="F58" s="51">
        <v>56</v>
      </c>
    </row>
    <row r="59" spans="1:6" ht="24.75" customHeight="1">
      <c r="A59" s="27" t="s">
        <v>7</v>
      </c>
      <c r="B59" s="27" t="str">
        <f>"邱春妹"</f>
        <v>邱春妹</v>
      </c>
      <c r="C59" s="27" t="str">
        <f t="shared" si="0"/>
        <v>女</v>
      </c>
      <c r="D59" s="27" t="str">
        <f>"460003199504074229"</f>
        <v>460003199504074229</v>
      </c>
      <c r="E59" s="51">
        <v>57.6</v>
      </c>
      <c r="F59" s="51">
        <v>57</v>
      </c>
    </row>
    <row r="60" spans="1:6" ht="24.75" customHeight="1">
      <c r="A60" s="27" t="s">
        <v>21</v>
      </c>
      <c r="B60" s="27" t="str">
        <f>"陈真真"</f>
        <v>陈真真</v>
      </c>
      <c r="C60" s="27" t="str">
        <f t="shared" si="0"/>
        <v>女</v>
      </c>
      <c r="D60" s="27" t="str">
        <f>"460034199410120460"</f>
        <v>460034199410120460</v>
      </c>
      <c r="E60" s="51">
        <v>57.599999999999994</v>
      </c>
      <c r="F60" s="51">
        <v>58</v>
      </c>
    </row>
    <row r="61" spans="1:6" ht="24.75" customHeight="1">
      <c r="A61" s="27" t="s">
        <v>7</v>
      </c>
      <c r="B61" s="27" t="str">
        <f>"黎小愉"</f>
        <v>黎小愉</v>
      </c>
      <c r="C61" s="27" t="str">
        <f t="shared" si="0"/>
        <v>女</v>
      </c>
      <c r="D61" s="27" t="str">
        <f>"460034199605170927"</f>
        <v>460034199605170927</v>
      </c>
      <c r="E61" s="51">
        <v>57</v>
      </c>
      <c r="F61" s="51">
        <v>59</v>
      </c>
    </row>
    <row r="62" spans="1:6" ht="24.75" customHeight="1">
      <c r="A62" s="27" t="s">
        <v>20</v>
      </c>
      <c r="B62" s="27" t="str">
        <f>"杨妹"</f>
        <v>杨妹</v>
      </c>
      <c r="C62" s="27" t="str">
        <f t="shared" si="0"/>
        <v>女</v>
      </c>
      <c r="D62" s="27" t="str">
        <f>"460034199006251522"</f>
        <v>460034199006251522</v>
      </c>
      <c r="E62" s="51">
        <v>57</v>
      </c>
      <c r="F62" s="51">
        <v>60</v>
      </c>
    </row>
    <row r="63" spans="1:6" ht="24.75" customHeight="1">
      <c r="A63" s="27" t="s">
        <v>7</v>
      </c>
      <c r="B63" s="27" t="str">
        <f>"李嫚"</f>
        <v>李嫚</v>
      </c>
      <c r="C63" s="27" t="str">
        <f t="shared" si="0"/>
        <v>女</v>
      </c>
      <c r="D63" s="27" t="str">
        <f>"460034199302050928"</f>
        <v>460034199302050928</v>
      </c>
      <c r="E63" s="51">
        <v>56.8</v>
      </c>
      <c r="F63" s="51">
        <v>61</v>
      </c>
    </row>
    <row r="64" spans="1:6" ht="24.75" customHeight="1">
      <c r="A64" s="27" t="s">
        <v>29</v>
      </c>
      <c r="B64" s="27" t="s">
        <v>61</v>
      </c>
      <c r="C64" s="27" t="s">
        <v>10</v>
      </c>
      <c r="D64" s="54" t="s">
        <v>62</v>
      </c>
      <c r="E64" s="51">
        <v>56.5</v>
      </c>
      <c r="F64" s="51">
        <v>62</v>
      </c>
    </row>
    <row r="65" spans="1:6" ht="24.75" customHeight="1">
      <c r="A65" s="27" t="s">
        <v>20</v>
      </c>
      <c r="B65" s="27" t="str">
        <f>"黄怡菓"</f>
        <v>黄怡菓</v>
      </c>
      <c r="C65" s="27" t="str">
        <f>"女"</f>
        <v>女</v>
      </c>
      <c r="D65" s="27" t="str">
        <f>"460034199303280928"</f>
        <v>460034199303280928</v>
      </c>
      <c r="E65" s="51">
        <v>56.4</v>
      </c>
      <c r="F65" s="51">
        <v>63</v>
      </c>
    </row>
    <row r="66" spans="1:6" ht="24.75" customHeight="1">
      <c r="A66" s="27" t="s">
        <v>15</v>
      </c>
      <c r="B66" s="27" t="str">
        <f>"罗泽来"</f>
        <v>罗泽来</v>
      </c>
      <c r="C66" s="27" t="str">
        <f>"女"</f>
        <v>女</v>
      </c>
      <c r="D66" s="27" t="str">
        <f>"460033199803114487"</f>
        <v>460033199803114487</v>
      </c>
      <c r="E66" s="51">
        <v>56</v>
      </c>
      <c r="F66" s="51">
        <v>64</v>
      </c>
    </row>
    <row r="67" spans="1:6" ht="24.75" customHeight="1">
      <c r="A67" s="27" t="s">
        <v>43</v>
      </c>
      <c r="B67" s="27" t="str">
        <f>"王蕊"</f>
        <v>王蕊</v>
      </c>
      <c r="C67" s="27" t="str">
        <f>"女"</f>
        <v>女</v>
      </c>
      <c r="D67" s="27" t="str">
        <f>"469023200101186647"</f>
        <v>469023200101186647</v>
      </c>
      <c r="E67" s="51">
        <v>56</v>
      </c>
      <c r="F67" s="51">
        <v>65</v>
      </c>
    </row>
    <row r="68" spans="1:6" ht="24.75" customHeight="1">
      <c r="A68" s="27" t="s">
        <v>29</v>
      </c>
      <c r="B68" s="27" t="s">
        <v>63</v>
      </c>
      <c r="C68" s="27" t="s">
        <v>10</v>
      </c>
      <c r="D68" s="54" t="s">
        <v>64</v>
      </c>
      <c r="E68" s="51">
        <v>55.4</v>
      </c>
      <c r="F68" s="51">
        <v>66</v>
      </c>
    </row>
    <row r="69" spans="1:6" ht="24.75" customHeight="1">
      <c r="A69" s="27" t="s">
        <v>24</v>
      </c>
      <c r="B69" s="27" t="str">
        <f>"颜建丁"</f>
        <v>颜建丁</v>
      </c>
      <c r="C69" s="27" t="str">
        <f>"男"</f>
        <v>男</v>
      </c>
      <c r="D69" s="27" t="str">
        <f>"460028199809196435"</f>
        <v>460028199809196435</v>
      </c>
      <c r="E69" s="51">
        <v>55.4</v>
      </c>
      <c r="F69" s="51">
        <v>67</v>
      </c>
    </row>
    <row r="70" spans="1:6" ht="24.75" customHeight="1">
      <c r="A70" s="27" t="s">
        <v>8</v>
      </c>
      <c r="B70" s="27" t="s">
        <v>65</v>
      </c>
      <c r="C70" s="27" t="s">
        <v>10</v>
      </c>
      <c r="D70" s="54" t="s">
        <v>66</v>
      </c>
      <c r="E70" s="51">
        <v>54.8</v>
      </c>
      <c r="F70" s="51">
        <v>68</v>
      </c>
    </row>
    <row r="71" spans="1:6" ht="24.75" customHeight="1">
      <c r="A71" s="27" t="s">
        <v>20</v>
      </c>
      <c r="B71" s="27" t="str">
        <f>"傅少丽"</f>
        <v>傅少丽</v>
      </c>
      <c r="C71" s="27" t="str">
        <f aca="true" t="shared" si="1" ref="C71:C81">"女"</f>
        <v>女</v>
      </c>
      <c r="D71" s="27" t="str">
        <f>"460034199311051228"</f>
        <v>460034199311051228</v>
      </c>
      <c r="E71" s="51">
        <v>54.7</v>
      </c>
      <c r="F71" s="51">
        <v>69</v>
      </c>
    </row>
    <row r="72" spans="1:6" ht="24.75" customHeight="1">
      <c r="A72" s="27" t="s">
        <v>16</v>
      </c>
      <c r="B72" s="27" t="str">
        <f>"韩文彬"</f>
        <v>韩文彬</v>
      </c>
      <c r="C72" s="27" t="str">
        <f t="shared" si="1"/>
        <v>女</v>
      </c>
      <c r="D72" s="27" t="str">
        <f>"460022199607266820"</f>
        <v>460022199607266820</v>
      </c>
      <c r="E72" s="51">
        <v>54.4</v>
      </c>
      <c r="F72" s="51">
        <v>70</v>
      </c>
    </row>
    <row r="73" spans="1:6" ht="24.75" customHeight="1">
      <c r="A73" s="27" t="s">
        <v>20</v>
      </c>
      <c r="B73" s="27" t="str">
        <f>"李金平"</f>
        <v>李金平</v>
      </c>
      <c r="C73" s="27" t="str">
        <f t="shared" si="1"/>
        <v>女</v>
      </c>
      <c r="D73" s="27" t="str">
        <f>"460034199402070467"</f>
        <v>460034199402070467</v>
      </c>
      <c r="E73" s="51">
        <v>54.2</v>
      </c>
      <c r="F73" s="51">
        <v>71</v>
      </c>
    </row>
    <row r="74" spans="1:6" ht="24.75" customHeight="1">
      <c r="A74" s="27" t="s">
        <v>19</v>
      </c>
      <c r="B74" s="27" t="str">
        <f>"罗瑶"</f>
        <v>罗瑶</v>
      </c>
      <c r="C74" s="27" t="str">
        <f t="shared" si="1"/>
        <v>女</v>
      </c>
      <c r="D74" s="27" t="str">
        <f>"460033199706034565"</f>
        <v>460033199706034565</v>
      </c>
      <c r="E74" s="51">
        <v>54.1</v>
      </c>
      <c r="F74" s="51">
        <v>72</v>
      </c>
    </row>
    <row r="75" spans="1:6" ht="24.75" customHeight="1">
      <c r="A75" s="27" t="s">
        <v>19</v>
      </c>
      <c r="B75" s="27" t="str">
        <f>"周少琨"</f>
        <v>周少琨</v>
      </c>
      <c r="C75" s="27" t="str">
        <f t="shared" si="1"/>
        <v>女</v>
      </c>
      <c r="D75" s="27" t="str">
        <f>"460004199609054423"</f>
        <v>460004199609054423</v>
      </c>
      <c r="E75" s="51">
        <v>54</v>
      </c>
      <c r="F75" s="51">
        <v>73</v>
      </c>
    </row>
    <row r="76" spans="1:6" ht="24.75" customHeight="1">
      <c r="A76" s="27" t="s">
        <v>7</v>
      </c>
      <c r="B76" s="27" t="str">
        <f>"陈宛秋"</f>
        <v>陈宛秋</v>
      </c>
      <c r="C76" s="27" t="str">
        <f t="shared" si="1"/>
        <v>女</v>
      </c>
      <c r="D76" s="27" t="str">
        <f>"460033199705263227"</f>
        <v>460033199705263227</v>
      </c>
      <c r="E76" s="51">
        <v>54</v>
      </c>
      <c r="F76" s="51">
        <v>74</v>
      </c>
    </row>
    <row r="77" spans="1:6" ht="24.75" customHeight="1">
      <c r="A77" s="27" t="s">
        <v>7</v>
      </c>
      <c r="B77" s="27" t="str">
        <f>"郭登玲"</f>
        <v>郭登玲</v>
      </c>
      <c r="C77" s="27" t="str">
        <f t="shared" si="1"/>
        <v>女</v>
      </c>
      <c r="D77" s="27" t="str">
        <f>"46000319970114242X"</f>
        <v>46000319970114242X</v>
      </c>
      <c r="E77" s="51">
        <v>53.6</v>
      </c>
      <c r="F77" s="51">
        <v>75</v>
      </c>
    </row>
    <row r="78" spans="1:6" ht="24.75" customHeight="1">
      <c r="A78" s="27" t="s">
        <v>19</v>
      </c>
      <c r="B78" s="27" t="str">
        <f>"骆丽花"</f>
        <v>骆丽花</v>
      </c>
      <c r="C78" s="27" t="str">
        <f t="shared" si="1"/>
        <v>女</v>
      </c>
      <c r="D78" s="27" t="str">
        <f>"460003199511203068"</f>
        <v>460003199511203068</v>
      </c>
      <c r="E78" s="51">
        <v>53.2</v>
      </c>
      <c r="F78" s="51">
        <v>76</v>
      </c>
    </row>
    <row r="79" spans="1:6" ht="24.75" customHeight="1">
      <c r="A79" s="27" t="s">
        <v>43</v>
      </c>
      <c r="B79" s="27" t="str">
        <f>"洪李蝶"</f>
        <v>洪李蝶</v>
      </c>
      <c r="C79" s="27" t="str">
        <f t="shared" si="1"/>
        <v>女</v>
      </c>
      <c r="D79" s="27" t="str">
        <f>"469023200002081321"</f>
        <v>469023200002081321</v>
      </c>
      <c r="E79" s="51">
        <v>53.2</v>
      </c>
      <c r="F79" s="51">
        <v>77</v>
      </c>
    </row>
    <row r="80" spans="1:6" ht="24.75" customHeight="1">
      <c r="A80" s="27" t="s">
        <v>43</v>
      </c>
      <c r="B80" s="27" t="str">
        <f>"王彩玉"</f>
        <v>王彩玉</v>
      </c>
      <c r="C80" s="27" t="str">
        <f t="shared" si="1"/>
        <v>女</v>
      </c>
      <c r="D80" s="27" t="str">
        <f>"460028199511206063"</f>
        <v>460028199511206063</v>
      </c>
      <c r="E80" s="51">
        <v>52.2</v>
      </c>
      <c r="F80" s="51">
        <v>78</v>
      </c>
    </row>
    <row r="81" spans="1:6" ht="24.75" customHeight="1">
      <c r="A81" s="27" t="s">
        <v>19</v>
      </c>
      <c r="B81" s="27" t="str">
        <f>"陈红娇"</f>
        <v>陈红娇</v>
      </c>
      <c r="C81" s="27" t="str">
        <f t="shared" si="1"/>
        <v>女</v>
      </c>
      <c r="D81" s="27" t="str">
        <f>"460034199612065025"</f>
        <v>460034199612065025</v>
      </c>
      <c r="E81" s="51">
        <v>52.2</v>
      </c>
      <c r="F81" s="51">
        <v>79</v>
      </c>
    </row>
    <row r="82" spans="1:6" ht="24.75" customHeight="1">
      <c r="A82" s="27" t="s">
        <v>8</v>
      </c>
      <c r="B82" s="27" t="s">
        <v>67</v>
      </c>
      <c r="C82" s="27" t="s">
        <v>10</v>
      </c>
      <c r="D82" s="54" t="s">
        <v>68</v>
      </c>
      <c r="E82" s="51">
        <v>51.6</v>
      </c>
      <c r="F82" s="51">
        <v>80</v>
      </c>
    </row>
    <row r="83" spans="1:6" ht="24.75" customHeight="1">
      <c r="A83" s="27" t="s">
        <v>19</v>
      </c>
      <c r="B83" s="27" t="str">
        <f>"高婧"</f>
        <v>高婧</v>
      </c>
      <c r="C83" s="27" t="str">
        <f aca="true" t="shared" si="2" ref="C83:C90">"女"</f>
        <v>女</v>
      </c>
      <c r="D83" s="27" t="str">
        <f>"469007199610305362"</f>
        <v>469007199610305362</v>
      </c>
      <c r="E83" s="51">
        <v>51.6</v>
      </c>
      <c r="F83" s="51">
        <v>81</v>
      </c>
    </row>
    <row r="84" spans="1:6" ht="24.75" customHeight="1">
      <c r="A84" s="27" t="s">
        <v>7</v>
      </c>
      <c r="B84" s="27" t="str">
        <f>"陈倩灵"</f>
        <v>陈倩灵</v>
      </c>
      <c r="C84" s="27" t="str">
        <f t="shared" si="2"/>
        <v>女</v>
      </c>
      <c r="D84" s="27" t="str">
        <f>"460033199801203240"</f>
        <v>460033199801203240</v>
      </c>
      <c r="E84" s="51">
        <v>51.6</v>
      </c>
      <c r="F84" s="51">
        <v>82</v>
      </c>
    </row>
    <row r="85" spans="1:6" ht="24.75" customHeight="1">
      <c r="A85" s="27" t="s">
        <v>24</v>
      </c>
      <c r="B85" s="27" t="str">
        <f>"吴燕虹"</f>
        <v>吴燕虹</v>
      </c>
      <c r="C85" s="27" t="str">
        <f t="shared" si="2"/>
        <v>女</v>
      </c>
      <c r="D85" s="27" t="str">
        <f>"460031199807205287"</f>
        <v>460031199807205287</v>
      </c>
      <c r="E85" s="51">
        <v>51.4</v>
      </c>
      <c r="F85" s="51">
        <v>83</v>
      </c>
    </row>
    <row r="86" spans="1:6" ht="24.75" customHeight="1">
      <c r="A86" s="27" t="s">
        <v>21</v>
      </c>
      <c r="B86" s="27" t="str">
        <f>"吴金"</f>
        <v>吴金</v>
      </c>
      <c r="C86" s="27" t="str">
        <f t="shared" si="2"/>
        <v>女</v>
      </c>
      <c r="D86" s="27" t="str">
        <f>"460002199510252523"</f>
        <v>460002199510252523</v>
      </c>
      <c r="E86" s="51">
        <v>51.3</v>
      </c>
      <c r="F86" s="51">
        <v>84</v>
      </c>
    </row>
    <row r="87" spans="1:6" ht="24.75" customHeight="1">
      <c r="A87" s="27" t="s">
        <v>7</v>
      </c>
      <c r="B87" s="27" t="str">
        <f>"羊金秀"</f>
        <v>羊金秀</v>
      </c>
      <c r="C87" s="27" t="str">
        <f t="shared" si="2"/>
        <v>女</v>
      </c>
      <c r="D87" s="27" t="str">
        <f>"46000320001120342X"</f>
        <v>46000320001120342X</v>
      </c>
      <c r="E87" s="51">
        <v>51.2</v>
      </c>
      <c r="F87" s="51">
        <v>85</v>
      </c>
    </row>
    <row r="88" spans="1:6" ht="24.75" customHeight="1">
      <c r="A88" s="27" t="s">
        <v>12</v>
      </c>
      <c r="B88" s="27" t="str">
        <f>"彭景慧"</f>
        <v>彭景慧</v>
      </c>
      <c r="C88" s="27" t="str">
        <f t="shared" si="2"/>
        <v>女</v>
      </c>
      <c r="D88" s="27" t="str">
        <f>"460034199806050024"</f>
        <v>460034199806050024</v>
      </c>
      <c r="E88" s="51">
        <v>50.6</v>
      </c>
      <c r="F88" s="51">
        <v>86</v>
      </c>
    </row>
    <row r="89" spans="1:6" ht="24.75" customHeight="1">
      <c r="A89" s="27" t="s">
        <v>20</v>
      </c>
      <c r="B89" s="27" t="str">
        <f>"朱翠宁"</f>
        <v>朱翠宁</v>
      </c>
      <c r="C89" s="27" t="str">
        <f t="shared" si="2"/>
        <v>女</v>
      </c>
      <c r="D89" s="27" t="str">
        <f>"450421199310218063"</f>
        <v>450421199310218063</v>
      </c>
      <c r="E89" s="51">
        <v>50</v>
      </c>
      <c r="F89" s="51">
        <v>87</v>
      </c>
    </row>
    <row r="90" spans="1:6" ht="24.75" customHeight="1">
      <c r="A90" s="27" t="s">
        <v>21</v>
      </c>
      <c r="B90" s="27" t="str">
        <f>"李兰"</f>
        <v>李兰</v>
      </c>
      <c r="C90" s="27" t="str">
        <f t="shared" si="2"/>
        <v>女</v>
      </c>
      <c r="D90" s="27" t="str">
        <f>"460026199802210940"</f>
        <v>460026199802210940</v>
      </c>
      <c r="E90" s="51">
        <v>50</v>
      </c>
      <c r="F90" s="51">
        <v>88</v>
      </c>
    </row>
    <row r="91" spans="1:6" ht="24.75" customHeight="1">
      <c r="A91" s="27" t="s">
        <v>8</v>
      </c>
      <c r="B91" s="27" t="s">
        <v>69</v>
      </c>
      <c r="C91" s="27" t="s">
        <v>10</v>
      </c>
      <c r="D91" s="54" t="s">
        <v>70</v>
      </c>
      <c r="E91" s="51">
        <v>50</v>
      </c>
      <c r="F91" s="51">
        <v>89</v>
      </c>
    </row>
    <row r="92" spans="1:6" ht="24.75" customHeight="1">
      <c r="A92" s="27" t="s">
        <v>12</v>
      </c>
      <c r="B92" s="27" t="str">
        <f>"吴桂菲"</f>
        <v>吴桂菲</v>
      </c>
      <c r="C92" s="27" t="str">
        <f>"女"</f>
        <v>女</v>
      </c>
      <c r="D92" s="27" t="str">
        <f>"460103199510052726"</f>
        <v>460103199510052726</v>
      </c>
      <c r="E92" s="51">
        <v>49.8</v>
      </c>
      <c r="F92" s="51">
        <v>90</v>
      </c>
    </row>
    <row r="93" spans="1:6" ht="24.75" customHeight="1">
      <c r="A93" s="27" t="s">
        <v>20</v>
      </c>
      <c r="B93" s="27" t="str">
        <f>"陈玉菊"</f>
        <v>陈玉菊</v>
      </c>
      <c r="C93" s="27" t="str">
        <f>"女"</f>
        <v>女</v>
      </c>
      <c r="D93" s="27" t="str">
        <f>"460034199505200703"</f>
        <v>460034199505200703</v>
      </c>
      <c r="E93" s="51">
        <v>49.8</v>
      </c>
      <c r="F93" s="51">
        <v>91</v>
      </c>
    </row>
    <row r="94" spans="1:6" ht="24.75" customHeight="1">
      <c r="A94" s="27" t="s">
        <v>29</v>
      </c>
      <c r="B94" s="27" t="s">
        <v>71</v>
      </c>
      <c r="C94" s="27" t="s">
        <v>10</v>
      </c>
      <c r="D94" s="54" t="s">
        <v>72</v>
      </c>
      <c r="E94" s="51">
        <v>49.8</v>
      </c>
      <c r="F94" s="51">
        <v>92</v>
      </c>
    </row>
    <row r="95" spans="1:6" ht="24.75" customHeight="1">
      <c r="A95" s="27" t="s">
        <v>8</v>
      </c>
      <c r="B95" s="27" t="s">
        <v>73</v>
      </c>
      <c r="C95" s="27" t="s">
        <v>10</v>
      </c>
      <c r="D95" s="54" t="s">
        <v>74</v>
      </c>
      <c r="E95" s="51">
        <v>49.7</v>
      </c>
      <c r="F95" s="51">
        <v>93</v>
      </c>
    </row>
    <row r="96" spans="1:6" ht="24.75" customHeight="1">
      <c r="A96" s="27" t="s">
        <v>36</v>
      </c>
      <c r="B96" s="27" t="s">
        <v>75</v>
      </c>
      <c r="C96" s="27" t="s">
        <v>10</v>
      </c>
      <c r="D96" s="53" t="s">
        <v>76</v>
      </c>
      <c r="E96" s="51">
        <v>49.6</v>
      </c>
      <c r="F96" s="51">
        <v>94</v>
      </c>
    </row>
    <row r="97" spans="1:6" ht="24.75" customHeight="1">
      <c r="A97" s="27" t="s">
        <v>15</v>
      </c>
      <c r="B97" s="27" t="str">
        <f>"符丽娜"</f>
        <v>符丽娜</v>
      </c>
      <c r="C97" s="27" t="str">
        <f>"女"</f>
        <v>女</v>
      </c>
      <c r="D97" s="27" t="str">
        <f>"469028199808282129"</f>
        <v>469028199808282129</v>
      </c>
      <c r="E97" s="51">
        <v>49.2</v>
      </c>
      <c r="F97" s="51">
        <v>95</v>
      </c>
    </row>
    <row r="98" spans="1:6" ht="24.75" customHeight="1">
      <c r="A98" s="27" t="s">
        <v>16</v>
      </c>
      <c r="B98" s="27" t="str">
        <f>"符珠丽"</f>
        <v>符珠丽</v>
      </c>
      <c r="C98" s="27" t="str">
        <f>"女"</f>
        <v>女</v>
      </c>
      <c r="D98" s="27" t="str">
        <f>"460034199401202747"</f>
        <v>460034199401202747</v>
      </c>
      <c r="E98" s="51">
        <v>49.2</v>
      </c>
      <c r="F98" s="51">
        <v>96</v>
      </c>
    </row>
    <row r="99" spans="1:6" ht="24.75" customHeight="1">
      <c r="A99" s="27" t="s">
        <v>15</v>
      </c>
      <c r="B99" s="27" t="str">
        <f>"李开尾"</f>
        <v>李开尾</v>
      </c>
      <c r="C99" s="27" t="str">
        <f>"女"</f>
        <v>女</v>
      </c>
      <c r="D99" s="27" t="str">
        <f>"460031199910225286"</f>
        <v>460031199910225286</v>
      </c>
      <c r="E99" s="51">
        <v>48.8</v>
      </c>
      <c r="F99" s="51">
        <v>97</v>
      </c>
    </row>
    <row r="100" spans="1:6" ht="24.75" customHeight="1">
      <c r="A100" s="27" t="s">
        <v>43</v>
      </c>
      <c r="B100" s="27" t="str">
        <f>"肖薪芯"</f>
        <v>肖薪芯</v>
      </c>
      <c r="C100" s="27" t="str">
        <f>"女"</f>
        <v>女</v>
      </c>
      <c r="D100" s="27" t="str">
        <f>"46902820010215004X"</f>
        <v>46902820010215004X</v>
      </c>
      <c r="E100" s="51">
        <v>48.5</v>
      </c>
      <c r="F100" s="51">
        <v>98</v>
      </c>
    </row>
    <row r="101" spans="1:6" ht="24.75" customHeight="1">
      <c r="A101" s="27" t="s">
        <v>36</v>
      </c>
      <c r="B101" s="27" t="s">
        <v>77</v>
      </c>
      <c r="C101" s="27" t="s">
        <v>10</v>
      </c>
      <c r="D101" s="54" t="s">
        <v>78</v>
      </c>
      <c r="E101" s="51">
        <v>48.1</v>
      </c>
      <c r="F101" s="51">
        <v>99</v>
      </c>
    </row>
    <row r="102" spans="1:6" ht="24.75" customHeight="1">
      <c r="A102" s="27" t="s">
        <v>20</v>
      </c>
      <c r="B102" s="27" t="str">
        <f>" 谢吉英"</f>
        <v> 谢吉英</v>
      </c>
      <c r="C102" s="27" t="str">
        <f>"女"</f>
        <v>女</v>
      </c>
      <c r="D102" s="27" t="str">
        <f>"460003199510062427"</f>
        <v>460003199510062427</v>
      </c>
      <c r="E102" s="51">
        <v>48</v>
      </c>
      <c r="F102" s="51">
        <v>100</v>
      </c>
    </row>
    <row r="103" spans="1:6" ht="24.75" customHeight="1">
      <c r="A103" s="27" t="s">
        <v>43</v>
      </c>
      <c r="B103" s="27" t="str">
        <f>"杨明非"</f>
        <v>杨明非</v>
      </c>
      <c r="C103" s="27" t="str">
        <f>"女"</f>
        <v>女</v>
      </c>
      <c r="D103" s="27" t="str">
        <f>"460200199303051882"</f>
        <v>460200199303051882</v>
      </c>
      <c r="E103" s="51">
        <v>48</v>
      </c>
      <c r="F103" s="51">
        <v>101</v>
      </c>
    </row>
    <row r="104" spans="1:6" ht="24.75" customHeight="1">
      <c r="A104" s="27" t="s">
        <v>24</v>
      </c>
      <c r="B104" s="27" t="str">
        <f>"陈亚桃"</f>
        <v>陈亚桃</v>
      </c>
      <c r="C104" s="27" t="str">
        <f>"女"</f>
        <v>女</v>
      </c>
      <c r="D104" s="27" t="str">
        <f>"460003199911203227"</f>
        <v>460003199911203227</v>
      </c>
      <c r="E104" s="51">
        <v>48</v>
      </c>
      <c r="F104" s="51">
        <v>102</v>
      </c>
    </row>
    <row r="105" spans="1:6" ht="24.75" customHeight="1">
      <c r="A105" s="27" t="s">
        <v>12</v>
      </c>
      <c r="B105" s="27" t="str">
        <f>"许少华"</f>
        <v>许少华</v>
      </c>
      <c r="C105" s="27" t="str">
        <f>"女"</f>
        <v>女</v>
      </c>
      <c r="D105" s="27" t="str">
        <f>"460034199504145028"</f>
        <v>460034199504145028</v>
      </c>
      <c r="E105" s="51">
        <v>47.9</v>
      </c>
      <c r="F105" s="51">
        <v>103</v>
      </c>
    </row>
    <row r="106" spans="1:6" ht="24.75" customHeight="1">
      <c r="A106" s="27" t="s">
        <v>29</v>
      </c>
      <c r="B106" s="27" t="s">
        <v>79</v>
      </c>
      <c r="C106" s="27" t="s">
        <v>10</v>
      </c>
      <c r="D106" s="53" t="s">
        <v>80</v>
      </c>
      <c r="E106" s="51">
        <v>47.8</v>
      </c>
      <c r="F106" s="51">
        <v>104</v>
      </c>
    </row>
    <row r="107" spans="1:6" ht="24.75" customHeight="1">
      <c r="A107" s="27" t="s">
        <v>15</v>
      </c>
      <c r="B107" s="27" t="str">
        <f>"符绿萍"</f>
        <v>符绿萍</v>
      </c>
      <c r="C107" s="27" t="str">
        <f>"女"</f>
        <v>女</v>
      </c>
      <c r="D107" s="27" t="str">
        <f>"460003199805076025"</f>
        <v>460003199805076025</v>
      </c>
      <c r="E107" s="51">
        <v>47.7</v>
      </c>
      <c r="F107" s="51">
        <v>105</v>
      </c>
    </row>
    <row r="108" spans="1:6" ht="24.75" customHeight="1">
      <c r="A108" s="27" t="s">
        <v>36</v>
      </c>
      <c r="B108" s="27" t="s">
        <v>81</v>
      </c>
      <c r="C108" s="27" t="s">
        <v>10</v>
      </c>
      <c r="D108" s="54" t="s">
        <v>82</v>
      </c>
      <c r="E108" s="51">
        <v>47.2</v>
      </c>
      <c r="F108" s="51">
        <v>106</v>
      </c>
    </row>
    <row r="109" spans="1:6" ht="24.75" customHeight="1">
      <c r="A109" s="27" t="s">
        <v>19</v>
      </c>
      <c r="B109" s="27" t="str">
        <f>"朱娇淋"</f>
        <v>朱娇淋</v>
      </c>
      <c r="C109" s="27" t="str">
        <f>"女"</f>
        <v>女</v>
      </c>
      <c r="D109" s="27" t="str">
        <f>"460034199302010424"</f>
        <v>460034199302010424</v>
      </c>
      <c r="E109" s="51">
        <v>47.2</v>
      </c>
      <c r="F109" s="51">
        <v>107</v>
      </c>
    </row>
    <row r="110" spans="1:6" ht="24.75" customHeight="1">
      <c r="A110" s="27" t="s">
        <v>8</v>
      </c>
      <c r="B110" s="27" t="s">
        <v>83</v>
      </c>
      <c r="C110" s="27" t="s">
        <v>10</v>
      </c>
      <c r="D110" s="54" t="s">
        <v>84</v>
      </c>
      <c r="E110" s="51">
        <v>47.2</v>
      </c>
      <c r="F110" s="51">
        <v>108</v>
      </c>
    </row>
    <row r="111" spans="1:6" ht="24.75" customHeight="1">
      <c r="A111" s="27" t="s">
        <v>43</v>
      </c>
      <c r="B111" s="27" t="str">
        <f>"郭玉玲"</f>
        <v>郭玉玲</v>
      </c>
      <c r="C111" s="27" t="str">
        <f>"女"</f>
        <v>女</v>
      </c>
      <c r="D111" s="27" t="str">
        <f>"460034199410014721"</f>
        <v>460034199410014721</v>
      </c>
      <c r="E111" s="51">
        <v>47.1</v>
      </c>
      <c r="F111" s="51">
        <v>109</v>
      </c>
    </row>
    <row r="112" spans="1:6" ht="24.75" customHeight="1">
      <c r="A112" s="27" t="s">
        <v>12</v>
      </c>
      <c r="B112" s="27" t="str">
        <f>"马小按"</f>
        <v>马小按</v>
      </c>
      <c r="C112" s="27" t="str">
        <f>"女"</f>
        <v>女</v>
      </c>
      <c r="D112" s="27" t="str">
        <f>"460034199704143625"</f>
        <v>460034199704143625</v>
      </c>
      <c r="E112" s="51">
        <v>47</v>
      </c>
      <c r="F112" s="51">
        <v>110</v>
      </c>
    </row>
    <row r="113" spans="1:6" ht="24.75" customHeight="1">
      <c r="A113" s="27" t="s">
        <v>20</v>
      </c>
      <c r="B113" s="27" t="str">
        <f>"陈三红"</f>
        <v>陈三红</v>
      </c>
      <c r="C113" s="27" t="str">
        <f>"女"</f>
        <v>女</v>
      </c>
      <c r="D113" s="27" t="str">
        <f>"460003199304015646"</f>
        <v>460003199304015646</v>
      </c>
      <c r="E113" s="51">
        <v>46.9</v>
      </c>
      <c r="F113" s="51">
        <v>111</v>
      </c>
    </row>
    <row r="114" spans="1:6" ht="24.75" customHeight="1">
      <c r="A114" s="27" t="s">
        <v>43</v>
      </c>
      <c r="B114" s="27" t="str">
        <f>"颜春燕"</f>
        <v>颜春燕</v>
      </c>
      <c r="C114" s="27" t="str">
        <f>"女"</f>
        <v>女</v>
      </c>
      <c r="D114" s="27" t="str">
        <f>"460025199501121227"</f>
        <v>460025199501121227</v>
      </c>
      <c r="E114" s="51">
        <v>46.6</v>
      </c>
      <c r="F114" s="51">
        <v>112</v>
      </c>
    </row>
    <row r="115" spans="1:6" ht="24.75" customHeight="1">
      <c r="A115" s="27" t="s">
        <v>12</v>
      </c>
      <c r="B115" s="27" t="str">
        <f>"陈彩娇"</f>
        <v>陈彩娇</v>
      </c>
      <c r="C115" s="27" t="str">
        <f>"女"</f>
        <v>女</v>
      </c>
      <c r="D115" s="27" t="str">
        <f>"460003199604126225"</f>
        <v>460003199604126225</v>
      </c>
      <c r="E115" s="51">
        <v>46.4</v>
      </c>
      <c r="F115" s="51">
        <v>113</v>
      </c>
    </row>
    <row r="116" spans="1:6" ht="24.75" customHeight="1">
      <c r="A116" s="27" t="s">
        <v>36</v>
      </c>
      <c r="B116" s="27" t="s">
        <v>85</v>
      </c>
      <c r="C116" s="27" t="s">
        <v>10</v>
      </c>
      <c r="D116" s="54" t="s">
        <v>86</v>
      </c>
      <c r="E116" s="51">
        <v>46</v>
      </c>
      <c r="F116" s="51">
        <v>114</v>
      </c>
    </row>
    <row r="117" spans="1:6" ht="24.75" customHeight="1">
      <c r="A117" s="27" t="s">
        <v>15</v>
      </c>
      <c r="B117" s="27" t="str">
        <f>"李书彩"</f>
        <v>李书彩</v>
      </c>
      <c r="C117" s="27" t="str">
        <f>"女"</f>
        <v>女</v>
      </c>
      <c r="D117" s="27" t="str">
        <f>"460003199912305823"</f>
        <v>460003199912305823</v>
      </c>
      <c r="E117" s="51">
        <v>46</v>
      </c>
      <c r="F117" s="51">
        <v>115</v>
      </c>
    </row>
    <row r="118" spans="1:6" ht="24.75" customHeight="1">
      <c r="A118" s="27" t="s">
        <v>7</v>
      </c>
      <c r="B118" s="27" t="str">
        <f>"苏彩鸿"</f>
        <v>苏彩鸿</v>
      </c>
      <c r="C118" s="27" t="str">
        <f>"女"</f>
        <v>女</v>
      </c>
      <c r="D118" s="27" t="str">
        <f>"460003199606105428"</f>
        <v>460003199606105428</v>
      </c>
      <c r="E118" s="51">
        <v>45.8</v>
      </c>
      <c r="F118" s="51">
        <v>116</v>
      </c>
    </row>
    <row r="119" spans="1:6" ht="24.75" customHeight="1">
      <c r="A119" s="27" t="s">
        <v>16</v>
      </c>
      <c r="B119" s="27" t="str">
        <f>"杨亚灵"</f>
        <v>杨亚灵</v>
      </c>
      <c r="C119" s="27" t="str">
        <f>"女"</f>
        <v>女</v>
      </c>
      <c r="D119" s="27" t="str">
        <f>"460034199412080466"</f>
        <v>460034199412080466</v>
      </c>
      <c r="E119" s="51">
        <v>45.8</v>
      </c>
      <c r="F119" s="51">
        <v>117</v>
      </c>
    </row>
    <row r="120" spans="1:6" ht="24.75" customHeight="1">
      <c r="A120" s="27" t="s">
        <v>8</v>
      </c>
      <c r="B120" s="27" t="s">
        <v>87</v>
      </c>
      <c r="C120" s="27" t="s">
        <v>10</v>
      </c>
      <c r="D120" s="54" t="s">
        <v>88</v>
      </c>
      <c r="E120" s="51">
        <v>45.4</v>
      </c>
      <c r="F120" s="51">
        <v>118</v>
      </c>
    </row>
    <row r="121" spans="1:6" ht="24.75" customHeight="1">
      <c r="A121" s="27" t="s">
        <v>20</v>
      </c>
      <c r="B121" s="27" t="str">
        <f>"陈香燕"</f>
        <v>陈香燕</v>
      </c>
      <c r="C121" s="27" t="str">
        <f>"女"</f>
        <v>女</v>
      </c>
      <c r="D121" s="27" t="str">
        <f>"460032199412106168"</f>
        <v>460032199412106168</v>
      </c>
      <c r="E121" s="51">
        <v>45.4</v>
      </c>
      <c r="F121" s="51">
        <v>119</v>
      </c>
    </row>
    <row r="122" spans="1:6" ht="24.75" customHeight="1">
      <c r="A122" s="27" t="s">
        <v>43</v>
      </c>
      <c r="B122" s="27" t="str">
        <f>"黎雪丽"</f>
        <v>黎雪丽</v>
      </c>
      <c r="C122" s="27" t="str">
        <f>"女"</f>
        <v>女</v>
      </c>
      <c r="D122" s="27" t="str">
        <f>"460034199404050945"</f>
        <v>460034199404050945</v>
      </c>
      <c r="E122" s="51">
        <v>45.3</v>
      </c>
      <c r="F122" s="51">
        <v>120</v>
      </c>
    </row>
    <row r="123" spans="1:6" ht="24.75" customHeight="1">
      <c r="A123" s="27" t="s">
        <v>15</v>
      </c>
      <c r="B123" s="27" t="str">
        <f>"符金竹"</f>
        <v>符金竹</v>
      </c>
      <c r="C123" s="27" t="str">
        <f>"女"</f>
        <v>女</v>
      </c>
      <c r="D123" s="27" t="str">
        <f>"469024199803136821"</f>
        <v>469024199803136821</v>
      </c>
      <c r="E123" s="51">
        <v>45.3</v>
      </c>
      <c r="F123" s="51">
        <v>121</v>
      </c>
    </row>
    <row r="124" spans="1:6" ht="24.75" customHeight="1">
      <c r="A124" s="27" t="s">
        <v>8</v>
      </c>
      <c r="B124" s="27" t="s">
        <v>89</v>
      </c>
      <c r="C124" s="27" t="s">
        <v>10</v>
      </c>
      <c r="D124" s="54" t="s">
        <v>90</v>
      </c>
      <c r="E124" s="51">
        <v>45.3</v>
      </c>
      <c r="F124" s="51">
        <v>122</v>
      </c>
    </row>
    <row r="125" spans="1:6" ht="24.75" customHeight="1">
      <c r="A125" s="27" t="s">
        <v>8</v>
      </c>
      <c r="B125" s="27" t="s">
        <v>91</v>
      </c>
      <c r="C125" s="27" t="s">
        <v>10</v>
      </c>
      <c r="D125" s="54" t="s">
        <v>92</v>
      </c>
      <c r="E125" s="51">
        <v>45</v>
      </c>
      <c r="F125" s="51">
        <v>123</v>
      </c>
    </row>
    <row r="126" spans="1:6" ht="24.75" customHeight="1">
      <c r="A126" s="27" t="s">
        <v>16</v>
      </c>
      <c r="B126" s="27" t="str">
        <f>"蒙燕妃"</f>
        <v>蒙燕妃</v>
      </c>
      <c r="C126" s="27" t="str">
        <f>"女"</f>
        <v>女</v>
      </c>
      <c r="D126" s="27" t="str">
        <f>"46000619970730162X"</f>
        <v>46000619970730162X</v>
      </c>
      <c r="E126" s="51">
        <v>45</v>
      </c>
      <c r="F126" s="51">
        <v>124</v>
      </c>
    </row>
    <row r="127" spans="1:6" ht="24.75" customHeight="1">
      <c r="A127" s="27" t="s">
        <v>12</v>
      </c>
      <c r="B127" s="27" t="str">
        <f>"高梦芸"</f>
        <v>高梦芸</v>
      </c>
      <c r="C127" s="27" t="str">
        <f>"女"</f>
        <v>女</v>
      </c>
      <c r="D127" s="27" t="str">
        <f>"460033199701163261"</f>
        <v>460033199701163261</v>
      </c>
      <c r="E127" s="51">
        <v>45</v>
      </c>
      <c r="F127" s="51">
        <v>125</v>
      </c>
    </row>
    <row r="128" spans="1:6" ht="24.75" customHeight="1">
      <c r="A128" s="27" t="s">
        <v>29</v>
      </c>
      <c r="B128" s="27" t="s">
        <v>93</v>
      </c>
      <c r="C128" s="27" t="s">
        <v>10</v>
      </c>
      <c r="D128" s="54" t="s">
        <v>94</v>
      </c>
      <c r="E128" s="51">
        <v>45</v>
      </c>
      <c r="F128" s="51">
        <v>126</v>
      </c>
    </row>
    <row r="129" spans="1:6" ht="24.75" customHeight="1">
      <c r="A129" s="27" t="s">
        <v>19</v>
      </c>
      <c r="B129" s="27" t="str">
        <f>"董思菁"</f>
        <v>董思菁</v>
      </c>
      <c r="C129" s="27" t="str">
        <f>"女"</f>
        <v>女</v>
      </c>
      <c r="D129" s="27" t="str">
        <f>"460200199610063162"</f>
        <v>460200199610063162</v>
      </c>
      <c r="E129" s="51">
        <v>44.400000000000006</v>
      </c>
      <c r="F129" s="51">
        <v>127</v>
      </c>
    </row>
    <row r="130" spans="1:6" ht="24.75" customHeight="1">
      <c r="A130" s="27" t="s">
        <v>8</v>
      </c>
      <c r="B130" s="27" t="s">
        <v>95</v>
      </c>
      <c r="C130" s="27" t="s">
        <v>10</v>
      </c>
      <c r="D130" s="54" t="s">
        <v>96</v>
      </c>
      <c r="E130" s="51">
        <v>44.2</v>
      </c>
      <c r="F130" s="51">
        <v>128</v>
      </c>
    </row>
    <row r="131" spans="1:6" ht="24.75" customHeight="1">
      <c r="A131" s="27" t="s">
        <v>16</v>
      </c>
      <c r="B131" s="27" t="str">
        <f>"杨雪娇"</f>
        <v>杨雪娇</v>
      </c>
      <c r="C131" s="27" t="str">
        <f>"女"</f>
        <v>女</v>
      </c>
      <c r="D131" s="27" t="str">
        <f>"460033199807106601"</f>
        <v>460033199807106601</v>
      </c>
      <c r="E131" s="51">
        <v>44.1</v>
      </c>
      <c r="F131" s="51">
        <v>129</v>
      </c>
    </row>
    <row r="132" spans="1:6" ht="24.75" customHeight="1">
      <c r="A132" s="27" t="s">
        <v>7</v>
      </c>
      <c r="B132" s="27" t="str">
        <f>"邓翠"</f>
        <v>邓翠</v>
      </c>
      <c r="C132" s="27" t="str">
        <f>"女"</f>
        <v>女</v>
      </c>
      <c r="D132" s="27" t="str">
        <f>"46002519990124092X"</f>
        <v>46002519990124092X</v>
      </c>
      <c r="E132" s="51">
        <v>44</v>
      </c>
      <c r="F132" s="51">
        <v>130</v>
      </c>
    </row>
    <row r="133" spans="1:6" ht="24.75" customHeight="1">
      <c r="A133" s="27" t="s">
        <v>36</v>
      </c>
      <c r="B133" s="27" t="s">
        <v>97</v>
      </c>
      <c r="C133" s="27" t="s">
        <v>10</v>
      </c>
      <c r="D133" s="54" t="s">
        <v>98</v>
      </c>
      <c r="E133" s="51">
        <v>44</v>
      </c>
      <c r="F133" s="51">
        <v>131</v>
      </c>
    </row>
    <row r="134" spans="1:6" ht="24.75" customHeight="1">
      <c r="A134" s="27" t="s">
        <v>24</v>
      </c>
      <c r="B134" s="27" t="str">
        <f>"郑欣惠"</f>
        <v>郑欣惠</v>
      </c>
      <c r="C134" s="27" t="str">
        <f>"女"</f>
        <v>女</v>
      </c>
      <c r="D134" s="27" t="str">
        <f>"460035199002121145"</f>
        <v>460035199002121145</v>
      </c>
      <c r="E134" s="51">
        <v>43.7</v>
      </c>
      <c r="F134" s="51">
        <v>132</v>
      </c>
    </row>
    <row r="135" spans="1:6" ht="24.75" customHeight="1">
      <c r="A135" s="27" t="s">
        <v>8</v>
      </c>
      <c r="B135" s="27" t="s">
        <v>99</v>
      </c>
      <c r="C135" s="27" t="s">
        <v>10</v>
      </c>
      <c r="D135" s="54" t="s">
        <v>100</v>
      </c>
      <c r="E135" s="51">
        <v>42.8</v>
      </c>
      <c r="F135" s="51">
        <v>133</v>
      </c>
    </row>
    <row r="136" spans="1:6" ht="24.75" customHeight="1">
      <c r="A136" s="27" t="s">
        <v>36</v>
      </c>
      <c r="B136" s="27" t="s">
        <v>101</v>
      </c>
      <c r="C136" s="27" t="s">
        <v>10</v>
      </c>
      <c r="D136" s="53" t="s">
        <v>102</v>
      </c>
      <c r="E136" s="51">
        <v>42.8</v>
      </c>
      <c r="F136" s="51">
        <v>134</v>
      </c>
    </row>
    <row r="137" spans="1:6" ht="24.75" customHeight="1">
      <c r="A137" s="27" t="s">
        <v>43</v>
      </c>
      <c r="B137" s="27" t="str">
        <f>"姚亚雾"</f>
        <v>姚亚雾</v>
      </c>
      <c r="C137" s="27" t="str">
        <f aca="true" t="shared" si="3" ref="C137:C146">"女"</f>
        <v>女</v>
      </c>
      <c r="D137" s="27" t="str">
        <f>"460034199506091828"</f>
        <v>460034199506091828</v>
      </c>
      <c r="E137" s="51">
        <v>42.6</v>
      </c>
      <c r="F137" s="51">
        <v>135</v>
      </c>
    </row>
    <row r="138" spans="1:6" ht="24.75" customHeight="1">
      <c r="A138" s="27" t="s">
        <v>43</v>
      </c>
      <c r="B138" s="27" t="str">
        <f>"胡亚群"</f>
        <v>胡亚群</v>
      </c>
      <c r="C138" s="27" t="str">
        <f t="shared" si="3"/>
        <v>女</v>
      </c>
      <c r="D138" s="27" t="str">
        <f>"46003419910920362X"</f>
        <v>46003419910920362X</v>
      </c>
      <c r="E138" s="51">
        <v>42.2</v>
      </c>
      <c r="F138" s="51">
        <v>136</v>
      </c>
    </row>
    <row r="139" spans="1:6" ht="24.75" customHeight="1">
      <c r="A139" s="27" t="s">
        <v>15</v>
      </c>
      <c r="B139" s="27" t="str">
        <f>"关华琳"</f>
        <v>关华琳</v>
      </c>
      <c r="C139" s="27" t="str">
        <f t="shared" si="3"/>
        <v>女</v>
      </c>
      <c r="D139" s="27" t="str">
        <f>"460033199908174486"</f>
        <v>460033199908174486</v>
      </c>
      <c r="E139" s="51">
        <v>42</v>
      </c>
      <c r="F139" s="51">
        <v>137</v>
      </c>
    </row>
    <row r="140" spans="1:6" ht="24.75" customHeight="1">
      <c r="A140" s="27" t="s">
        <v>24</v>
      </c>
      <c r="B140" s="27" t="str">
        <f>"郑卿卿"</f>
        <v>郑卿卿</v>
      </c>
      <c r="C140" s="27" t="str">
        <f t="shared" si="3"/>
        <v>女</v>
      </c>
      <c r="D140" s="27" t="str">
        <f>"460003199603047226"</f>
        <v>460003199603047226</v>
      </c>
      <c r="E140" s="51">
        <v>41.8</v>
      </c>
      <c r="F140" s="51">
        <v>138</v>
      </c>
    </row>
    <row r="141" spans="1:6" ht="24.75" customHeight="1">
      <c r="A141" s="27" t="s">
        <v>20</v>
      </c>
      <c r="B141" s="27" t="str">
        <f>"吴贞优"</f>
        <v>吴贞优</v>
      </c>
      <c r="C141" s="27" t="str">
        <f t="shared" si="3"/>
        <v>女</v>
      </c>
      <c r="D141" s="27" t="str">
        <f>"469027199502163227"</f>
        <v>469027199502163227</v>
      </c>
      <c r="E141" s="51">
        <v>41.599999999999994</v>
      </c>
      <c r="F141" s="51">
        <v>139</v>
      </c>
    </row>
    <row r="142" spans="1:6" ht="24.75" customHeight="1">
      <c r="A142" s="27" t="s">
        <v>20</v>
      </c>
      <c r="B142" s="27" t="str">
        <f>"王小丽"</f>
        <v>王小丽</v>
      </c>
      <c r="C142" s="27" t="str">
        <f t="shared" si="3"/>
        <v>女</v>
      </c>
      <c r="D142" s="27" t="str">
        <f>"460034199506110443"</f>
        <v>460034199506110443</v>
      </c>
      <c r="E142" s="51">
        <v>41.3</v>
      </c>
      <c r="F142" s="51">
        <v>140</v>
      </c>
    </row>
    <row r="143" spans="1:6" ht="24.75" customHeight="1">
      <c r="A143" s="27" t="s">
        <v>20</v>
      </c>
      <c r="B143" s="27" t="str">
        <f>"何芳"</f>
        <v>何芳</v>
      </c>
      <c r="C143" s="27" t="str">
        <f t="shared" si="3"/>
        <v>女</v>
      </c>
      <c r="D143" s="27" t="str">
        <f>"460033199703233585"</f>
        <v>460033199703233585</v>
      </c>
      <c r="E143" s="51">
        <v>40.5</v>
      </c>
      <c r="F143" s="51">
        <v>141</v>
      </c>
    </row>
    <row r="144" spans="1:6" ht="24.75" customHeight="1">
      <c r="A144" s="27" t="s">
        <v>15</v>
      </c>
      <c r="B144" s="27" t="str">
        <f>"林秋景"</f>
        <v>林秋景</v>
      </c>
      <c r="C144" s="27" t="str">
        <f t="shared" si="3"/>
        <v>女</v>
      </c>
      <c r="D144" s="27" t="str">
        <f>"460034199407132428"</f>
        <v>460034199407132428</v>
      </c>
      <c r="E144" s="51">
        <v>40.4</v>
      </c>
      <c r="F144" s="51">
        <v>142</v>
      </c>
    </row>
    <row r="145" spans="1:6" ht="24.75" customHeight="1">
      <c r="A145" s="27" t="s">
        <v>21</v>
      </c>
      <c r="B145" s="27" t="str">
        <f>"陈运丽"</f>
        <v>陈运丽</v>
      </c>
      <c r="C145" s="27" t="str">
        <f t="shared" si="3"/>
        <v>女</v>
      </c>
      <c r="D145" s="27" t="str">
        <f>"460033199408163887"</f>
        <v>460033199408163887</v>
      </c>
      <c r="E145" s="51">
        <v>40.2</v>
      </c>
      <c r="F145" s="51">
        <v>143</v>
      </c>
    </row>
    <row r="146" spans="1:6" ht="24.75" customHeight="1">
      <c r="A146" s="27" t="s">
        <v>21</v>
      </c>
      <c r="B146" s="27" t="str">
        <f>"王英赞"</f>
        <v>王英赞</v>
      </c>
      <c r="C146" s="27" t="str">
        <f t="shared" si="3"/>
        <v>女</v>
      </c>
      <c r="D146" s="27" t="str">
        <f>"460034199806273623"</f>
        <v>460034199806273623</v>
      </c>
      <c r="E146" s="51">
        <v>40.1</v>
      </c>
      <c r="F146" s="51">
        <v>144</v>
      </c>
    </row>
    <row r="147" spans="1:6" ht="24.75" customHeight="1">
      <c r="A147" s="27" t="s">
        <v>19</v>
      </c>
      <c r="B147" s="27" t="str">
        <f>"李国倡"</f>
        <v>李国倡</v>
      </c>
      <c r="C147" s="27" t="str">
        <f>"男"</f>
        <v>男</v>
      </c>
      <c r="D147" s="27" t="str">
        <f>"460003199810086631"</f>
        <v>460003199810086631</v>
      </c>
      <c r="E147" s="4" t="s">
        <v>103</v>
      </c>
      <c r="F147" s="51">
        <v>145</v>
      </c>
    </row>
    <row r="148" spans="1:6" ht="24.75" customHeight="1">
      <c r="A148" s="27" t="s">
        <v>16</v>
      </c>
      <c r="B148" s="27" t="str">
        <f>"郭健雄"</f>
        <v>郭健雄</v>
      </c>
      <c r="C148" s="27" t="str">
        <f>"男"</f>
        <v>男</v>
      </c>
      <c r="D148" s="27" t="str">
        <f>"460003199605192611"</f>
        <v>460003199605192611</v>
      </c>
      <c r="E148" s="4" t="s">
        <v>103</v>
      </c>
      <c r="F148" s="51">
        <v>146</v>
      </c>
    </row>
    <row r="149" spans="1:6" ht="24.75" customHeight="1">
      <c r="A149" s="27" t="s">
        <v>7</v>
      </c>
      <c r="B149" s="27" t="str">
        <f>"钟丹萍"</f>
        <v>钟丹萍</v>
      </c>
      <c r="C149" s="27" t="str">
        <f>"女"</f>
        <v>女</v>
      </c>
      <c r="D149" s="27" t="str">
        <f>"460028199604066928"</f>
        <v>460028199604066928</v>
      </c>
      <c r="E149" s="4" t="s">
        <v>103</v>
      </c>
      <c r="F149" s="51">
        <v>147</v>
      </c>
    </row>
    <row r="150" spans="1:6" ht="24.75" customHeight="1">
      <c r="A150" s="27" t="s">
        <v>7</v>
      </c>
      <c r="B150" s="27" t="str">
        <f>"吴兴武"</f>
        <v>吴兴武</v>
      </c>
      <c r="C150" s="27" t="str">
        <f>"男"</f>
        <v>男</v>
      </c>
      <c r="D150" s="27" t="str">
        <f>"460003199806066638"</f>
        <v>460003199806066638</v>
      </c>
      <c r="E150" s="4" t="s">
        <v>103</v>
      </c>
      <c r="F150" s="51">
        <v>148</v>
      </c>
    </row>
    <row r="151" spans="1:6" ht="24.75" customHeight="1">
      <c r="A151" s="27" t="s">
        <v>15</v>
      </c>
      <c r="B151" s="27" t="str">
        <f>"邢维婧"</f>
        <v>邢维婧</v>
      </c>
      <c r="C151" s="27" t="str">
        <f>"女"</f>
        <v>女</v>
      </c>
      <c r="D151" s="27" t="str">
        <f>"460033199612293224"</f>
        <v>460033199612293224</v>
      </c>
      <c r="E151" s="4" t="s">
        <v>103</v>
      </c>
      <c r="F151" s="51">
        <v>149</v>
      </c>
    </row>
    <row r="152" spans="1:6" ht="24.75" customHeight="1">
      <c r="A152" s="27" t="s">
        <v>20</v>
      </c>
      <c r="B152" s="27" t="str">
        <f>"林连美"</f>
        <v>林连美</v>
      </c>
      <c r="C152" s="27" t="str">
        <f>"女"</f>
        <v>女</v>
      </c>
      <c r="D152" s="27" t="str">
        <f>"460006199402061709"</f>
        <v>460006199402061709</v>
      </c>
      <c r="E152" s="4" t="s">
        <v>103</v>
      </c>
      <c r="F152" s="51">
        <v>150</v>
      </c>
    </row>
    <row r="153" spans="1:6" ht="24.75" customHeight="1">
      <c r="A153" s="27" t="s">
        <v>19</v>
      </c>
      <c r="B153" s="27" t="str">
        <f>"钟文彩"</f>
        <v>钟文彩</v>
      </c>
      <c r="C153" s="27" t="str">
        <f>"女"</f>
        <v>女</v>
      </c>
      <c r="D153" s="27" t="str">
        <f>"460031199701104824"</f>
        <v>460031199701104824</v>
      </c>
      <c r="E153" s="4" t="s">
        <v>103</v>
      </c>
      <c r="F153" s="51">
        <v>151</v>
      </c>
    </row>
    <row r="154" spans="1:6" ht="24.75" customHeight="1">
      <c r="A154" s="27" t="s">
        <v>19</v>
      </c>
      <c r="B154" s="27" t="str">
        <f>"罗家莉"</f>
        <v>罗家莉</v>
      </c>
      <c r="C154" s="27" t="str">
        <f>"女"</f>
        <v>女</v>
      </c>
      <c r="D154" s="27" t="str">
        <f>"460006199902030028"</f>
        <v>460006199902030028</v>
      </c>
      <c r="E154" s="4" t="s">
        <v>103</v>
      </c>
      <c r="F154" s="51">
        <v>152</v>
      </c>
    </row>
    <row r="155" spans="1:6" ht="24.75" customHeight="1">
      <c r="A155" s="27" t="s">
        <v>36</v>
      </c>
      <c r="B155" s="27" t="s">
        <v>104</v>
      </c>
      <c r="C155" s="27" t="s">
        <v>10</v>
      </c>
      <c r="D155" s="53" t="s">
        <v>105</v>
      </c>
      <c r="E155" s="4" t="s">
        <v>103</v>
      </c>
      <c r="F155" s="51">
        <v>153</v>
      </c>
    </row>
    <row r="156" spans="1:6" ht="24.75" customHeight="1">
      <c r="A156" s="27" t="s">
        <v>12</v>
      </c>
      <c r="B156" s="27" t="str">
        <f>"胡大妹"</f>
        <v>胡大妹</v>
      </c>
      <c r="C156" s="27" t="str">
        <f aca="true" t="shared" si="4" ref="C156:C163">"女"</f>
        <v>女</v>
      </c>
      <c r="D156" s="27" t="str">
        <f>"460034199407214124"</f>
        <v>460034199407214124</v>
      </c>
      <c r="E156" s="4" t="s">
        <v>103</v>
      </c>
      <c r="F156" s="51">
        <v>154</v>
      </c>
    </row>
    <row r="157" spans="1:6" ht="24.75" customHeight="1">
      <c r="A157" s="27" t="s">
        <v>12</v>
      </c>
      <c r="B157" s="27" t="str">
        <f>"吴利"</f>
        <v>吴利</v>
      </c>
      <c r="C157" s="27" t="str">
        <f t="shared" si="4"/>
        <v>女</v>
      </c>
      <c r="D157" s="27" t="str">
        <f>"460006198906062022"</f>
        <v>460006198906062022</v>
      </c>
      <c r="E157" s="4" t="s">
        <v>103</v>
      </c>
      <c r="F157" s="51">
        <v>155</v>
      </c>
    </row>
    <row r="158" spans="1:6" ht="24.75" customHeight="1">
      <c r="A158" s="27" t="s">
        <v>12</v>
      </c>
      <c r="B158" s="27" t="str">
        <f>"刘小芬"</f>
        <v>刘小芬</v>
      </c>
      <c r="C158" s="27" t="str">
        <f t="shared" si="4"/>
        <v>女</v>
      </c>
      <c r="D158" s="27" t="str">
        <f>"460028199609042423"</f>
        <v>460028199609042423</v>
      </c>
      <c r="E158" s="4" t="s">
        <v>103</v>
      </c>
      <c r="F158" s="51">
        <v>156</v>
      </c>
    </row>
    <row r="159" spans="1:6" ht="24.75" customHeight="1">
      <c r="A159" s="27" t="s">
        <v>20</v>
      </c>
      <c r="B159" s="27" t="str">
        <f>"林秋萍"</f>
        <v>林秋萍</v>
      </c>
      <c r="C159" s="27" t="str">
        <f t="shared" si="4"/>
        <v>女</v>
      </c>
      <c r="D159" s="27" t="str">
        <f>"460007199006100821"</f>
        <v>460007199006100821</v>
      </c>
      <c r="E159" s="4" t="s">
        <v>103</v>
      </c>
      <c r="F159" s="51">
        <v>157</v>
      </c>
    </row>
    <row r="160" spans="1:6" ht="24.75" customHeight="1">
      <c r="A160" s="27" t="s">
        <v>43</v>
      </c>
      <c r="B160" s="27" t="str">
        <f>"黄碧争"</f>
        <v>黄碧争</v>
      </c>
      <c r="C160" s="27" t="str">
        <f t="shared" si="4"/>
        <v>女</v>
      </c>
      <c r="D160" s="27" t="str">
        <f>"460035199510192521"</f>
        <v>460035199510192521</v>
      </c>
      <c r="E160" s="4" t="s">
        <v>103</v>
      </c>
      <c r="F160" s="51">
        <v>158</v>
      </c>
    </row>
    <row r="161" spans="1:6" ht="24.75" customHeight="1">
      <c r="A161" s="27" t="s">
        <v>19</v>
      </c>
      <c r="B161" s="27" t="str">
        <f>"陈娇孟"</f>
        <v>陈娇孟</v>
      </c>
      <c r="C161" s="27" t="str">
        <f t="shared" si="4"/>
        <v>女</v>
      </c>
      <c r="D161" s="27" t="str">
        <f>"460034199603080485"</f>
        <v>460034199603080485</v>
      </c>
      <c r="E161" s="4" t="s">
        <v>103</v>
      </c>
      <c r="F161" s="51">
        <v>159</v>
      </c>
    </row>
    <row r="162" spans="1:6" ht="24.75" customHeight="1">
      <c r="A162" s="27" t="s">
        <v>16</v>
      </c>
      <c r="B162" s="27" t="str">
        <f>"胡亚娥"</f>
        <v>胡亚娥</v>
      </c>
      <c r="C162" s="27" t="str">
        <f t="shared" si="4"/>
        <v>女</v>
      </c>
      <c r="D162" s="27" t="str">
        <f>"460034199405024124"</f>
        <v>460034199405024124</v>
      </c>
      <c r="E162" s="4" t="s">
        <v>103</v>
      </c>
      <c r="F162" s="51">
        <v>160</v>
      </c>
    </row>
    <row r="163" spans="1:6" ht="24.75" customHeight="1">
      <c r="A163" s="27" t="s">
        <v>7</v>
      </c>
      <c r="B163" s="27" t="str">
        <f>"马美红"</f>
        <v>马美红</v>
      </c>
      <c r="C163" s="27" t="str">
        <f t="shared" si="4"/>
        <v>女</v>
      </c>
      <c r="D163" s="27" t="str">
        <f>"460003199803152821"</f>
        <v>460003199803152821</v>
      </c>
      <c r="E163" s="4" t="s">
        <v>103</v>
      </c>
      <c r="F163" s="51">
        <v>161</v>
      </c>
    </row>
    <row r="164" spans="1:6" ht="24.75" customHeight="1">
      <c r="A164" s="27" t="s">
        <v>15</v>
      </c>
      <c r="B164" s="27" t="str">
        <f>"唐子东"</f>
        <v>唐子东</v>
      </c>
      <c r="C164" s="27" t="str">
        <f>"男"</f>
        <v>男</v>
      </c>
      <c r="D164" s="27" t="str">
        <f>"460003199804093018"</f>
        <v>460003199804093018</v>
      </c>
      <c r="E164" s="4" t="s">
        <v>103</v>
      </c>
      <c r="F164" s="51">
        <v>162</v>
      </c>
    </row>
    <row r="165" spans="1:6" ht="24.75" customHeight="1">
      <c r="A165" s="27" t="s">
        <v>15</v>
      </c>
      <c r="B165" s="27" t="str">
        <f>"陈星蓝"</f>
        <v>陈星蓝</v>
      </c>
      <c r="C165" s="27" t="str">
        <f>"女"</f>
        <v>女</v>
      </c>
      <c r="D165" s="27" t="str">
        <f>"460033199703285086"</f>
        <v>460033199703285086</v>
      </c>
      <c r="E165" s="4" t="s">
        <v>103</v>
      </c>
      <c r="F165" s="51">
        <v>163</v>
      </c>
    </row>
    <row r="166" spans="1:6" ht="24.75" customHeight="1">
      <c r="A166" s="27" t="s">
        <v>24</v>
      </c>
      <c r="B166" s="27" t="str">
        <f>"符秀言"</f>
        <v>符秀言</v>
      </c>
      <c r="C166" s="27" t="str">
        <f>"女"</f>
        <v>女</v>
      </c>
      <c r="D166" s="27" t="str">
        <f>"460033199902285986"</f>
        <v>460033199902285986</v>
      </c>
      <c r="E166" s="4" t="s">
        <v>103</v>
      </c>
      <c r="F166" s="51">
        <v>164</v>
      </c>
    </row>
    <row r="167" spans="1:6" ht="24.75" customHeight="1">
      <c r="A167" s="27" t="s">
        <v>8</v>
      </c>
      <c r="B167" s="27" t="s">
        <v>106</v>
      </c>
      <c r="C167" s="27" t="s">
        <v>10</v>
      </c>
      <c r="D167" s="54" t="s">
        <v>107</v>
      </c>
      <c r="E167" s="4" t="s">
        <v>103</v>
      </c>
      <c r="F167" s="51">
        <v>165</v>
      </c>
    </row>
    <row r="168" spans="1:6" ht="24.75" customHeight="1">
      <c r="A168" s="27" t="s">
        <v>20</v>
      </c>
      <c r="B168" s="27" t="str">
        <f>"吴翠"</f>
        <v>吴翠</v>
      </c>
      <c r="C168" s="27" t="str">
        <f aca="true" t="shared" si="5" ref="C168:C182">"女"</f>
        <v>女</v>
      </c>
      <c r="D168" s="27" t="str">
        <f>"460004199501040687"</f>
        <v>460004199501040687</v>
      </c>
      <c r="E168" s="4" t="s">
        <v>103</v>
      </c>
      <c r="F168" s="51">
        <v>166</v>
      </c>
    </row>
    <row r="169" spans="1:6" ht="24.75" customHeight="1">
      <c r="A169" s="27" t="s">
        <v>12</v>
      </c>
      <c r="B169" s="27" t="str">
        <f>"卢玉佳"</f>
        <v>卢玉佳</v>
      </c>
      <c r="C169" s="27" t="str">
        <f t="shared" si="5"/>
        <v>女</v>
      </c>
      <c r="D169" s="27" t="str">
        <f>"460033199503044544"</f>
        <v>460033199503044544</v>
      </c>
      <c r="E169" s="4" t="s">
        <v>103</v>
      </c>
      <c r="F169" s="51">
        <v>167</v>
      </c>
    </row>
    <row r="170" spans="1:6" ht="24.75" customHeight="1">
      <c r="A170" s="27" t="s">
        <v>16</v>
      </c>
      <c r="B170" s="27" t="str">
        <f>"翁小惠"</f>
        <v>翁小惠</v>
      </c>
      <c r="C170" s="27" t="str">
        <f t="shared" si="5"/>
        <v>女</v>
      </c>
      <c r="D170" s="27" t="str">
        <f>"460006199701212327"</f>
        <v>460006199701212327</v>
      </c>
      <c r="E170" s="4" t="s">
        <v>103</v>
      </c>
      <c r="F170" s="51">
        <v>168</v>
      </c>
    </row>
    <row r="171" spans="1:6" ht="24.75" customHeight="1">
      <c r="A171" s="27" t="s">
        <v>7</v>
      </c>
      <c r="B171" s="27" t="str">
        <f>"黄垂慧"</f>
        <v>黄垂慧</v>
      </c>
      <c r="C171" s="27" t="str">
        <f t="shared" si="5"/>
        <v>女</v>
      </c>
      <c r="D171" s="27" t="str">
        <f>"469027199408132221"</f>
        <v>469027199408132221</v>
      </c>
      <c r="E171" s="4" t="s">
        <v>103</v>
      </c>
      <c r="F171" s="51">
        <v>169</v>
      </c>
    </row>
    <row r="172" spans="1:6" ht="24.75" customHeight="1">
      <c r="A172" s="27" t="s">
        <v>19</v>
      </c>
      <c r="B172" s="27" t="str">
        <f>"王一梅"</f>
        <v>王一梅</v>
      </c>
      <c r="C172" s="27" t="str">
        <f t="shared" si="5"/>
        <v>女</v>
      </c>
      <c r="D172" s="27" t="str">
        <f>"46010319950121122X"</f>
        <v>46010319950121122X</v>
      </c>
      <c r="E172" s="4" t="s">
        <v>103</v>
      </c>
      <c r="F172" s="51">
        <v>170</v>
      </c>
    </row>
    <row r="173" spans="1:6" ht="24.75" customHeight="1">
      <c r="A173" s="27" t="s">
        <v>20</v>
      </c>
      <c r="B173" s="27" t="str">
        <f>"李盈盈"</f>
        <v>李盈盈</v>
      </c>
      <c r="C173" s="27" t="str">
        <f t="shared" si="5"/>
        <v>女</v>
      </c>
      <c r="D173" s="27" t="str">
        <f>"460033199403238085"</f>
        <v>460033199403238085</v>
      </c>
      <c r="E173" s="4" t="s">
        <v>103</v>
      </c>
      <c r="F173" s="51">
        <v>171</v>
      </c>
    </row>
    <row r="174" spans="1:6" ht="24.75" customHeight="1">
      <c r="A174" s="27" t="s">
        <v>20</v>
      </c>
      <c r="B174" s="27" t="str">
        <f>"胡叶晶"</f>
        <v>胡叶晶</v>
      </c>
      <c r="C174" s="27" t="str">
        <f t="shared" si="5"/>
        <v>女</v>
      </c>
      <c r="D174" s="27" t="str">
        <f>"460034199302033626"</f>
        <v>460034199302033626</v>
      </c>
      <c r="E174" s="4" t="s">
        <v>103</v>
      </c>
      <c r="F174" s="51">
        <v>172</v>
      </c>
    </row>
    <row r="175" spans="1:6" ht="24.75" customHeight="1">
      <c r="A175" s="27" t="s">
        <v>20</v>
      </c>
      <c r="B175" s="27" t="str">
        <f>"许雪花"</f>
        <v>许雪花</v>
      </c>
      <c r="C175" s="27" t="str">
        <f t="shared" si="5"/>
        <v>女</v>
      </c>
      <c r="D175" s="27" t="str">
        <f>"460034199511011829"</f>
        <v>460034199511011829</v>
      </c>
      <c r="E175" s="4" t="s">
        <v>103</v>
      </c>
      <c r="F175" s="51">
        <v>173</v>
      </c>
    </row>
    <row r="176" spans="1:6" ht="24.75" customHeight="1">
      <c r="A176" s="27" t="s">
        <v>21</v>
      </c>
      <c r="B176" s="27" t="str">
        <f>"肖慧燕"</f>
        <v>肖慧燕</v>
      </c>
      <c r="C176" s="27" t="str">
        <f t="shared" si="5"/>
        <v>女</v>
      </c>
      <c r="D176" s="27" t="str">
        <f>"460006199508264424"</f>
        <v>460006199508264424</v>
      </c>
      <c r="E176" s="4" t="s">
        <v>103</v>
      </c>
      <c r="F176" s="51">
        <v>174</v>
      </c>
    </row>
    <row r="177" spans="1:6" ht="24.75" customHeight="1">
      <c r="A177" s="27" t="s">
        <v>21</v>
      </c>
      <c r="B177" s="27" t="str">
        <f>"王小芬 "</f>
        <v>王小芬 </v>
      </c>
      <c r="C177" s="27" t="str">
        <f t="shared" si="5"/>
        <v>女</v>
      </c>
      <c r="D177" s="27" t="str">
        <f>"460003200005037429"</f>
        <v>460003200005037429</v>
      </c>
      <c r="E177" s="4" t="s">
        <v>103</v>
      </c>
      <c r="F177" s="51">
        <v>175</v>
      </c>
    </row>
    <row r="178" spans="1:6" ht="24.75" customHeight="1">
      <c r="A178" s="27" t="s">
        <v>43</v>
      </c>
      <c r="B178" s="27" t="str">
        <f>"钟圣欣"</f>
        <v>钟圣欣</v>
      </c>
      <c r="C178" s="27" t="str">
        <f t="shared" si="5"/>
        <v>女</v>
      </c>
      <c r="D178" s="27" t="str">
        <f>"460007199707207242"</f>
        <v>460007199707207242</v>
      </c>
      <c r="E178" s="4" t="s">
        <v>103</v>
      </c>
      <c r="F178" s="51">
        <v>176</v>
      </c>
    </row>
    <row r="179" spans="1:6" ht="24.75" customHeight="1">
      <c r="A179" s="27" t="s">
        <v>24</v>
      </c>
      <c r="B179" s="27" t="str">
        <f>"曾福彩"</f>
        <v>曾福彩</v>
      </c>
      <c r="C179" s="27" t="str">
        <f t="shared" si="5"/>
        <v>女</v>
      </c>
      <c r="D179" s="27" t="str">
        <f>"460003199709283024"</f>
        <v>460003199709283024</v>
      </c>
      <c r="E179" s="4" t="s">
        <v>103</v>
      </c>
      <c r="F179" s="51">
        <v>177</v>
      </c>
    </row>
    <row r="180" spans="1:6" ht="24.75" customHeight="1">
      <c r="A180" s="27" t="s">
        <v>19</v>
      </c>
      <c r="B180" s="27" t="str">
        <f>"彭甜"</f>
        <v>彭甜</v>
      </c>
      <c r="C180" s="27" t="str">
        <f t="shared" si="5"/>
        <v>女</v>
      </c>
      <c r="D180" s="27" t="str">
        <f>"431228199212120426"</f>
        <v>431228199212120426</v>
      </c>
      <c r="E180" s="4" t="s">
        <v>103</v>
      </c>
      <c r="F180" s="51">
        <v>178</v>
      </c>
    </row>
    <row r="181" spans="1:6" ht="24.75" customHeight="1">
      <c r="A181" s="27" t="s">
        <v>16</v>
      </c>
      <c r="B181" s="27" t="str">
        <f>"符杰飞"</f>
        <v>符杰飞</v>
      </c>
      <c r="C181" s="27" t="str">
        <f t="shared" si="5"/>
        <v>女</v>
      </c>
      <c r="D181" s="27" t="str">
        <f>"460007199301050847"</f>
        <v>460007199301050847</v>
      </c>
      <c r="E181" s="4" t="s">
        <v>103</v>
      </c>
      <c r="F181" s="51">
        <v>179</v>
      </c>
    </row>
    <row r="182" spans="1:6" ht="24.75" customHeight="1">
      <c r="A182" s="27" t="s">
        <v>7</v>
      </c>
      <c r="B182" s="27" t="str">
        <f>"黄垂卒"</f>
        <v>黄垂卒</v>
      </c>
      <c r="C182" s="27" t="str">
        <f t="shared" si="5"/>
        <v>女</v>
      </c>
      <c r="D182" s="27" t="str">
        <f>"460033199605174489"</f>
        <v>460033199605174489</v>
      </c>
      <c r="E182" s="4" t="s">
        <v>103</v>
      </c>
      <c r="F182" s="51">
        <v>180</v>
      </c>
    </row>
    <row r="183" spans="1:6" ht="24.75" customHeight="1">
      <c r="A183" s="27" t="s">
        <v>36</v>
      </c>
      <c r="B183" s="27" t="s">
        <v>108</v>
      </c>
      <c r="C183" s="27" t="s">
        <v>10</v>
      </c>
      <c r="D183" s="54" t="s">
        <v>109</v>
      </c>
      <c r="E183" s="4" t="s">
        <v>103</v>
      </c>
      <c r="F183" s="51">
        <v>181</v>
      </c>
    </row>
    <row r="184" spans="1:6" ht="24.75" customHeight="1">
      <c r="A184" s="27" t="s">
        <v>16</v>
      </c>
      <c r="B184" s="27" t="str">
        <f>"陈勤"</f>
        <v>陈勤</v>
      </c>
      <c r="C184" s="27" t="str">
        <f>"女"</f>
        <v>女</v>
      </c>
      <c r="D184" s="27" t="str">
        <f>"460033199706123883"</f>
        <v>460033199706123883</v>
      </c>
      <c r="E184" s="4" t="s">
        <v>103</v>
      </c>
      <c r="F184" s="51">
        <v>182</v>
      </c>
    </row>
    <row r="185" spans="1:6" ht="24.75" customHeight="1">
      <c r="A185" s="27" t="s">
        <v>15</v>
      </c>
      <c r="B185" s="27" t="str">
        <f>"王堂苗"</f>
        <v>王堂苗</v>
      </c>
      <c r="C185" s="27" t="str">
        <f>"女"</f>
        <v>女</v>
      </c>
      <c r="D185" s="27" t="str">
        <f>"460033199810124501"</f>
        <v>460033199810124501</v>
      </c>
      <c r="E185" s="4" t="s">
        <v>103</v>
      </c>
      <c r="F185" s="51">
        <v>183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 scale="92"/>
  <rowBreaks count="2" manualBreakCount="2">
    <brk id="144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H6" sqref="H6"/>
    </sheetView>
  </sheetViews>
  <sheetFormatPr defaultColWidth="9.00390625" defaultRowHeight="15"/>
  <cols>
    <col min="1" max="2" width="11.421875" style="0" customWidth="1"/>
    <col min="3" max="3" width="10.28125" style="0" customWidth="1"/>
    <col min="4" max="4" width="29.140625" style="0" customWidth="1"/>
    <col min="5" max="5" width="17.421875" style="0" customWidth="1"/>
    <col min="6" max="6" width="11.7109375" style="0" customWidth="1"/>
  </cols>
  <sheetData>
    <row r="1" spans="1:6" ht="63" customHeight="1">
      <c r="A1" s="1" t="s">
        <v>110</v>
      </c>
      <c r="B1" s="1"/>
      <c r="C1" s="1"/>
      <c r="D1" s="1"/>
      <c r="E1" s="36"/>
      <c r="F1" s="1"/>
    </row>
    <row r="2" spans="1:6" ht="19.5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9" t="s">
        <v>6</v>
      </c>
    </row>
    <row r="3" spans="1:6" ht="19.5">
      <c r="A3" s="40" t="s">
        <v>111</v>
      </c>
      <c r="B3" s="40" t="str">
        <f>"张鸿泽"</f>
        <v>张鸿泽</v>
      </c>
      <c r="C3" s="40" t="str">
        <f aca="true" t="shared" si="0" ref="C3:C5">"男"</f>
        <v>男</v>
      </c>
      <c r="D3" s="40" t="str">
        <f>"130125199602098010"</f>
        <v>130125199602098010</v>
      </c>
      <c r="E3" s="15">
        <v>86.2</v>
      </c>
      <c r="F3" s="39">
        <v>1</v>
      </c>
    </row>
    <row r="4" spans="1:6" ht="19.5">
      <c r="A4" s="40" t="s">
        <v>111</v>
      </c>
      <c r="B4" s="40" t="str">
        <f>"莫光政"</f>
        <v>莫光政</v>
      </c>
      <c r="C4" s="40" t="str">
        <f t="shared" si="0"/>
        <v>男</v>
      </c>
      <c r="D4" s="40" t="str">
        <f>"460027199412125632"</f>
        <v>460027199412125632</v>
      </c>
      <c r="E4" s="17">
        <v>83</v>
      </c>
      <c r="F4" s="39">
        <v>2</v>
      </c>
    </row>
    <row r="5" spans="1:6" ht="19.5">
      <c r="A5" s="40" t="s">
        <v>111</v>
      </c>
      <c r="B5" s="40" t="str">
        <f>"符小会"</f>
        <v>符小会</v>
      </c>
      <c r="C5" s="40" t="str">
        <f t="shared" si="0"/>
        <v>男</v>
      </c>
      <c r="D5" s="40" t="str">
        <f>"460034199307030010"</f>
        <v>460034199307030010</v>
      </c>
      <c r="E5" s="17">
        <v>81.5</v>
      </c>
      <c r="F5" s="39">
        <v>3</v>
      </c>
    </row>
    <row r="6" spans="1:6" ht="19.5">
      <c r="A6" s="40" t="s">
        <v>111</v>
      </c>
      <c r="B6" s="40" t="str">
        <f>"王燕民"</f>
        <v>王燕民</v>
      </c>
      <c r="C6" s="40" t="str">
        <f aca="true" t="shared" si="1" ref="C6:C10">"女"</f>
        <v>女</v>
      </c>
      <c r="D6" s="40" t="str">
        <f>"460034199405060424"</f>
        <v>460034199405060424</v>
      </c>
      <c r="E6" s="17">
        <v>79.3</v>
      </c>
      <c r="F6" s="39">
        <v>4</v>
      </c>
    </row>
    <row r="7" spans="1:6" ht="19.5">
      <c r="A7" s="40" t="s">
        <v>111</v>
      </c>
      <c r="B7" s="40" t="str">
        <f>"高子桢"</f>
        <v>高子桢</v>
      </c>
      <c r="C7" s="40" t="str">
        <f aca="true" t="shared" si="2" ref="C7:C14">"男"</f>
        <v>男</v>
      </c>
      <c r="D7" s="40" t="str">
        <f>"13012519930606801X"</f>
        <v>13012519930606801X</v>
      </c>
      <c r="E7" s="17">
        <v>78.4</v>
      </c>
      <c r="F7" s="39">
        <v>5</v>
      </c>
    </row>
    <row r="8" spans="1:6" ht="19.5">
      <c r="A8" s="40" t="s">
        <v>111</v>
      </c>
      <c r="B8" s="40" t="str">
        <f>"王富能"</f>
        <v>王富能</v>
      </c>
      <c r="C8" s="40" t="str">
        <f t="shared" si="2"/>
        <v>男</v>
      </c>
      <c r="D8" s="40" t="str">
        <f>"46003419920218331X"</f>
        <v>46003419920218331X</v>
      </c>
      <c r="E8" s="17">
        <v>74.7</v>
      </c>
      <c r="F8" s="39">
        <v>6</v>
      </c>
    </row>
    <row r="9" spans="1:6" ht="19.5">
      <c r="A9" s="40" t="s">
        <v>111</v>
      </c>
      <c r="B9" s="40" t="str">
        <f>"王青青"</f>
        <v>王青青</v>
      </c>
      <c r="C9" s="40" t="str">
        <f t="shared" si="1"/>
        <v>女</v>
      </c>
      <c r="D9" s="40" t="str">
        <f>"460033199510254523"</f>
        <v>460033199510254523</v>
      </c>
      <c r="E9" s="17">
        <v>73.5</v>
      </c>
      <c r="F9" s="39">
        <v>7</v>
      </c>
    </row>
    <row r="10" spans="1:6" ht="19.5">
      <c r="A10" s="40" t="s">
        <v>111</v>
      </c>
      <c r="B10" s="40" t="str">
        <f>"黄亚沙"</f>
        <v>黄亚沙</v>
      </c>
      <c r="C10" s="40" t="str">
        <f t="shared" si="1"/>
        <v>女</v>
      </c>
      <c r="D10" s="40" t="str">
        <f>"460034199102103028"</f>
        <v>460034199102103028</v>
      </c>
      <c r="E10" s="17">
        <v>73.3</v>
      </c>
      <c r="F10" s="39">
        <v>8</v>
      </c>
    </row>
    <row r="11" spans="1:6" ht="19.5">
      <c r="A11" s="40" t="s">
        <v>111</v>
      </c>
      <c r="B11" s="40" t="str">
        <f>"杨克梁"</f>
        <v>杨克梁</v>
      </c>
      <c r="C11" s="40" t="str">
        <f t="shared" si="2"/>
        <v>男</v>
      </c>
      <c r="D11" s="40" t="str">
        <f>"46003419940305045X"</f>
        <v>46003419940305045X</v>
      </c>
      <c r="E11" s="17">
        <v>73.2</v>
      </c>
      <c r="F11" s="39">
        <v>9</v>
      </c>
    </row>
    <row r="12" spans="1:6" ht="19.5">
      <c r="A12" s="40" t="s">
        <v>111</v>
      </c>
      <c r="B12" s="40" t="str">
        <f>"韦泽精"</f>
        <v>韦泽精</v>
      </c>
      <c r="C12" s="40" t="str">
        <f t="shared" si="2"/>
        <v>男</v>
      </c>
      <c r="D12" s="40" t="str">
        <f>"46010319890701271X"</f>
        <v>46010319890701271X</v>
      </c>
      <c r="E12" s="17">
        <v>72.3</v>
      </c>
      <c r="F12" s="39">
        <v>10</v>
      </c>
    </row>
    <row r="13" spans="1:6" ht="19.5">
      <c r="A13" s="40" t="s">
        <v>111</v>
      </c>
      <c r="B13" s="40" t="str">
        <f>"卢朝龙"</f>
        <v>卢朝龙</v>
      </c>
      <c r="C13" s="40" t="str">
        <f t="shared" si="2"/>
        <v>男</v>
      </c>
      <c r="D13" s="40" t="str">
        <f>"46000119960425171X"</f>
        <v>46000119960425171X</v>
      </c>
      <c r="E13" s="17">
        <v>68.8</v>
      </c>
      <c r="F13" s="39">
        <v>11</v>
      </c>
    </row>
    <row r="14" spans="1:6" ht="19.5">
      <c r="A14" s="40" t="s">
        <v>111</v>
      </c>
      <c r="B14" s="40" t="str">
        <f>"符森锋"</f>
        <v>符森锋</v>
      </c>
      <c r="C14" s="40" t="str">
        <f t="shared" si="2"/>
        <v>男</v>
      </c>
      <c r="D14" s="40" t="str">
        <f>"460300199307110099"</f>
        <v>460300199307110099</v>
      </c>
      <c r="E14" s="17">
        <v>68.8</v>
      </c>
      <c r="F14" s="39">
        <v>12</v>
      </c>
    </row>
    <row r="15" spans="1:6" ht="19.5">
      <c r="A15" s="40" t="s">
        <v>111</v>
      </c>
      <c r="B15" s="40" t="str">
        <f>"曾宪妹"</f>
        <v>曾宪妹</v>
      </c>
      <c r="C15" s="40" t="str">
        <f aca="true" t="shared" si="3" ref="C15:C20">"女"</f>
        <v>女</v>
      </c>
      <c r="D15" s="40" t="str">
        <f>"460026199408182128"</f>
        <v>460026199408182128</v>
      </c>
      <c r="E15" s="17">
        <v>68.6</v>
      </c>
      <c r="F15" s="39">
        <v>13</v>
      </c>
    </row>
    <row r="16" spans="1:6" ht="19.5">
      <c r="A16" s="40" t="s">
        <v>111</v>
      </c>
      <c r="B16" s="18" t="s">
        <v>112</v>
      </c>
      <c r="C16" s="18" t="s">
        <v>45</v>
      </c>
      <c r="D16" s="55" t="s">
        <v>113</v>
      </c>
      <c r="E16" s="17">
        <v>68.5</v>
      </c>
      <c r="F16" s="39">
        <v>14</v>
      </c>
    </row>
    <row r="17" spans="1:6" ht="19.5">
      <c r="A17" s="40" t="s">
        <v>111</v>
      </c>
      <c r="B17" s="40" t="str">
        <f>"符冬恋"</f>
        <v>符冬恋</v>
      </c>
      <c r="C17" s="40" t="str">
        <f t="shared" si="3"/>
        <v>女</v>
      </c>
      <c r="D17" s="40" t="str">
        <f>"460004199512274040"</f>
        <v>460004199512274040</v>
      </c>
      <c r="E17" s="17">
        <v>68.5</v>
      </c>
      <c r="F17" s="39">
        <v>15</v>
      </c>
    </row>
    <row r="18" spans="1:6" ht="19.5">
      <c r="A18" s="40" t="s">
        <v>111</v>
      </c>
      <c r="B18" s="40" t="str">
        <f>"徐汉"</f>
        <v>徐汉</v>
      </c>
      <c r="C18" s="40" t="str">
        <f aca="true" t="shared" si="4" ref="C18:C21">"男"</f>
        <v>男</v>
      </c>
      <c r="D18" s="40" t="str">
        <f>"500234199610192171"</f>
        <v>500234199610192171</v>
      </c>
      <c r="E18" s="17">
        <v>68.5</v>
      </c>
      <c r="F18" s="39">
        <v>16</v>
      </c>
    </row>
    <row r="19" spans="1:6" ht="19.5">
      <c r="A19" s="40" t="s">
        <v>111</v>
      </c>
      <c r="B19" s="40" t="str">
        <f>"符仕帽"</f>
        <v>符仕帽</v>
      </c>
      <c r="C19" s="40" t="str">
        <f t="shared" si="4"/>
        <v>男</v>
      </c>
      <c r="D19" s="40" t="str">
        <f>"460034199009230911"</f>
        <v>460034199009230911</v>
      </c>
      <c r="E19" s="17">
        <v>68.4</v>
      </c>
      <c r="F19" s="39">
        <v>17</v>
      </c>
    </row>
    <row r="20" spans="1:6" ht="19.5">
      <c r="A20" s="40" t="s">
        <v>111</v>
      </c>
      <c r="B20" s="40" t="str">
        <f>"简金月"</f>
        <v>简金月</v>
      </c>
      <c r="C20" s="40" t="str">
        <f t="shared" si="3"/>
        <v>女</v>
      </c>
      <c r="D20" s="40" t="str">
        <f>"460003199609087624"</f>
        <v>460003199609087624</v>
      </c>
      <c r="E20" s="17">
        <v>68.4</v>
      </c>
      <c r="F20" s="39">
        <v>18</v>
      </c>
    </row>
    <row r="21" spans="1:6" ht="19.5">
      <c r="A21" s="40" t="s">
        <v>111</v>
      </c>
      <c r="B21" s="40" t="str">
        <f>"谭永建"</f>
        <v>谭永建</v>
      </c>
      <c r="C21" s="40" t="str">
        <f t="shared" si="4"/>
        <v>男</v>
      </c>
      <c r="D21" s="40" t="str">
        <f>"460034199008170435"</f>
        <v>460034199008170435</v>
      </c>
      <c r="E21" s="17">
        <v>68.4</v>
      </c>
      <c r="F21" s="39">
        <v>19</v>
      </c>
    </row>
    <row r="22" spans="1:6" ht="19.5">
      <c r="A22" s="40" t="s">
        <v>111</v>
      </c>
      <c r="B22" s="40" t="str">
        <f>"黄苹"</f>
        <v>黄苹</v>
      </c>
      <c r="C22" s="40" t="str">
        <f aca="true" t="shared" si="5" ref="C22:C26">"女"</f>
        <v>女</v>
      </c>
      <c r="D22" s="40" t="str">
        <f>"460034199404111226"</f>
        <v>460034199404111226</v>
      </c>
      <c r="E22" s="17">
        <v>68.4</v>
      </c>
      <c r="F22" s="39">
        <v>20</v>
      </c>
    </row>
    <row r="23" spans="1:6" ht="19.5">
      <c r="A23" s="41" t="s">
        <v>111</v>
      </c>
      <c r="B23" s="42" t="s">
        <v>114</v>
      </c>
      <c r="C23" s="42" t="s">
        <v>45</v>
      </c>
      <c r="D23" s="56" t="s">
        <v>115</v>
      </c>
      <c r="E23" s="44">
        <v>67.6</v>
      </c>
      <c r="F23" s="45">
        <v>21</v>
      </c>
    </row>
    <row r="24" spans="1:6" ht="19.5">
      <c r="A24" s="41" t="s">
        <v>111</v>
      </c>
      <c r="B24" s="41" t="str">
        <f>"李笃壹"</f>
        <v>李笃壹</v>
      </c>
      <c r="C24" s="41" t="str">
        <f aca="true" t="shared" si="6" ref="C24:C28">"男"</f>
        <v>男</v>
      </c>
      <c r="D24" s="41" t="str">
        <f>"46003419890101043X"</f>
        <v>46003419890101043X</v>
      </c>
      <c r="E24" s="44">
        <v>67.6</v>
      </c>
      <c r="F24" s="45">
        <v>22</v>
      </c>
    </row>
    <row r="25" spans="1:6" ht="19.5">
      <c r="A25" s="41" t="s">
        <v>111</v>
      </c>
      <c r="B25" s="41" t="str">
        <f>"袁荣华"</f>
        <v>袁荣华</v>
      </c>
      <c r="C25" s="41" t="str">
        <f t="shared" si="5"/>
        <v>女</v>
      </c>
      <c r="D25" s="41" t="str">
        <f>"232602196510314825"</f>
        <v>232602196510314825</v>
      </c>
      <c r="E25" s="44">
        <v>67.5</v>
      </c>
      <c r="F25" s="45">
        <v>23</v>
      </c>
    </row>
    <row r="26" spans="1:6" ht="19.5">
      <c r="A26" s="41" t="s">
        <v>111</v>
      </c>
      <c r="B26" s="41" t="str">
        <f>"王乔叶"</f>
        <v>王乔叶</v>
      </c>
      <c r="C26" s="41" t="str">
        <f t="shared" si="5"/>
        <v>女</v>
      </c>
      <c r="D26" s="41" t="str">
        <f>"460028199809074446"</f>
        <v>460028199809074446</v>
      </c>
      <c r="E26" s="44">
        <v>67.5</v>
      </c>
      <c r="F26" s="45">
        <v>24</v>
      </c>
    </row>
    <row r="27" spans="1:6" ht="19.5">
      <c r="A27" s="41" t="s">
        <v>111</v>
      </c>
      <c r="B27" s="41" t="str">
        <f>"许声模"</f>
        <v>许声模</v>
      </c>
      <c r="C27" s="41" t="str">
        <f t="shared" si="6"/>
        <v>男</v>
      </c>
      <c r="D27" s="41" t="str">
        <f>"460034199610155078"</f>
        <v>460034199610155078</v>
      </c>
      <c r="E27" s="44">
        <v>67.2</v>
      </c>
      <c r="F27" s="45">
        <v>25</v>
      </c>
    </row>
    <row r="28" spans="1:6" ht="19.5">
      <c r="A28" s="40" t="s">
        <v>111</v>
      </c>
      <c r="B28" s="40" t="str">
        <f>"杨光剑"</f>
        <v>杨光剑</v>
      </c>
      <c r="C28" s="40" t="str">
        <f t="shared" si="6"/>
        <v>男</v>
      </c>
      <c r="D28" s="40" t="str">
        <f>"46003419980820551X"</f>
        <v>46003419980820551X</v>
      </c>
      <c r="E28" s="17">
        <v>67</v>
      </c>
      <c r="F28" s="45">
        <v>26</v>
      </c>
    </row>
    <row r="29" spans="1:6" ht="19.5">
      <c r="A29" s="41" t="s">
        <v>111</v>
      </c>
      <c r="B29" s="41" t="str">
        <f>"李冬玉"</f>
        <v>李冬玉</v>
      </c>
      <c r="C29" s="41" t="str">
        <f aca="true" t="shared" si="7" ref="C29:C32">"女"</f>
        <v>女</v>
      </c>
      <c r="D29" s="41" t="str">
        <f>"460034199312230447"</f>
        <v>460034199312230447</v>
      </c>
      <c r="E29" s="44">
        <v>67</v>
      </c>
      <c r="F29" s="45">
        <v>27</v>
      </c>
    </row>
    <row r="30" spans="1:6" ht="19.5">
      <c r="A30" s="40" t="s">
        <v>111</v>
      </c>
      <c r="B30" s="40" t="str">
        <f>"林春丽"</f>
        <v>林春丽</v>
      </c>
      <c r="C30" s="40" t="str">
        <f t="shared" si="7"/>
        <v>女</v>
      </c>
      <c r="D30" s="40" t="str">
        <f>"460001199702080029"</f>
        <v>460001199702080029</v>
      </c>
      <c r="E30" s="17">
        <v>66.4</v>
      </c>
      <c r="F30" s="45">
        <v>28</v>
      </c>
    </row>
    <row r="31" spans="1:6" ht="19.5">
      <c r="A31" s="40" t="s">
        <v>111</v>
      </c>
      <c r="B31" s="40" t="str">
        <f>"黄丽嫚"</f>
        <v>黄丽嫚</v>
      </c>
      <c r="C31" s="40" t="str">
        <f t="shared" si="7"/>
        <v>女</v>
      </c>
      <c r="D31" s="40" t="str">
        <f>"460001199608201322"</f>
        <v>460001199608201322</v>
      </c>
      <c r="E31" s="17">
        <v>65.1</v>
      </c>
      <c r="F31" s="45">
        <v>29</v>
      </c>
    </row>
    <row r="32" spans="1:6" ht="19.5">
      <c r="A32" s="40" t="s">
        <v>111</v>
      </c>
      <c r="B32" s="40" t="str">
        <f>"许盈盈"</f>
        <v>许盈盈</v>
      </c>
      <c r="C32" s="40" t="str">
        <f t="shared" si="7"/>
        <v>女</v>
      </c>
      <c r="D32" s="40" t="str">
        <f>"46003619960202082X"</f>
        <v>46003619960202082X</v>
      </c>
      <c r="E32" s="17">
        <v>64.7</v>
      </c>
      <c r="F32" s="45">
        <v>30</v>
      </c>
    </row>
    <row r="33" spans="1:6" ht="19.5">
      <c r="A33" s="40" t="s">
        <v>111</v>
      </c>
      <c r="B33" s="40" t="str">
        <f>"黄尚帆"</f>
        <v>黄尚帆</v>
      </c>
      <c r="C33" s="40" t="str">
        <f aca="true" t="shared" si="8" ref="C33:C35">"男"</f>
        <v>男</v>
      </c>
      <c r="D33" s="40" t="str">
        <f>"460028199512100439"</f>
        <v>460028199512100439</v>
      </c>
      <c r="E33" s="17">
        <v>64.4</v>
      </c>
      <c r="F33" s="45">
        <v>31</v>
      </c>
    </row>
    <row r="34" spans="1:6" ht="19.5">
      <c r="A34" s="40" t="s">
        <v>111</v>
      </c>
      <c r="B34" s="40" t="str">
        <f>"胡其合"</f>
        <v>胡其合</v>
      </c>
      <c r="C34" s="40" t="str">
        <f t="shared" si="8"/>
        <v>男</v>
      </c>
      <c r="D34" s="40" t="str">
        <f>"460034199508090415"</f>
        <v>460034199508090415</v>
      </c>
      <c r="E34" s="17">
        <v>63.9</v>
      </c>
      <c r="F34" s="45">
        <v>32</v>
      </c>
    </row>
    <row r="35" spans="1:6" ht="19.5">
      <c r="A35" s="40" t="s">
        <v>111</v>
      </c>
      <c r="B35" s="40" t="str">
        <f>"陈垂东"</f>
        <v>陈垂东</v>
      </c>
      <c r="C35" s="40" t="str">
        <f t="shared" si="8"/>
        <v>男</v>
      </c>
      <c r="D35" s="40" t="str">
        <f>"460004199504082217"</f>
        <v>460004199504082217</v>
      </c>
      <c r="E35" s="17">
        <v>63.2</v>
      </c>
      <c r="F35" s="45">
        <v>33</v>
      </c>
    </row>
    <row r="36" spans="1:6" ht="19.5">
      <c r="A36" s="40" t="s">
        <v>111</v>
      </c>
      <c r="B36" s="40" t="str">
        <f>"兰雪"</f>
        <v>兰雪</v>
      </c>
      <c r="C36" s="40" t="str">
        <f>"女"</f>
        <v>女</v>
      </c>
      <c r="D36" s="40" t="str">
        <f>"460200199710153122"</f>
        <v>460200199710153122</v>
      </c>
      <c r="E36" s="17">
        <v>63.1</v>
      </c>
      <c r="F36" s="45">
        <v>34</v>
      </c>
    </row>
    <row r="37" spans="1:6" ht="19.5">
      <c r="A37" s="40" t="s">
        <v>111</v>
      </c>
      <c r="B37" s="40" t="str">
        <f>"杨善德"</f>
        <v>杨善德</v>
      </c>
      <c r="C37" s="40" t="str">
        <f aca="true" t="shared" si="9" ref="C37:C43">"男"</f>
        <v>男</v>
      </c>
      <c r="D37" s="40" t="str">
        <f>"460033199508243219"</f>
        <v>460033199508243219</v>
      </c>
      <c r="E37" s="17">
        <v>61.6</v>
      </c>
      <c r="F37" s="45">
        <v>35</v>
      </c>
    </row>
    <row r="38" spans="1:6" ht="19.5">
      <c r="A38" s="40" t="s">
        <v>111</v>
      </c>
      <c r="B38" s="40" t="str">
        <f>"王萍"</f>
        <v>王萍</v>
      </c>
      <c r="C38" s="40" t="str">
        <f>"女"</f>
        <v>女</v>
      </c>
      <c r="D38" s="40" t="str">
        <f>"460027199301052047"</f>
        <v>460027199301052047</v>
      </c>
      <c r="E38" s="17">
        <v>61.6</v>
      </c>
      <c r="F38" s="45">
        <v>36</v>
      </c>
    </row>
    <row r="39" spans="1:6" ht="19.5">
      <c r="A39" s="40" t="s">
        <v>111</v>
      </c>
      <c r="B39" s="18" t="s">
        <v>116</v>
      </c>
      <c r="C39" s="18" t="s">
        <v>45</v>
      </c>
      <c r="D39" s="55" t="s">
        <v>117</v>
      </c>
      <c r="E39" s="17">
        <v>61.1</v>
      </c>
      <c r="F39" s="45">
        <v>37</v>
      </c>
    </row>
    <row r="40" spans="1:6" ht="19.5">
      <c r="A40" s="40" t="s">
        <v>111</v>
      </c>
      <c r="B40" s="40" t="str">
        <f>"黄余宗"</f>
        <v>黄余宗</v>
      </c>
      <c r="C40" s="40" t="str">
        <f t="shared" si="9"/>
        <v>男</v>
      </c>
      <c r="D40" s="40" t="str">
        <f>"460034199408151815"</f>
        <v>460034199408151815</v>
      </c>
      <c r="E40" s="17">
        <v>59.3</v>
      </c>
      <c r="F40" s="45">
        <v>38</v>
      </c>
    </row>
    <row r="41" spans="1:6" ht="19.5">
      <c r="A41" s="40" t="s">
        <v>111</v>
      </c>
      <c r="B41" s="40" t="str">
        <f>"文祖益"</f>
        <v>文祖益</v>
      </c>
      <c r="C41" s="40" t="str">
        <f t="shared" si="9"/>
        <v>男</v>
      </c>
      <c r="D41" s="40" t="str">
        <f>"460007199407134977"</f>
        <v>460007199407134977</v>
      </c>
      <c r="E41" s="17">
        <v>58.4</v>
      </c>
      <c r="F41" s="45">
        <v>39</v>
      </c>
    </row>
    <row r="42" spans="1:6" ht="19.5">
      <c r="A42" s="40" t="s">
        <v>111</v>
      </c>
      <c r="B42" s="40" t="str">
        <f>"张瑞政"</f>
        <v>张瑞政</v>
      </c>
      <c r="C42" s="40" t="str">
        <f t="shared" si="9"/>
        <v>男</v>
      </c>
      <c r="D42" s="40" t="str">
        <f>"460026199401231214"</f>
        <v>460026199401231214</v>
      </c>
      <c r="E42" s="17">
        <v>56.4</v>
      </c>
      <c r="F42" s="45">
        <v>40</v>
      </c>
    </row>
    <row r="43" spans="1:6" ht="19.5">
      <c r="A43" s="40" t="s">
        <v>111</v>
      </c>
      <c r="B43" s="40" t="str">
        <f>"陆盛锦"</f>
        <v>陆盛锦</v>
      </c>
      <c r="C43" s="40" t="str">
        <f t="shared" si="9"/>
        <v>男</v>
      </c>
      <c r="D43" s="40" t="str">
        <f>"460034199810231231"</f>
        <v>460034199810231231</v>
      </c>
      <c r="E43" s="17">
        <v>51.5</v>
      </c>
      <c r="F43" s="45">
        <v>41</v>
      </c>
    </row>
    <row r="44" spans="1:6" ht="19.5">
      <c r="A44" s="40" t="s">
        <v>111</v>
      </c>
      <c r="B44" s="40" t="str">
        <f>"娄海东"</f>
        <v>娄海东</v>
      </c>
      <c r="C44" s="40" t="str">
        <f aca="true" t="shared" si="10" ref="C44:C48">"女"</f>
        <v>女</v>
      </c>
      <c r="D44" s="40" t="str">
        <f>"150526197311101825"</f>
        <v>150526197311101825</v>
      </c>
      <c r="E44" s="17" t="s">
        <v>118</v>
      </c>
      <c r="F44" s="45">
        <v>42</v>
      </c>
    </row>
    <row r="45" spans="1:6" ht="19.5">
      <c r="A45" s="40" t="s">
        <v>111</v>
      </c>
      <c r="B45" s="40" t="str">
        <f>"沈玉玲"</f>
        <v>沈玉玲</v>
      </c>
      <c r="C45" s="40" t="str">
        <f t="shared" si="10"/>
        <v>女</v>
      </c>
      <c r="D45" s="40" t="str">
        <f>"460200199411101402"</f>
        <v>460200199411101402</v>
      </c>
      <c r="E45" s="17" t="s">
        <v>118</v>
      </c>
      <c r="F45" s="45">
        <v>43</v>
      </c>
    </row>
    <row r="46" spans="1:6" ht="19.5">
      <c r="A46" s="40" t="s">
        <v>111</v>
      </c>
      <c r="B46" s="40" t="str">
        <f>"潘纪英"</f>
        <v>潘纪英</v>
      </c>
      <c r="C46" s="40" t="str">
        <f t="shared" si="10"/>
        <v>女</v>
      </c>
      <c r="D46" s="40" t="str">
        <f>"460006199611054628"</f>
        <v>460006199611054628</v>
      </c>
      <c r="E46" s="17" t="s">
        <v>118</v>
      </c>
      <c r="F46" s="45">
        <v>44</v>
      </c>
    </row>
    <row r="47" spans="1:6" ht="19.5">
      <c r="A47" s="40" t="s">
        <v>111</v>
      </c>
      <c r="B47" s="40" t="str">
        <f>"黄妹玲"</f>
        <v>黄妹玲</v>
      </c>
      <c r="C47" s="40" t="str">
        <f t="shared" si="10"/>
        <v>女</v>
      </c>
      <c r="D47" s="40" t="str">
        <f>"460034199601033087"</f>
        <v>460034199601033087</v>
      </c>
      <c r="E47" s="17" t="s">
        <v>118</v>
      </c>
      <c r="F47" s="45">
        <v>45</v>
      </c>
    </row>
    <row r="48" spans="1:6" ht="19.5">
      <c r="A48" s="40" t="s">
        <v>111</v>
      </c>
      <c r="B48" s="40" t="str">
        <f>"陈玉意"</f>
        <v>陈玉意</v>
      </c>
      <c r="C48" s="40" t="str">
        <f t="shared" si="10"/>
        <v>女</v>
      </c>
      <c r="D48" s="40" t="str">
        <f>"460034199602191829"</f>
        <v>460034199602191829</v>
      </c>
      <c r="E48" s="17" t="s">
        <v>118</v>
      </c>
      <c r="F48" s="45">
        <v>46</v>
      </c>
    </row>
    <row r="49" spans="1:6" ht="19.5">
      <c r="A49" s="40" t="s">
        <v>111</v>
      </c>
      <c r="B49" s="40" t="str">
        <f>"李德良"</f>
        <v>李德良</v>
      </c>
      <c r="C49" s="40" t="str">
        <f>"男"</f>
        <v>男</v>
      </c>
      <c r="D49" s="40" t="str">
        <f>"460006199104308718"</f>
        <v>460006199104308718</v>
      </c>
      <c r="E49" s="17" t="s">
        <v>118</v>
      </c>
      <c r="F49" s="45">
        <v>47</v>
      </c>
    </row>
    <row r="50" spans="1:6" ht="19.5">
      <c r="A50" s="40" t="s">
        <v>111</v>
      </c>
      <c r="B50" s="40" t="str">
        <f>"吴回琼"</f>
        <v>吴回琼</v>
      </c>
      <c r="C50" s="40" t="str">
        <f aca="true" t="shared" si="11" ref="C50:C53">"女"</f>
        <v>女</v>
      </c>
      <c r="D50" s="40" t="str">
        <f>"460033199603214504"</f>
        <v>460033199603214504</v>
      </c>
      <c r="E50" s="17" t="s">
        <v>118</v>
      </c>
      <c r="F50" s="45">
        <v>48</v>
      </c>
    </row>
    <row r="51" spans="1:6" ht="19.5">
      <c r="A51" s="40" t="s">
        <v>111</v>
      </c>
      <c r="B51" s="40" t="str">
        <f>"卓世妹"</f>
        <v>卓世妹</v>
      </c>
      <c r="C51" s="40" t="str">
        <f t="shared" si="11"/>
        <v>女</v>
      </c>
      <c r="D51" s="40" t="str">
        <f>"460034199607124123"</f>
        <v>460034199607124123</v>
      </c>
      <c r="E51" s="17" t="s">
        <v>118</v>
      </c>
      <c r="F51" s="45">
        <v>49</v>
      </c>
    </row>
    <row r="52" spans="1:6" ht="19.5">
      <c r="A52" s="40" t="s">
        <v>111</v>
      </c>
      <c r="B52" s="40" t="str">
        <f>"黄亚莉"</f>
        <v>黄亚莉</v>
      </c>
      <c r="C52" s="40" t="str">
        <f t="shared" si="11"/>
        <v>女</v>
      </c>
      <c r="D52" s="40" t="str">
        <f>"460006199105105621"</f>
        <v>460006199105105621</v>
      </c>
      <c r="E52" s="17" t="s">
        <v>118</v>
      </c>
      <c r="F52" s="45">
        <v>50</v>
      </c>
    </row>
    <row r="53" spans="1:6" ht="19.5">
      <c r="A53" s="40" t="s">
        <v>111</v>
      </c>
      <c r="B53" s="40" t="str">
        <f>"赖仙菊"</f>
        <v>赖仙菊</v>
      </c>
      <c r="C53" s="40" t="str">
        <f t="shared" si="11"/>
        <v>女</v>
      </c>
      <c r="D53" s="40" t="str">
        <f>"460200199612133347"</f>
        <v>460200199612133347</v>
      </c>
      <c r="E53" s="17" t="s">
        <v>118</v>
      </c>
      <c r="F53" s="45">
        <v>51</v>
      </c>
    </row>
    <row r="54" spans="1:6" ht="19.5">
      <c r="A54" s="40" t="s">
        <v>111</v>
      </c>
      <c r="B54" s="40" t="str">
        <f>"黄健培"</f>
        <v>黄健培</v>
      </c>
      <c r="C54" s="40" t="str">
        <f>"男"</f>
        <v>男</v>
      </c>
      <c r="D54" s="40" t="str">
        <f>"460001199203051311"</f>
        <v>460001199203051311</v>
      </c>
      <c r="E54" s="17" t="s">
        <v>118</v>
      </c>
      <c r="F54" s="45">
        <v>52</v>
      </c>
    </row>
    <row r="55" spans="1:6" ht="19.5">
      <c r="A55" s="40" t="s">
        <v>111</v>
      </c>
      <c r="B55" s="40" t="str">
        <f>"王长女"</f>
        <v>王长女</v>
      </c>
      <c r="C55" s="40" t="str">
        <f aca="true" t="shared" si="12" ref="C55:C57">"女"</f>
        <v>女</v>
      </c>
      <c r="D55" s="40" t="str">
        <f>"460003199901187040"</f>
        <v>460003199901187040</v>
      </c>
      <c r="E55" s="17" t="s">
        <v>118</v>
      </c>
      <c r="F55" s="45">
        <v>53</v>
      </c>
    </row>
    <row r="56" spans="1:6" ht="19.5">
      <c r="A56" s="40" t="s">
        <v>111</v>
      </c>
      <c r="B56" s="40" t="str">
        <f>"陈碧玉"</f>
        <v>陈碧玉</v>
      </c>
      <c r="C56" s="40" t="str">
        <f t="shared" si="12"/>
        <v>女</v>
      </c>
      <c r="D56" s="40" t="str">
        <f>"460034199601224721"</f>
        <v>460034199601224721</v>
      </c>
      <c r="E56" s="17" t="s">
        <v>118</v>
      </c>
      <c r="F56" s="45">
        <v>54</v>
      </c>
    </row>
    <row r="57" spans="1:6" ht="19.5">
      <c r="A57" s="40" t="s">
        <v>111</v>
      </c>
      <c r="B57" s="40" t="str">
        <f>"陈元慧"</f>
        <v>陈元慧</v>
      </c>
      <c r="C57" s="40" t="str">
        <f t="shared" si="12"/>
        <v>女</v>
      </c>
      <c r="D57" s="40" t="str">
        <f>"46000619950908162X"</f>
        <v>46000619950908162X</v>
      </c>
      <c r="E57" s="17" t="s">
        <v>118</v>
      </c>
      <c r="F57" s="45">
        <v>55</v>
      </c>
    </row>
    <row r="58" spans="1:6" ht="19.5">
      <c r="A58" s="40" t="s">
        <v>111</v>
      </c>
      <c r="B58" s="40" t="str">
        <f>"李宗吉"</f>
        <v>李宗吉</v>
      </c>
      <c r="C58" s="40" t="str">
        <f>"男"</f>
        <v>男</v>
      </c>
      <c r="D58" s="40" t="str">
        <f>"460034199606272116"</f>
        <v>460034199606272116</v>
      </c>
      <c r="E58" s="17" t="s">
        <v>118</v>
      </c>
      <c r="F58" s="45">
        <v>56</v>
      </c>
    </row>
    <row r="59" spans="1:6" ht="19.5">
      <c r="A59" s="40" t="s">
        <v>111</v>
      </c>
      <c r="B59" s="18" t="s">
        <v>119</v>
      </c>
      <c r="C59" s="18" t="s">
        <v>10</v>
      </c>
      <c r="D59" s="55" t="s">
        <v>120</v>
      </c>
      <c r="E59" s="17" t="s">
        <v>118</v>
      </c>
      <c r="F59" s="45">
        <v>57</v>
      </c>
    </row>
    <row r="60" spans="1:6" ht="19.5">
      <c r="A60" s="40" t="s">
        <v>111</v>
      </c>
      <c r="B60" s="40" t="str">
        <f>"董凡帆"</f>
        <v>董凡帆</v>
      </c>
      <c r="C60" s="40" t="str">
        <f>"男"</f>
        <v>男</v>
      </c>
      <c r="D60" s="40" t="str">
        <f>"460200199508043333"</f>
        <v>460200199508043333</v>
      </c>
      <c r="E60" s="17" t="s">
        <v>118</v>
      </c>
      <c r="F60" s="45">
        <v>58</v>
      </c>
    </row>
    <row r="61" spans="1:6" ht="19.5">
      <c r="A61" s="40" t="s">
        <v>121</v>
      </c>
      <c r="B61" s="40" t="str">
        <f>"钟丽君"</f>
        <v>钟丽君</v>
      </c>
      <c r="C61" s="40" t="str">
        <f>"女"</f>
        <v>女</v>
      </c>
      <c r="D61" s="40" t="str">
        <f>"370683199310265521"</f>
        <v>370683199310265521</v>
      </c>
      <c r="E61" s="17">
        <v>83.7</v>
      </c>
      <c r="F61" s="39">
        <v>1</v>
      </c>
    </row>
    <row r="62" spans="1:6" ht="19.5">
      <c r="A62" s="40" t="s">
        <v>121</v>
      </c>
      <c r="B62" s="40" t="str">
        <f>"黎霜霜"</f>
        <v>黎霜霜</v>
      </c>
      <c r="C62" s="40" t="str">
        <f>"女"</f>
        <v>女</v>
      </c>
      <c r="D62" s="40" t="str">
        <f>"460034199512021527"</f>
        <v>460034199512021527</v>
      </c>
      <c r="E62" s="17">
        <v>71.2</v>
      </c>
      <c r="F62" s="39">
        <v>2</v>
      </c>
    </row>
    <row r="124" ht="60" customHeight="1"/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H16" sqref="H16"/>
    </sheetView>
  </sheetViews>
  <sheetFormatPr defaultColWidth="9.00390625" defaultRowHeight="15"/>
  <cols>
    <col min="4" max="4" width="32.140625" style="0" customWidth="1"/>
    <col min="5" max="5" width="15.28125" style="0" customWidth="1"/>
    <col min="6" max="6" width="12.28125" style="0" customWidth="1"/>
  </cols>
  <sheetData>
    <row r="1" spans="1:6" ht="57.75" customHeight="1">
      <c r="A1" s="1" t="s">
        <v>122</v>
      </c>
      <c r="B1" s="1"/>
      <c r="C1" s="1"/>
      <c r="D1" s="1"/>
      <c r="E1" s="1"/>
      <c r="F1" s="1"/>
    </row>
    <row r="2" spans="1:6" ht="30" customHeight="1">
      <c r="A2" s="27" t="s">
        <v>1</v>
      </c>
      <c r="B2" s="27" t="s">
        <v>2</v>
      </c>
      <c r="C2" s="27" t="s">
        <v>3</v>
      </c>
      <c r="D2" s="27" t="s">
        <v>4</v>
      </c>
      <c r="E2" s="29" t="s">
        <v>5</v>
      </c>
      <c r="F2" s="30" t="s">
        <v>6</v>
      </c>
    </row>
    <row r="3" spans="1:6" ht="19.5" customHeight="1">
      <c r="A3" s="27" t="s">
        <v>123</v>
      </c>
      <c r="B3" s="27" t="str">
        <f>"周通"</f>
        <v>周通</v>
      </c>
      <c r="C3" s="27" t="str">
        <f>"男"</f>
        <v>男</v>
      </c>
      <c r="D3" s="27" t="str">
        <f>"460034199206175050"</f>
        <v>460034199206175050</v>
      </c>
      <c r="E3" s="15">
        <v>68.7</v>
      </c>
      <c r="F3" s="28">
        <v>1</v>
      </c>
    </row>
    <row r="4" spans="1:6" ht="19.5" customHeight="1">
      <c r="A4" s="27" t="s">
        <v>123</v>
      </c>
      <c r="B4" s="27" t="str">
        <f>"伍莉丽"</f>
        <v>伍莉丽</v>
      </c>
      <c r="C4" s="27" t="str">
        <f aca="true" t="shared" si="0" ref="C4:C8">"女"</f>
        <v>女</v>
      </c>
      <c r="D4" s="27" t="str">
        <f>"460035199607103425"</f>
        <v>460035199607103425</v>
      </c>
      <c r="E4" s="17">
        <v>68.6</v>
      </c>
      <c r="F4" s="28">
        <v>2</v>
      </c>
    </row>
    <row r="5" spans="1:6" ht="19.5" customHeight="1">
      <c r="A5" s="27" t="s">
        <v>123</v>
      </c>
      <c r="B5" s="27" t="str">
        <f>"王桂花"</f>
        <v>王桂花</v>
      </c>
      <c r="C5" s="27" t="str">
        <f t="shared" si="0"/>
        <v>女</v>
      </c>
      <c r="D5" s="27" t="str">
        <f>"46000419950908502X"</f>
        <v>46000419950908502X</v>
      </c>
      <c r="E5" s="17">
        <v>68.3</v>
      </c>
      <c r="F5" s="28">
        <v>3</v>
      </c>
    </row>
    <row r="6" spans="1:6" ht="19.5" customHeight="1">
      <c r="A6" s="27" t="s">
        <v>123</v>
      </c>
      <c r="B6" s="27" t="str">
        <f>"韦新阳"</f>
        <v>韦新阳</v>
      </c>
      <c r="C6" s="27" t="str">
        <f>"男"</f>
        <v>男</v>
      </c>
      <c r="D6" s="27" t="str">
        <f>"460035199707090916"</f>
        <v>460035199707090916</v>
      </c>
      <c r="E6" s="17">
        <v>68.2</v>
      </c>
      <c r="F6" s="28">
        <v>4</v>
      </c>
    </row>
    <row r="7" spans="1:6" ht="19.5" customHeight="1">
      <c r="A7" s="27" t="s">
        <v>123</v>
      </c>
      <c r="B7" s="31" t="s">
        <v>17</v>
      </c>
      <c r="C7" s="31" t="s">
        <v>10</v>
      </c>
      <c r="D7" s="57" t="s">
        <v>124</v>
      </c>
      <c r="E7" s="17">
        <v>67.4</v>
      </c>
      <c r="F7" s="28">
        <v>5</v>
      </c>
    </row>
    <row r="8" spans="1:6" ht="19.5" customHeight="1">
      <c r="A8" s="27" t="s">
        <v>123</v>
      </c>
      <c r="B8" s="27" t="str">
        <f>"杨肖"</f>
        <v>杨肖</v>
      </c>
      <c r="C8" s="27" t="str">
        <f t="shared" si="0"/>
        <v>女</v>
      </c>
      <c r="D8" s="27" t="str">
        <f>"460034199801220020"</f>
        <v>460034199801220020</v>
      </c>
      <c r="E8" s="17">
        <v>67.2</v>
      </c>
      <c r="F8" s="28">
        <v>6</v>
      </c>
    </row>
    <row r="9" spans="1:6" ht="19.5" customHeight="1">
      <c r="A9" s="32" t="s">
        <v>123</v>
      </c>
      <c r="B9" s="32" t="str">
        <f>"黄壮斌"</f>
        <v>黄壮斌</v>
      </c>
      <c r="C9" s="32" t="str">
        <f>"男"</f>
        <v>男</v>
      </c>
      <c r="D9" s="32" t="str">
        <f>"460006199703221630"</f>
        <v>460006199703221630</v>
      </c>
      <c r="E9" s="33">
        <v>65</v>
      </c>
      <c r="F9" s="34">
        <v>7</v>
      </c>
    </row>
    <row r="10" spans="1:6" ht="19.5" customHeight="1">
      <c r="A10" s="27" t="s">
        <v>123</v>
      </c>
      <c r="B10" s="27" t="str">
        <f>"张东就"</f>
        <v>张东就</v>
      </c>
      <c r="C10" s="27" t="str">
        <f>"男"</f>
        <v>男</v>
      </c>
      <c r="D10" s="27" t="str">
        <f>"469007199804204973"</f>
        <v>469007199804204973</v>
      </c>
      <c r="E10" s="35">
        <v>64.5</v>
      </c>
      <c r="F10" s="28">
        <v>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I32" sqref="I32"/>
    </sheetView>
  </sheetViews>
  <sheetFormatPr defaultColWidth="9.00390625" defaultRowHeight="15"/>
  <cols>
    <col min="1" max="1" width="12.57421875" style="0" customWidth="1"/>
    <col min="2" max="2" width="11.421875" style="0" customWidth="1"/>
    <col min="4" max="4" width="34.28125" style="0" customWidth="1"/>
    <col min="5" max="5" width="13.8515625" style="0" customWidth="1"/>
    <col min="6" max="6" width="13.140625" style="0" customWidth="1"/>
  </cols>
  <sheetData>
    <row r="1" spans="1:6" ht="69" customHeight="1">
      <c r="A1" s="1" t="s">
        <v>125</v>
      </c>
      <c r="B1" s="1"/>
      <c r="C1" s="1"/>
      <c r="D1" s="1"/>
      <c r="E1" s="9"/>
      <c r="F1" s="1"/>
    </row>
    <row r="2" spans="1:6" ht="19.5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4" t="s">
        <v>6</v>
      </c>
    </row>
    <row r="3" spans="1:6" ht="19.5" customHeight="1">
      <c r="A3" s="13" t="s">
        <v>126</v>
      </c>
      <c r="B3" s="13" t="str">
        <f>"姜杉"</f>
        <v>姜杉</v>
      </c>
      <c r="C3" s="13" t="str">
        <f aca="true" t="shared" si="0" ref="C3:C8">"女"</f>
        <v>女</v>
      </c>
      <c r="D3" s="14" t="str">
        <f>"222424200003070023"</f>
        <v>222424200003070023</v>
      </c>
      <c r="E3" s="15">
        <v>93</v>
      </c>
      <c r="F3" s="16">
        <v>1</v>
      </c>
    </row>
    <row r="4" spans="1:6" ht="19.5" customHeight="1">
      <c r="A4" s="13" t="s">
        <v>126</v>
      </c>
      <c r="B4" s="13" t="str">
        <f>"符枫雪"</f>
        <v>符枫雪</v>
      </c>
      <c r="C4" s="13" t="str">
        <f t="shared" si="0"/>
        <v>女</v>
      </c>
      <c r="D4" s="14" t="str">
        <f>"460028199407116826"</f>
        <v>460028199407116826</v>
      </c>
      <c r="E4" s="17">
        <v>80.1</v>
      </c>
      <c r="F4" s="16">
        <v>2</v>
      </c>
    </row>
    <row r="5" spans="1:6" ht="19.5" customHeight="1">
      <c r="A5" s="13" t="s">
        <v>126</v>
      </c>
      <c r="B5" s="13" t="str">
        <f>"李永华"</f>
        <v>李永华</v>
      </c>
      <c r="C5" s="13" t="str">
        <f>"男"</f>
        <v>男</v>
      </c>
      <c r="D5" s="14" t="str">
        <f>"460003198906302437"</f>
        <v>460003198906302437</v>
      </c>
      <c r="E5" s="17">
        <v>76.7</v>
      </c>
      <c r="F5" s="16">
        <v>3</v>
      </c>
    </row>
    <row r="6" spans="1:6" ht="19.5" customHeight="1">
      <c r="A6" s="13" t="s">
        <v>126</v>
      </c>
      <c r="B6" s="18" t="s">
        <v>127</v>
      </c>
      <c r="C6" s="18" t="s">
        <v>10</v>
      </c>
      <c r="D6" s="19" t="s">
        <v>128</v>
      </c>
      <c r="E6" s="17">
        <v>74.9</v>
      </c>
      <c r="F6" s="16">
        <v>4</v>
      </c>
    </row>
    <row r="7" spans="1:6" ht="19.5" customHeight="1">
      <c r="A7" s="13" t="s">
        <v>126</v>
      </c>
      <c r="B7" s="13" t="str">
        <f>"潘鹏"</f>
        <v>潘鹏</v>
      </c>
      <c r="C7" s="13" t="str">
        <f>"男"</f>
        <v>男</v>
      </c>
      <c r="D7" s="14" t="str">
        <f>"460033199103100033"</f>
        <v>460033199103100033</v>
      </c>
      <c r="E7" s="17">
        <v>72.6</v>
      </c>
      <c r="F7" s="16">
        <v>5</v>
      </c>
    </row>
    <row r="8" spans="1:6" ht="19.5" customHeight="1">
      <c r="A8" s="13" t="s">
        <v>126</v>
      </c>
      <c r="B8" s="13" t="str">
        <f>"林妙"</f>
        <v>林妙</v>
      </c>
      <c r="C8" s="13" t="str">
        <f t="shared" si="0"/>
        <v>女</v>
      </c>
      <c r="D8" s="14" t="str">
        <f>"460022199511211024"</f>
        <v>460022199511211024</v>
      </c>
      <c r="E8" s="17">
        <v>71</v>
      </c>
      <c r="F8" s="16">
        <v>6</v>
      </c>
    </row>
    <row r="9" spans="1:6" ht="19.5" customHeight="1">
      <c r="A9" s="13" t="s">
        <v>126</v>
      </c>
      <c r="B9" s="18" t="s">
        <v>129</v>
      </c>
      <c r="C9" s="18" t="s">
        <v>10</v>
      </c>
      <c r="D9" s="58" t="s">
        <v>130</v>
      </c>
      <c r="E9" s="17">
        <v>70.3</v>
      </c>
      <c r="F9" s="16">
        <v>7</v>
      </c>
    </row>
    <row r="10" spans="1:6" ht="19.5" customHeight="1">
      <c r="A10" s="13" t="s">
        <v>126</v>
      </c>
      <c r="B10" s="13" t="str">
        <f>"刘琼兰"</f>
        <v>刘琼兰</v>
      </c>
      <c r="C10" s="13" t="str">
        <f aca="true" t="shared" si="1" ref="C10:C13">"女"</f>
        <v>女</v>
      </c>
      <c r="D10" s="14" t="str">
        <f>"460033199508026580"</f>
        <v>460033199508026580</v>
      </c>
      <c r="E10" s="17">
        <v>68.5</v>
      </c>
      <c r="F10" s="16">
        <v>8</v>
      </c>
    </row>
    <row r="11" spans="1:6" ht="19.5" customHeight="1">
      <c r="A11" s="13" t="s">
        <v>126</v>
      </c>
      <c r="B11" s="13" t="str">
        <f>"周梅"</f>
        <v>周梅</v>
      </c>
      <c r="C11" s="13" t="str">
        <f t="shared" si="1"/>
        <v>女</v>
      </c>
      <c r="D11" s="14" t="str">
        <f>"429005198606153023"</f>
        <v>429005198606153023</v>
      </c>
      <c r="E11" s="17">
        <v>68.1</v>
      </c>
      <c r="F11" s="16">
        <v>9</v>
      </c>
    </row>
    <row r="12" spans="1:6" ht="19.5" customHeight="1">
      <c r="A12" s="13" t="s">
        <v>126</v>
      </c>
      <c r="B12" s="13" t="str">
        <f>"周燕灵"</f>
        <v>周燕灵</v>
      </c>
      <c r="C12" s="13" t="str">
        <f t="shared" si="1"/>
        <v>女</v>
      </c>
      <c r="D12" s="14" t="str">
        <f>"460028198909295620"</f>
        <v>460028198909295620</v>
      </c>
      <c r="E12" s="17">
        <v>67.4</v>
      </c>
      <c r="F12" s="16">
        <v>10</v>
      </c>
    </row>
    <row r="13" spans="1:6" ht="19.5" customHeight="1">
      <c r="A13" s="13" t="s">
        <v>126</v>
      </c>
      <c r="B13" s="13" t="str">
        <f>"冼秀丹"</f>
        <v>冼秀丹</v>
      </c>
      <c r="C13" s="13" t="str">
        <f t="shared" si="1"/>
        <v>女</v>
      </c>
      <c r="D13" s="14" t="str">
        <f>"460022198902100749"</f>
        <v>460022198902100749</v>
      </c>
      <c r="E13" s="17">
        <v>65.1</v>
      </c>
      <c r="F13" s="16">
        <v>11</v>
      </c>
    </row>
    <row r="14" spans="1:6" ht="19.5" customHeight="1">
      <c r="A14" s="13" t="s">
        <v>126</v>
      </c>
      <c r="B14" s="18" t="s">
        <v>131</v>
      </c>
      <c r="C14" s="18" t="s">
        <v>10</v>
      </c>
      <c r="D14" s="58" t="s">
        <v>132</v>
      </c>
      <c r="E14" s="17">
        <v>62.3</v>
      </c>
      <c r="F14" s="16">
        <v>12</v>
      </c>
    </row>
    <row r="15" spans="1:6" ht="19.5" customHeight="1">
      <c r="A15" s="13" t="s">
        <v>126</v>
      </c>
      <c r="B15" s="13" t="str">
        <f>"罗盛少"</f>
        <v>罗盛少</v>
      </c>
      <c r="C15" s="13" t="str">
        <f aca="true" t="shared" si="2" ref="C15:C18">"女"</f>
        <v>女</v>
      </c>
      <c r="D15" s="14" t="str">
        <f>"460033198902284487"</f>
        <v>460033198902284487</v>
      </c>
      <c r="E15" s="17">
        <v>62.1</v>
      </c>
      <c r="F15" s="16">
        <v>13</v>
      </c>
    </row>
    <row r="16" spans="1:6" ht="19.5" customHeight="1">
      <c r="A16" s="20" t="s">
        <v>126</v>
      </c>
      <c r="B16" s="20" t="str">
        <f>"文雅"</f>
        <v>文雅</v>
      </c>
      <c r="C16" s="20" t="str">
        <f t="shared" si="2"/>
        <v>女</v>
      </c>
      <c r="D16" s="21" t="str">
        <f>"460006199810222321"</f>
        <v>460006199810222321</v>
      </c>
      <c r="E16" s="22">
        <v>59.2</v>
      </c>
      <c r="F16" s="23">
        <v>14</v>
      </c>
    </row>
    <row r="17" spans="1:6" ht="19.5" customHeight="1">
      <c r="A17" s="13" t="s">
        <v>126</v>
      </c>
      <c r="B17" s="18" t="s">
        <v>133</v>
      </c>
      <c r="C17" s="18" t="s">
        <v>10</v>
      </c>
      <c r="D17" s="55" t="s">
        <v>134</v>
      </c>
      <c r="E17" s="15">
        <v>59</v>
      </c>
      <c r="F17" s="16">
        <v>15</v>
      </c>
    </row>
    <row r="18" spans="1:6" ht="19.5" customHeight="1">
      <c r="A18" s="24" t="s">
        <v>126</v>
      </c>
      <c r="B18" s="24" t="str">
        <f>"蔡汝春"</f>
        <v>蔡汝春</v>
      </c>
      <c r="C18" s="24" t="str">
        <f t="shared" si="2"/>
        <v>女</v>
      </c>
      <c r="D18" s="25" t="str">
        <f>"460034199412232124"</f>
        <v>460034199412232124</v>
      </c>
      <c r="E18" s="17">
        <v>58.2</v>
      </c>
      <c r="F18" s="26">
        <v>16</v>
      </c>
    </row>
    <row r="19" spans="1:6" ht="19.5" customHeight="1">
      <c r="A19" s="13" t="s">
        <v>126</v>
      </c>
      <c r="B19" s="13" t="str">
        <f>"翁生威"</f>
        <v>翁生威</v>
      </c>
      <c r="C19" s="13" t="str">
        <f aca="true" t="shared" si="3" ref="C19:C22">"男"</f>
        <v>男</v>
      </c>
      <c r="D19" s="14" t="str">
        <f>"460034199809060017"</f>
        <v>460034199809060017</v>
      </c>
      <c r="E19" s="17">
        <v>55.7</v>
      </c>
      <c r="F19" s="16">
        <v>17</v>
      </c>
    </row>
    <row r="20" spans="1:6" ht="19.5" customHeight="1">
      <c r="A20" s="13" t="s">
        <v>126</v>
      </c>
      <c r="B20" s="13" t="str">
        <f>"陈柯成"</f>
        <v>陈柯成</v>
      </c>
      <c r="C20" s="13" t="str">
        <f t="shared" si="3"/>
        <v>男</v>
      </c>
      <c r="D20" s="14" t="str">
        <f>"460006198507272313"</f>
        <v>460006198507272313</v>
      </c>
      <c r="E20" s="17" t="s">
        <v>103</v>
      </c>
      <c r="F20" s="16">
        <v>18</v>
      </c>
    </row>
    <row r="21" spans="1:6" ht="19.5" customHeight="1">
      <c r="A21" s="13" t="s">
        <v>135</v>
      </c>
      <c r="B21" s="13" t="str">
        <f>"林紫妍"</f>
        <v>林紫妍</v>
      </c>
      <c r="C21" s="13" t="str">
        <f>"女"</f>
        <v>女</v>
      </c>
      <c r="D21" s="14" t="str">
        <f>"44092319941011434X"</f>
        <v>44092319941011434X</v>
      </c>
      <c r="E21" s="17">
        <v>61.5</v>
      </c>
      <c r="F21" s="16">
        <v>1</v>
      </c>
    </row>
    <row r="22" spans="1:6" ht="19.5">
      <c r="A22" s="13" t="s">
        <v>135</v>
      </c>
      <c r="B22" s="27" t="str">
        <f>"李家宁"</f>
        <v>李家宁</v>
      </c>
      <c r="C22" s="27" t="str">
        <f t="shared" si="3"/>
        <v>男</v>
      </c>
      <c r="D22" s="27" t="str">
        <f>"460034199812211832"</f>
        <v>460034199812211832</v>
      </c>
      <c r="E22" s="17">
        <v>61.2</v>
      </c>
      <c r="F22" s="28">
        <v>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J25" sqref="J25"/>
    </sheetView>
  </sheetViews>
  <sheetFormatPr defaultColWidth="9.00390625" defaultRowHeight="15"/>
  <cols>
    <col min="2" max="2" width="12.28125" style="0" customWidth="1"/>
    <col min="4" max="4" width="33.28125" style="0" customWidth="1"/>
    <col min="5" max="5" width="16.7109375" style="0" customWidth="1"/>
    <col min="6" max="6" width="13.140625" style="0" customWidth="1"/>
  </cols>
  <sheetData>
    <row r="1" spans="1:6" ht="81" customHeight="1">
      <c r="A1" s="1" t="s">
        <v>136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19.5" customHeight="1">
      <c r="A3" s="5" t="s">
        <v>137</v>
      </c>
      <c r="B3" s="5" t="str">
        <f>"周琼花"</f>
        <v>周琼花</v>
      </c>
      <c r="C3" s="5" t="str">
        <f aca="true" t="shared" si="0" ref="C3:C14">"女"</f>
        <v>女</v>
      </c>
      <c r="D3" s="5" t="str">
        <f>"460003199311253423"</f>
        <v>460003199311253423</v>
      </c>
      <c r="E3" s="6">
        <v>81.4</v>
      </c>
      <c r="F3" s="7">
        <v>1</v>
      </c>
    </row>
    <row r="4" spans="1:6" ht="19.5" customHeight="1">
      <c r="A4" s="5" t="s">
        <v>137</v>
      </c>
      <c r="B4" s="5" t="str">
        <f>"陈光美"</f>
        <v>陈光美</v>
      </c>
      <c r="C4" s="5" t="str">
        <f t="shared" si="0"/>
        <v>女</v>
      </c>
      <c r="D4" s="5" t="str">
        <f>"460003199305064044"</f>
        <v>460003199305064044</v>
      </c>
      <c r="E4" s="8">
        <v>80.6</v>
      </c>
      <c r="F4" s="7">
        <v>2</v>
      </c>
    </row>
    <row r="5" spans="1:6" ht="19.5" customHeight="1">
      <c r="A5" s="5" t="s">
        <v>137</v>
      </c>
      <c r="B5" s="5" t="str">
        <f>"林尤诚"</f>
        <v>林尤诚</v>
      </c>
      <c r="C5" s="5" t="str">
        <f>"男"</f>
        <v>男</v>
      </c>
      <c r="D5" s="5" t="str">
        <f>"460034199602190412"</f>
        <v>460034199602190412</v>
      </c>
      <c r="E5" s="8">
        <v>72.2</v>
      </c>
      <c r="F5" s="7">
        <v>3</v>
      </c>
    </row>
    <row r="6" spans="1:6" ht="19.5" customHeight="1">
      <c r="A6" s="5" t="s">
        <v>137</v>
      </c>
      <c r="B6" s="5" t="str">
        <f>"陈慧敏"</f>
        <v>陈慧敏</v>
      </c>
      <c r="C6" s="5" t="str">
        <f t="shared" si="0"/>
        <v>女</v>
      </c>
      <c r="D6" s="5" t="str">
        <f>"460001199605190728"</f>
        <v>460001199605190728</v>
      </c>
      <c r="E6" s="8">
        <v>69.2</v>
      </c>
      <c r="F6" s="7">
        <v>4</v>
      </c>
    </row>
    <row r="7" spans="1:6" ht="19.5" customHeight="1">
      <c r="A7" s="5" t="s">
        <v>137</v>
      </c>
      <c r="B7" s="5" t="str">
        <f>"陈友荟"</f>
        <v>陈友荟</v>
      </c>
      <c r="C7" s="5" t="str">
        <f t="shared" si="0"/>
        <v>女</v>
      </c>
      <c r="D7" s="5" t="str">
        <f>"460034199402260447"</f>
        <v>460034199402260447</v>
      </c>
      <c r="E7" s="8">
        <v>68.2</v>
      </c>
      <c r="F7" s="7">
        <v>5</v>
      </c>
    </row>
    <row r="8" spans="1:6" ht="19.5" customHeight="1">
      <c r="A8" s="5" t="s">
        <v>137</v>
      </c>
      <c r="B8" s="5" t="str">
        <f>"孙计星"</f>
        <v>孙计星</v>
      </c>
      <c r="C8" s="5" t="str">
        <f t="shared" si="0"/>
        <v>女</v>
      </c>
      <c r="D8" s="5" t="str">
        <f>"460200199506134901"</f>
        <v>460200199506134901</v>
      </c>
      <c r="E8" s="8">
        <v>65.2</v>
      </c>
      <c r="F8" s="7">
        <v>6</v>
      </c>
    </row>
    <row r="9" spans="1:6" ht="19.5" customHeight="1">
      <c r="A9" s="5" t="s">
        <v>137</v>
      </c>
      <c r="B9" s="5" t="str">
        <f>"刘瑾"</f>
        <v>刘瑾</v>
      </c>
      <c r="C9" s="5" t="str">
        <f t="shared" si="0"/>
        <v>女</v>
      </c>
      <c r="D9" s="5" t="str">
        <f>"469028199804041520"</f>
        <v>469028199804041520</v>
      </c>
      <c r="E9" s="8">
        <v>64.4</v>
      </c>
      <c r="F9" s="7">
        <v>7</v>
      </c>
    </row>
    <row r="10" spans="1:6" ht="19.5" customHeight="1">
      <c r="A10" s="5" t="s">
        <v>137</v>
      </c>
      <c r="B10" s="5" t="str">
        <f>"陈亚方"</f>
        <v>陈亚方</v>
      </c>
      <c r="C10" s="5" t="str">
        <f t="shared" si="0"/>
        <v>女</v>
      </c>
      <c r="D10" s="5" t="str">
        <f>"460034199410082724"</f>
        <v>460034199410082724</v>
      </c>
      <c r="E10" s="8">
        <v>63.6</v>
      </c>
      <c r="F10" s="7">
        <v>8</v>
      </c>
    </row>
    <row r="11" spans="1:6" ht="19.5" customHeight="1">
      <c r="A11" s="5" t="s">
        <v>137</v>
      </c>
      <c r="B11" s="5" t="str">
        <f>"苏雅"</f>
        <v>苏雅</v>
      </c>
      <c r="C11" s="5" t="str">
        <f t="shared" si="0"/>
        <v>女</v>
      </c>
      <c r="D11" s="5" t="str">
        <f>"46003419960410002X"</f>
        <v>46003419960410002X</v>
      </c>
      <c r="E11" s="8">
        <v>59.4</v>
      </c>
      <c r="F11" s="7">
        <v>9</v>
      </c>
    </row>
    <row r="12" spans="1:6" ht="19.5" customHeight="1">
      <c r="A12" s="5" t="s">
        <v>137</v>
      </c>
      <c r="B12" s="5" t="str">
        <f>"周海燕"</f>
        <v>周海燕</v>
      </c>
      <c r="C12" s="5" t="str">
        <f t="shared" si="0"/>
        <v>女</v>
      </c>
      <c r="D12" s="5" t="str">
        <f>"460033199004072081"</f>
        <v>460033199004072081</v>
      </c>
      <c r="E12" s="8" t="s">
        <v>103</v>
      </c>
      <c r="F12" s="7">
        <v>10</v>
      </c>
    </row>
    <row r="13" spans="1:6" ht="19.5" customHeight="1">
      <c r="A13" s="5" t="s">
        <v>137</v>
      </c>
      <c r="B13" s="5" t="str">
        <f>"毛鑫鑫"</f>
        <v>毛鑫鑫</v>
      </c>
      <c r="C13" s="5" t="str">
        <f t="shared" si="0"/>
        <v>女</v>
      </c>
      <c r="D13" s="5" t="str">
        <f>"239005198807250043"</f>
        <v>239005198807250043</v>
      </c>
      <c r="E13" s="8" t="s">
        <v>103</v>
      </c>
      <c r="F13" s="7">
        <v>11</v>
      </c>
    </row>
    <row r="14" spans="1:6" ht="19.5" customHeight="1">
      <c r="A14" s="5" t="s">
        <v>137</v>
      </c>
      <c r="B14" s="5" t="str">
        <f>"吴淑梅"</f>
        <v>吴淑梅</v>
      </c>
      <c r="C14" s="5" t="str">
        <f t="shared" si="0"/>
        <v>女</v>
      </c>
      <c r="D14" s="5" t="str">
        <f>"460036199401180026"</f>
        <v>460036199401180026</v>
      </c>
      <c r="E14" s="8" t="s">
        <v>103</v>
      </c>
      <c r="F14" s="7">
        <v>12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2020-10-19T13:03:50Z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