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9090" activeTab="0"/>
  </bookViews>
  <sheets>
    <sheet name="（合格）龙华区事业单位" sheetId="1" r:id="rId1"/>
  </sheets>
  <definedNames>
    <definedName name="_xlnm._FilterDatabase" localSheetId="0" hidden="1">'（合格）龙华区事业单位'!$A$2:$E$1548</definedName>
  </definedNames>
  <calcPr fullCalcOnLoad="1"/>
</workbook>
</file>

<file path=xl/sharedStrings.xml><?xml version="1.0" encoding="utf-8"?>
<sst xmlns="http://schemas.openxmlformats.org/spreadsheetml/2006/main" count="1552" uniqueCount="30">
  <si>
    <t>序号</t>
  </si>
  <si>
    <t>报考号</t>
  </si>
  <si>
    <t>报考岗位</t>
  </si>
  <si>
    <t>姓名</t>
  </si>
  <si>
    <t>性别</t>
  </si>
  <si>
    <t>0101_区人才发展中心-管理岗</t>
  </si>
  <si>
    <t>0201_滨海街道党建工作站-管理岗</t>
  </si>
  <si>
    <t>0301_金贸街道党建工作站-管理岗</t>
  </si>
  <si>
    <t>0401_城西镇党建工作站-管理岗</t>
  </si>
  <si>
    <t>0501_龙桥镇党建工作站-管理岗</t>
  </si>
  <si>
    <t>0601_区治安联防大队-管理岗</t>
  </si>
  <si>
    <t>0701_区公共法律服务中心-管理岗</t>
  </si>
  <si>
    <t>0801_区乡村振兴服务中心-管理岗（应届毕业生）</t>
  </si>
  <si>
    <t>0802_区乡村振兴服务中心-管理岗</t>
  </si>
  <si>
    <t>0901_滨海街道社会服务中心-管理岗</t>
  </si>
  <si>
    <t>1001_区联动中心-技术岗</t>
  </si>
  <si>
    <t>1101_区社区建设办公室-技术岗</t>
  </si>
  <si>
    <t>1201_区市政维修管理中心-技术岗</t>
  </si>
  <si>
    <t>1301_龙泉镇卫生院-技术岗1</t>
  </si>
  <si>
    <t>1302_龙泉镇卫生院-技术岗2</t>
  </si>
  <si>
    <t>1401_新坡镇卫生院-技术岗1</t>
  </si>
  <si>
    <t>1402_新坡镇卫生院-技术岗2</t>
  </si>
  <si>
    <t>1501_区房屋征收服务中心-技术岗</t>
  </si>
  <si>
    <t>1502_区房屋征收服务中心-管理岗</t>
  </si>
  <si>
    <t>1701_龙泉镇农业服务中心-管理岗</t>
  </si>
  <si>
    <t>1801_金贸街道社会事务综合服务中心-管理岗</t>
  </si>
  <si>
    <t>1901_区防汛防风防旱指挥部办公室-管理岗</t>
  </si>
  <si>
    <t>2001_区水库管理中心-技术岗</t>
  </si>
  <si>
    <t>2101_区建设工程质量安全监督站-管理岗</t>
  </si>
  <si>
    <t>海口市龙华区2020年事业单位公开招聘通过资格初审人员名单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</si>
</sst>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2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8"/>
  <sheetViews>
    <sheetView tabSelected="1" zoomScalePageLayoutView="0" workbookViewId="0" topLeftCell="A1">
      <selection activeCell="B7" sqref="B7"/>
    </sheetView>
  </sheetViews>
  <sheetFormatPr defaultColWidth="9.140625" defaultRowHeight="30" customHeight="1"/>
  <cols>
    <col min="1" max="1" width="9.00390625" style="2" customWidth="1"/>
    <col min="2" max="2" width="24.8515625" style="2" customWidth="1"/>
    <col min="3" max="3" width="46.57421875" style="2" customWidth="1"/>
    <col min="4" max="4" width="12.421875" style="2" customWidth="1"/>
    <col min="5" max="5" width="13.421875" style="2" customWidth="1"/>
    <col min="6" max="16384" width="9.00390625" style="2" customWidth="1"/>
  </cols>
  <sheetData>
    <row r="1" spans="1:5" ht="75" customHeight="1">
      <c r="A1" s="6" t="s">
        <v>29</v>
      </c>
      <c r="B1" s="6"/>
      <c r="C1" s="6"/>
      <c r="D1" s="6"/>
      <c r="E1" s="6"/>
    </row>
    <row r="2" spans="1:5" s="1" customFormat="1" ht="54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30" customHeight="1">
      <c r="A3" s="4">
        <v>1</v>
      </c>
      <c r="B3" s="5" t="str">
        <f>"26442020100908383914"</f>
        <v>26442020100908383914</v>
      </c>
      <c r="C3" s="5" t="s">
        <v>5</v>
      </c>
      <c r="D3" s="5" t="str">
        <f>"郑彤"</f>
        <v>郑彤</v>
      </c>
      <c r="E3" s="5" t="str">
        <f>"女"</f>
        <v>女</v>
      </c>
    </row>
    <row r="4" spans="1:5" ht="30" customHeight="1">
      <c r="A4" s="4">
        <v>2</v>
      </c>
      <c r="B4" s="5" t="str">
        <f>"26442020100909023451"</f>
        <v>26442020100909023451</v>
      </c>
      <c r="C4" s="5" t="s">
        <v>5</v>
      </c>
      <c r="D4" s="5" t="str">
        <f>"李婧"</f>
        <v>李婧</v>
      </c>
      <c r="E4" s="5" t="str">
        <f>"女"</f>
        <v>女</v>
      </c>
    </row>
    <row r="5" spans="1:5" ht="30" customHeight="1">
      <c r="A5" s="4">
        <v>3</v>
      </c>
      <c r="B5" s="5" t="str">
        <f>"264420201009094911114"</f>
        <v>264420201009094911114</v>
      </c>
      <c r="C5" s="5" t="s">
        <v>5</v>
      </c>
      <c r="D5" s="5" t="str">
        <f>"陈伊倩"</f>
        <v>陈伊倩</v>
      </c>
      <c r="E5" s="5" t="str">
        <f>"女"</f>
        <v>女</v>
      </c>
    </row>
    <row r="6" spans="1:5" ht="30" customHeight="1">
      <c r="A6" s="4">
        <v>4</v>
      </c>
      <c r="B6" s="5" t="str">
        <f>"264420201009095416121"</f>
        <v>264420201009095416121</v>
      </c>
      <c r="C6" s="5" t="s">
        <v>5</v>
      </c>
      <c r="D6" s="5" t="str">
        <f>"黄婧怡"</f>
        <v>黄婧怡</v>
      </c>
      <c r="E6" s="5" t="str">
        <f>"女"</f>
        <v>女</v>
      </c>
    </row>
    <row r="7" spans="1:5" ht="30" customHeight="1">
      <c r="A7" s="4">
        <v>5</v>
      </c>
      <c r="B7" s="5" t="str">
        <f>"264420201009100314130"</f>
        <v>264420201009100314130</v>
      </c>
      <c r="C7" s="5" t="s">
        <v>5</v>
      </c>
      <c r="D7" s="5" t="str">
        <f>"杨盛宁"</f>
        <v>杨盛宁</v>
      </c>
      <c r="E7" s="5" t="str">
        <f>"男"</f>
        <v>男</v>
      </c>
    </row>
    <row r="8" spans="1:5" ht="30" customHeight="1">
      <c r="A8" s="4">
        <v>6</v>
      </c>
      <c r="B8" s="5" t="str">
        <f>"264420201009101510145"</f>
        <v>264420201009101510145</v>
      </c>
      <c r="C8" s="5" t="s">
        <v>5</v>
      </c>
      <c r="D8" s="5" t="str">
        <f>"高圆"</f>
        <v>高圆</v>
      </c>
      <c r="E8" s="5" t="str">
        <f aca="true" t="shared" si="0" ref="E8:E19">"女"</f>
        <v>女</v>
      </c>
    </row>
    <row r="9" spans="1:5" ht="30" customHeight="1">
      <c r="A9" s="4">
        <v>7</v>
      </c>
      <c r="B9" s="5" t="str">
        <f>"264420201009102554162"</f>
        <v>264420201009102554162</v>
      </c>
      <c r="C9" s="5" t="s">
        <v>5</v>
      </c>
      <c r="D9" s="5" t="str">
        <f>"寇力丹"</f>
        <v>寇力丹</v>
      </c>
      <c r="E9" s="5" t="str">
        <f t="shared" si="0"/>
        <v>女</v>
      </c>
    </row>
    <row r="10" spans="1:5" ht="30" customHeight="1">
      <c r="A10" s="4">
        <v>8</v>
      </c>
      <c r="B10" s="5" t="str">
        <f>"264420201009105454209"</f>
        <v>264420201009105454209</v>
      </c>
      <c r="C10" s="5" t="s">
        <v>5</v>
      </c>
      <c r="D10" s="5" t="str">
        <f>"陈颖"</f>
        <v>陈颖</v>
      </c>
      <c r="E10" s="5" t="str">
        <f t="shared" si="0"/>
        <v>女</v>
      </c>
    </row>
    <row r="11" spans="1:5" ht="30" customHeight="1">
      <c r="A11" s="4">
        <v>9</v>
      </c>
      <c r="B11" s="5" t="str">
        <f>"264420201009131648334"</f>
        <v>264420201009131648334</v>
      </c>
      <c r="C11" s="5" t="s">
        <v>5</v>
      </c>
      <c r="D11" s="5" t="str">
        <f>"李位霞"</f>
        <v>李位霞</v>
      </c>
      <c r="E11" s="5" t="str">
        <f t="shared" si="0"/>
        <v>女</v>
      </c>
    </row>
    <row r="12" spans="1:5" ht="30" customHeight="1">
      <c r="A12" s="4">
        <v>10</v>
      </c>
      <c r="B12" s="5" t="str">
        <f>"264420201009132437340"</f>
        <v>264420201009132437340</v>
      </c>
      <c r="C12" s="5" t="s">
        <v>5</v>
      </c>
      <c r="D12" s="5" t="str">
        <f>"张帆"</f>
        <v>张帆</v>
      </c>
      <c r="E12" s="5" t="str">
        <f t="shared" si="0"/>
        <v>女</v>
      </c>
    </row>
    <row r="13" spans="1:5" ht="30" customHeight="1">
      <c r="A13" s="4">
        <v>11</v>
      </c>
      <c r="B13" s="5" t="str">
        <f>"264420201009143756381"</f>
        <v>264420201009143756381</v>
      </c>
      <c r="C13" s="5" t="s">
        <v>5</v>
      </c>
      <c r="D13" s="5" t="str">
        <f>"王谋薇"</f>
        <v>王谋薇</v>
      </c>
      <c r="E13" s="5" t="str">
        <f t="shared" si="0"/>
        <v>女</v>
      </c>
    </row>
    <row r="14" spans="1:5" ht="30" customHeight="1">
      <c r="A14" s="4">
        <v>12</v>
      </c>
      <c r="B14" s="5" t="str">
        <f>"264420201009155207451"</f>
        <v>264420201009155207451</v>
      </c>
      <c r="C14" s="5" t="s">
        <v>5</v>
      </c>
      <c r="D14" s="5" t="str">
        <f>"姚丹倩"</f>
        <v>姚丹倩</v>
      </c>
      <c r="E14" s="5" t="str">
        <f t="shared" si="0"/>
        <v>女</v>
      </c>
    </row>
    <row r="15" spans="1:5" ht="30" customHeight="1">
      <c r="A15" s="4">
        <v>13</v>
      </c>
      <c r="B15" s="5" t="str">
        <f>"264420201009160129459"</f>
        <v>264420201009160129459</v>
      </c>
      <c r="C15" s="5" t="s">
        <v>5</v>
      </c>
      <c r="D15" s="5" t="str">
        <f>"朱小燕"</f>
        <v>朱小燕</v>
      </c>
      <c r="E15" s="5" t="str">
        <f t="shared" si="0"/>
        <v>女</v>
      </c>
    </row>
    <row r="16" spans="1:5" ht="30" customHeight="1">
      <c r="A16" s="4">
        <v>14</v>
      </c>
      <c r="B16" s="5" t="str">
        <f>"264420201009190241595"</f>
        <v>264420201009190241595</v>
      </c>
      <c r="C16" s="5" t="s">
        <v>5</v>
      </c>
      <c r="D16" s="5" t="str">
        <f>"潘文慧"</f>
        <v>潘文慧</v>
      </c>
      <c r="E16" s="5" t="str">
        <f t="shared" si="0"/>
        <v>女</v>
      </c>
    </row>
    <row r="17" spans="1:5" ht="30" customHeight="1">
      <c r="A17" s="4">
        <v>15</v>
      </c>
      <c r="B17" s="5" t="str">
        <f>"264420201009200009641"</f>
        <v>264420201009200009641</v>
      </c>
      <c r="C17" s="5" t="s">
        <v>5</v>
      </c>
      <c r="D17" s="5" t="str">
        <f>"马潇"</f>
        <v>马潇</v>
      </c>
      <c r="E17" s="5" t="str">
        <f t="shared" si="0"/>
        <v>女</v>
      </c>
    </row>
    <row r="18" spans="1:5" ht="30" customHeight="1">
      <c r="A18" s="4">
        <v>16</v>
      </c>
      <c r="B18" s="5" t="str">
        <f>"264420201009230505783"</f>
        <v>264420201009230505783</v>
      </c>
      <c r="C18" s="5" t="s">
        <v>5</v>
      </c>
      <c r="D18" s="5" t="str">
        <f>"吴惠雯"</f>
        <v>吴惠雯</v>
      </c>
      <c r="E18" s="5" t="str">
        <f t="shared" si="0"/>
        <v>女</v>
      </c>
    </row>
    <row r="19" spans="1:5" ht="30" customHeight="1">
      <c r="A19" s="4">
        <v>17</v>
      </c>
      <c r="B19" s="5" t="str">
        <f>"264420201010101814882"</f>
        <v>264420201010101814882</v>
      </c>
      <c r="C19" s="5" t="s">
        <v>5</v>
      </c>
      <c r="D19" s="5" t="str">
        <f>"张越"</f>
        <v>张越</v>
      </c>
      <c r="E19" s="5" t="str">
        <f t="shared" si="0"/>
        <v>女</v>
      </c>
    </row>
    <row r="20" spans="1:5" ht="30" customHeight="1">
      <c r="A20" s="4">
        <v>18</v>
      </c>
      <c r="B20" s="5" t="str">
        <f>"264420201010115909934"</f>
        <v>264420201010115909934</v>
      </c>
      <c r="C20" s="5" t="s">
        <v>5</v>
      </c>
      <c r="D20" s="5" t="str">
        <f>"王思旭"</f>
        <v>王思旭</v>
      </c>
      <c r="E20" s="5" t="str">
        <f>"男"</f>
        <v>男</v>
      </c>
    </row>
    <row r="21" spans="1:5" ht="30" customHeight="1">
      <c r="A21" s="4">
        <v>19</v>
      </c>
      <c r="B21" s="5" t="str">
        <f>"2644202010101655581043"</f>
        <v>2644202010101655581043</v>
      </c>
      <c r="C21" s="5" t="s">
        <v>5</v>
      </c>
      <c r="D21" s="5" t="str">
        <f>"何柳盈"</f>
        <v>何柳盈</v>
      </c>
      <c r="E21" s="5" t="str">
        <f>"女"</f>
        <v>女</v>
      </c>
    </row>
    <row r="22" spans="1:5" ht="30" customHeight="1">
      <c r="A22" s="4">
        <v>20</v>
      </c>
      <c r="B22" s="5" t="str">
        <f>"2644202010101919561087"</f>
        <v>2644202010101919561087</v>
      </c>
      <c r="C22" s="5" t="s">
        <v>5</v>
      </c>
      <c r="D22" s="5" t="str">
        <f>"吴冬雪"</f>
        <v>吴冬雪</v>
      </c>
      <c r="E22" s="5" t="str">
        <f>"女"</f>
        <v>女</v>
      </c>
    </row>
    <row r="23" spans="1:5" ht="30" customHeight="1">
      <c r="A23" s="4">
        <v>21</v>
      </c>
      <c r="B23" s="5" t="str">
        <f>"2644202010102058481114"</f>
        <v>2644202010102058481114</v>
      </c>
      <c r="C23" s="5" t="s">
        <v>5</v>
      </c>
      <c r="D23" s="5" t="str">
        <f>"张涵"</f>
        <v>张涵</v>
      </c>
      <c r="E23" s="5" t="str">
        <f>"男"</f>
        <v>男</v>
      </c>
    </row>
    <row r="24" spans="1:5" ht="30" customHeight="1">
      <c r="A24" s="4">
        <v>22</v>
      </c>
      <c r="B24" s="5" t="str">
        <f>"2644202010102155291142"</f>
        <v>2644202010102155291142</v>
      </c>
      <c r="C24" s="5" t="s">
        <v>5</v>
      </c>
      <c r="D24" s="5" t="str">
        <f>"符冬琴"</f>
        <v>符冬琴</v>
      </c>
      <c r="E24" s="5" t="str">
        <f>"女"</f>
        <v>女</v>
      </c>
    </row>
    <row r="25" spans="1:5" ht="30" customHeight="1">
      <c r="A25" s="4">
        <v>23</v>
      </c>
      <c r="B25" s="5" t="str">
        <f>"2644202010111356441270"</f>
        <v>2644202010111356441270</v>
      </c>
      <c r="C25" s="5" t="s">
        <v>5</v>
      </c>
      <c r="D25" s="5" t="str">
        <f>"崔乙斌"</f>
        <v>崔乙斌</v>
      </c>
      <c r="E25" s="5" t="str">
        <f>"男"</f>
        <v>男</v>
      </c>
    </row>
    <row r="26" spans="1:5" ht="30" customHeight="1">
      <c r="A26" s="4">
        <v>24</v>
      </c>
      <c r="B26" s="5" t="str">
        <f>"2644202010111558151305"</f>
        <v>2644202010111558151305</v>
      </c>
      <c r="C26" s="5" t="s">
        <v>5</v>
      </c>
      <c r="D26" s="5" t="str">
        <f>"蒲鹏程"</f>
        <v>蒲鹏程</v>
      </c>
      <c r="E26" s="5" t="str">
        <f>"男"</f>
        <v>男</v>
      </c>
    </row>
    <row r="27" spans="1:5" ht="30" customHeight="1">
      <c r="A27" s="4">
        <v>25</v>
      </c>
      <c r="B27" s="5" t="str">
        <f>"2644202010112320321447"</f>
        <v>2644202010112320321447</v>
      </c>
      <c r="C27" s="5" t="s">
        <v>5</v>
      </c>
      <c r="D27" s="5" t="str">
        <f>"何智静"</f>
        <v>何智静</v>
      </c>
      <c r="E27" s="5" t="str">
        <f>"女"</f>
        <v>女</v>
      </c>
    </row>
    <row r="28" spans="1:5" ht="30" customHeight="1">
      <c r="A28" s="4">
        <v>26</v>
      </c>
      <c r="B28" s="5" t="str">
        <f>"2644202010120902351473"</f>
        <v>2644202010120902351473</v>
      </c>
      <c r="C28" s="5" t="s">
        <v>5</v>
      </c>
      <c r="D28" s="5" t="str">
        <f>"王智娴"</f>
        <v>王智娴</v>
      </c>
      <c r="E28" s="5" t="str">
        <f>"女"</f>
        <v>女</v>
      </c>
    </row>
    <row r="29" spans="1:5" ht="30" customHeight="1">
      <c r="A29" s="4">
        <v>27</v>
      </c>
      <c r="B29" s="5" t="str">
        <f>"2644202010121146091543"</f>
        <v>2644202010121146091543</v>
      </c>
      <c r="C29" s="5" t="s">
        <v>5</v>
      </c>
      <c r="D29" s="5" t="str">
        <f>"郭皓年"</f>
        <v>郭皓年</v>
      </c>
      <c r="E29" s="5" t="str">
        <f>"男"</f>
        <v>男</v>
      </c>
    </row>
    <row r="30" spans="1:5" ht="30" customHeight="1">
      <c r="A30" s="4">
        <v>28</v>
      </c>
      <c r="B30" s="5" t="str">
        <f>"2644202010121343191572"</f>
        <v>2644202010121343191572</v>
      </c>
      <c r="C30" s="5" t="s">
        <v>5</v>
      </c>
      <c r="D30" s="5" t="str">
        <f>"居利香"</f>
        <v>居利香</v>
      </c>
      <c r="E30" s="5" t="str">
        <f aca="true" t="shared" si="1" ref="E30:E35">"女"</f>
        <v>女</v>
      </c>
    </row>
    <row r="31" spans="1:5" ht="30" customHeight="1">
      <c r="A31" s="4">
        <v>29</v>
      </c>
      <c r="B31" s="5" t="str">
        <f>"2644202010121840481678"</f>
        <v>2644202010121840481678</v>
      </c>
      <c r="C31" s="5" t="s">
        <v>5</v>
      </c>
      <c r="D31" s="5" t="str">
        <f>"王朝培"</f>
        <v>王朝培</v>
      </c>
      <c r="E31" s="5" t="str">
        <f t="shared" si="1"/>
        <v>女</v>
      </c>
    </row>
    <row r="32" spans="1:5" ht="30" customHeight="1">
      <c r="A32" s="4">
        <v>30</v>
      </c>
      <c r="B32" s="5" t="str">
        <f>"2644202010121905301685"</f>
        <v>2644202010121905301685</v>
      </c>
      <c r="C32" s="5" t="s">
        <v>5</v>
      </c>
      <c r="D32" s="5" t="str">
        <f>"林茗怡"</f>
        <v>林茗怡</v>
      </c>
      <c r="E32" s="5" t="str">
        <f t="shared" si="1"/>
        <v>女</v>
      </c>
    </row>
    <row r="33" spans="1:5" ht="30" customHeight="1">
      <c r="A33" s="4">
        <v>31</v>
      </c>
      <c r="B33" s="5" t="str">
        <f>"2644202010130930041784"</f>
        <v>2644202010130930041784</v>
      </c>
      <c r="C33" s="5" t="s">
        <v>5</v>
      </c>
      <c r="D33" s="5" t="str">
        <f>"樊小红"</f>
        <v>樊小红</v>
      </c>
      <c r="E33" s="5" t="str">
        <f t="shared" si="1"/>
        <v>女</v>
      </c>
    </row>
    <row r="34" spans="1:5" ht="30" customHeight="1">
      <c r="A34" s="4">
        <v>32</v>
      </c>
      <c r="B34" s="5" t="str">
        <f>"2644202010131028221806"</f>
        <v>2644202010131028221806</v>
      </c>
      <c r="C34" s="5" t="s">
        <v>5</v>
      </c>
      <c r="D34" s="5" t="str">
        <f>"钟思婷"</f>
        <v>钟思婷</v>
      </c>
      <c r="E34" s="5" t="str">
        <f t="shared" si="1"/>
        <v>女</v>
      </c>
    </row>
    <row r="35" spans="1:5" ht="30" customHeight="1">
      <c r="A35" s="4">
        <v>33</v>
      </c>
      <c r="B35" s="5" t="str">
        <f>"2644202010131107221824"</f>
        <v>2644202010131107221824</v>
      </c>
      <c r="C35" s="5" t="s">
        <v>5</v>
      </c>
      <c r="D35" s="5" t="str">
        <f>"肖瑾萱"</f>
        <v>肖瑾萱</v>
      </c>
      <c r="E35" s="5" t="str">
        <f t="shared" si="1"/>
        <v>女</v>
      </c>
    </row>
    <row r="36" spans="1:5" ht="30" customHeight="1">
      <c r="A36" s="4">
        <v>34</v>
      </c>
      <c r="B36" s="5" t="str">
        <f>"2644202010131133331833"</f>
        <v>2644202010131133331833</v>
      </c>
      <c r="C36" s="5" t="s">
        <v>5</v>
      </c>
      <c r="D36" s="5" t="str">
        <f>"程怀"</f>
        <v>程怀</v>
      </c>
      <c r="E36" s="5" t="str">
        <f>"男"</f>
        <v>男</v>
      </c>
    </row>
    <row r="37" spans="1:5" ht="30" customHeight="1">
      <c r="A37" s="4">
        <v>35</v>
      </c>
      <c r="B37" s="5" t="str">
        <f>"2644202010131810001938"</f>
        <v>2644202010131810001938</v>
      </c>
      <c r="C37" s="5" t="s">
        <v>5</v>
      </c>
      <c r="D37" s="5" t="str">
        <f>"陈妹"</f>
        <v>陈妹</v>
      </c>
      <c r="E37" s="5" t="str">
        <f>"女"</f>
        <v>女</v>
      </c>
    </row>
    <row r="38" spans="1:5" ht="30" customHeight="1">
      <c r="A38" s="4">
        <v>36</v>
      </c>
      <c r="B38" s="5" t="str">
        <f>"2644202010132302052007"</f>
        <v>2644202010132302052007</v>
      </c>
      <c r="C38" s="5" t="s">
        <v>5</v>
      </c>
      <c r="D38" s="5" t="str">
        <f>"曹雨"</f>
        <v>曹雨</v>
      </c>
      <c r="E38" s="5" t="str">
        <f>"男"</f>
        <v>男</v>
      </c>
    </row>
    <row r="39" spans="1:5" ht="30" customHeight="1">
      <c r="A39" s="4">
        <v>37</v>
      </c>
      <c r="B39" s="5" t="str">
        <f>"2644202010140912192030"</f>
        <v>2644202010140912192030</v>
      </c>
      <c r="C39" s="5" t="s">
        <v>5</v>
      </c>
      <c r="D39" s="5" t="str">
        <f>"杨怡琳"</f>
        <v>杨怡琳</v>
      </c>
      <c r="E39" s="5" t="str">
        <f>"女"</f>
        <v>女</v>
      </c>
    </row>
    <row r="40" spans="1:5" ht="30" customHeight="1">
      <c r="A40" s="4">
        <v>38</v>
      </c>
      <c r="B40" s="5" t="str">
        <f>"2644202010141034192055"</f>
        <v>2644202010141034192055</v>
      </c>
      <c r="C40" s="5" t="s">
        <v>5</v>
      </c>
      <c r="D40" s="5" t="str">
        <f>"徐琳琳"</f>
        <v>徐琳琳</v>
      </c>
      <c r="E40" s="5" t="str">
        <f>"女"</f>
        <v>女</v>
      </c>
    </row>
    <row r="41" spans="1:5" ht="30" customHeight="1">
      <c r="A41" s="4">
        <v>39</v>
      </c>
      <c r="B41" s="5" t="str">
        <f>"2644202010141040062060"</f>
        <v>2644202010141040062060</v>
      </c>
      <c r="C41" s="5" t="s">
        <v>5</v>
      </c>
      <c r="D41" s="5" t="str">
        <f>"田佳迎"</f>
        <v>田佳迎</v>
      </c>
      <c r="E41" s="5" t="str">
        <f>"女"</f>
        <v>女</v>
      </c>
    </row>
    <row r="42" spans="1:5" ht="30" customHeight="1">
      <c r="A42" s="4">
        <v>40</v>
      </c>
      <c r="B42" s="5" t="str">
        <f>"2644202010141210132080"</f>
        <v>2644202010141210132080</v>
      </c>
      <c r="C42" s="5" t="s">
        <v>5</v>
      </c>
      <c r="D42" s="5" t="str">
        <f>"何应玉"</f>
        <v>何应玉</v>
      </c>
      <c r="E42" s="5" t="str">
        <f>"女"</f>
        <v>女</v>
      </c>
    </row>
    <row r="43" spans="1:5" ht="30" customHeight="1">
      <c r="A43" s="4">
        <v>41</v>
      </c>
      <c r="B43" s="5" t="str">
        <f>"2644202010142250202278"</f>
        <v>2644202010142250202278</v>
      </c>
      <c r="C43" s="5" t="s">
        <v>5</v>
      </c>
      <c r="D43" s="5" t="str">
        <f>"杨悦"</f>
        <v>杨悦</v>
      </c>
      <c r="E43" s="5" t="str">
        <f>"女"</f>
        <v>女</v>
      </c>
    </row>
    <row r="44" spans="1:5" ht="30" customHeight="1">
      <c r="A44" s="4">
        <v>42</v>
      </c>
      <c r="B44" s="5" t="str">
        <f>"2644202010151336162404"</f>
        <v>2644202010151336162404</v>
      </c>
      <c r="C44" s="5" t="s">
        <v>5</v>
      </c>
      <c r="D44" s="5" t="str">
        <f>"周佩德"</f>
        <v>周佩德</v>
      </c>
      <c r="E44" s="5" t="str">
        <f>"男"</f>
        <v>男</v>
      </c>
    </row>
    <row r="45" spans="1:5" ht="30" customHeight="1">
      <c r="A45" s="4">
        <v>43</v>
      </c>
      <c r="B45" s="5" t="str">
        <f>"2644202010151551522446"</f>
        <v>2644202010151551522446</v>
      </c>
      <c r="C45" s="5" t="s">
        <v>5</v>
      </c>
      <c r="D45" s="5" t="str">
        <f>"林玉"</f>
        <v>林玉</v>
      </c>
      <c r="E45" s="5" t="str">
        <f>"女"</f>
        <v>女</v>
      </c>
    </row>
    <row r="46" spans="1:5" ht="30" customHeight="1">
      <c r="A46" s="4">
        <v>44</v>
      </c>
      <c r="B46" s="5" t="str">
        <f>"26442020100908513337"</f>
        <v>26442020100908513337</v>
      </c>
      <c r="C46" s="5" t="s">
        <v>6</v>
      </c>
      <c r="D46" s="5" t="str">
        <f>"黄垂浪"</f>
        <v>黄垂浪</v>
      </c>
      <c r="E46" s="5" t="str">
        <f>"男"</f>
        <v>男</v>
      </c>
    </row>
    <row r="47" spans="1:5" ht="30" customHeight="1">
      <c r="A47" s="4">
        <v>45</v>
      </c>
      <c r="B47" s="5" t="str">
        <f>"264420201009110633224"</f>
        <v>264420201009110633224</v>
      </c>
      <c r="C47" s="5" t="s">
        <v>6</v>
      </c>
      <c r="D47" s="5" t="str">
        <f>"曾令顺"</f>
        <v>曾令顺</v>
      </c>
      <c r="E47" s="5" t="str">
        <f>"男"</f>
        <v>男</v>
      </c>
    </row>
    <row r="48" spans="1:5" ht="30" customHeight="1">
      <c r="A48" s="4">
        <v>46</v>
      </c>
      <c r="B48" s="5" t="str">
        <f>"264420201009160346462"</f>
        <v>264420201009160346462</v>
      </c>
      <c r="C48" s="5" t="s">
        <v>6</v>
      </c>
      <c r="D48" s="5" t="str">
        <f>"姚彦羽"</f>
        <v>姚彦羽</v>
      </c>
      <c r="E48" s="5" t="str">
        <f>"女"</f>
        <v>女</v>
      </c>
    </row>
    <row r="49" spans="1:5" ht="30" customHeight="1">
      <c r="A49" s="4">
        <v>47</v>
      </c>
      <c r="B49" s="5" t="str">
        <f>"2644202010110937161200"</f>
        <v>2644202010110937161200</v>
      </c>
      <c r="C49" s="5" t="s">
        <v>6</v>
      </c>
      <c r="D49" s="5" t="str">
        <f>"傅祖艳"</f>
        <v>傅祖艳</v>
      </c>
      <c r="E49" s="5" t="str">
        <f>"女"</f>
        <v>女</v>
      </c>
    </row>
    <row r="50" spans="1:5" ht="30" customHeight="1">
      <c r="A50" s="4">
        <v>48</v>
      </c>
      <c r="B50" s="5" t="str">
        <f>"2644202010111824441353"</f>
        <v>2644202010111824441353</v>
      </c>
      <c r="C50" s="5" t="s">
        <v>6</v>
      </c>
      <c r="D50" s="5" t="str">
        <f>"聂恒宇"</f>
        <v>聂恒宇</v>
      </c>
      <c r="E50" s="5" t="str">
        <f>"男"</f>
        <v>男</v>
      </c>
    </row>
    <row r="51" spans="1:5" ht="30" customHeight="1">
      <c r="A51" s="4">
        <v>49</v>
      </c>
      <c r="B51" s="5" t="str">
        <f>"2644202010111850441362"</f>
        <v>2644202010111850441362</v>
      </c>
      <c r="C51" s="5" t="s">
        <v>6</v>
      </c>
      <c r="D51" s="5" t="str">
        <f>"许文颖"</f>
        <v>许文颖</v>
      </c>
      <c r="E51" s="5" t="str">
        <f>"女"</f>
        <v>女</v>
      </c>
    </row>
    <row r="52" spans="1:5" ht="30" customHeight="1">
      <c r="A52" s="4">
        <v>50</v>
      </c>
      <c r="B52" s="5" t="str">
        <f>"2644202010121610331639"</f>
        <v>2644202010121610331639</v>
      </c>
      <c r="C52" s="5" t="s">
        <v>6</v>
      </c>
      <c r="D52" s="5" t="str">
        <f>"林敏"</f>
        <v>林敏</v>
      </c>
      <c r="E52" s="5" t="str">
        <f>"女"</f>
        <v>女</v>
      </c>
    </row>
    <row r="53" spans="1:5" ht="30" customHeight="1">
      <c r="A53" s="4">
        <v>51</v>
      </c>
      <c r="B53" s="5" t="str">
        <f>"2644202010131100131822"</f>
        <v>2644202010131100131822</v>
      </c>
      <c r="C53" s="5" t="s">
        <v>6</v>
      </c>
      <c r="D53" s="5" t="str">
        <f>"符陈静"</f>
        <v>符陈静</v>
      </c>
      <c r="E53" s="5" t="str">
        <f>"女"</f>
        <v>女</v>
      </c>
    </row>
    <row r="54" spans="1:5" ht="30" customHeight="1">
      <c r="A54" s="4">
        <v>52</v>
      </c>
      <c r="B54" s="5" t="str">
        <f>"2644202010132157201989"</f>
        <v>2644202010132157201989</v>
      </c>
      <c r="C54" s="5" t="s">
        <v>6</v>
      </c>
      <c r="D54" s="5" t="str">
        <f>"邢诗婷"</f>
        <v>邢诗婷</v>
      </c>
      <c r="E54" s="5" t="str">
        <f>"女"</f>
        <v>女</v>
      </c>
    </row>
    <row r="55" spans="1:5" ht="30" customHeight="1">
      <c r="A55" s="4">
        <v>53</v>
      </c>
      <c r="B55" s="5" t="str">
        <f>"2644202010140757492021"</f>
        <v>2644202010140757492021</v>
      </c>
      <c r="C55" s="5" t="s">
        <v>6</v>
      </c>
      <c r="D55" s="5" t="str">
        <f>"罗昌浓"</f>
        <v>罗昌浓</v>
      </c>
      <c r="E55" s="5" t="str">
        <f>"男"</f>
        <v>男</v>
      </c>
    </row>
    <row r="56" spans="1:5" ht="30" customHeight="1">
      <c r="A56" s="4">
        <v>54</v>
      </c>
      <c r="B56" s="5" t="str">
        <f>"2644202010142038002233"</f>
        <v>2644202010142038002233</v>
      </c>
      <c r="C56" s="5" t="s">
        <v>6</v>
      </c>
      <c r="D56" s="5" t="str">
        <f>"王晓瑜"</f>
        <v>王晓瑜</v>
      </c>
      <c r="E56" s="5" t="str">
        <f>"女"</f>
        <v>女</v>
      </c>
    </row>
    <row r="57" spans="1:5" ht="30" customHeight="1">
      <c r="A57" s="4">
        <v>55</v>
      </c>
      <c r="B57" s="5" t="str">
        <f>"2644202010142348312296"</f>
        <v>2644202010142348312296</v>
      </c>
      <c r="C57" s="5" t="s">
        <v>6</v>
      </c>
      <c r="D57" s="5" t="str">
        <f>"周会惠"</f>
        <v>周会惠</v>
      </c>
      <c r="E57" s="5" t="str">
        <f>"女"</f>
        <v>女</v>
      </c>
    </row>
    <row r="58" spans="1:5" ht="30" customHeight="1">
      <c r="A58" s="4">
        <v>56</v>
      </c>
      <c r="B58" s="5" t="str">
        <f>"2644202010151144362386"</f>
        <v>2644202010151144362386</v>
      </c>
      <c r="C58" s="5" t="s">
        <v>6</v>
      </c>
      <c r="D58" s="5" t="str">
        <f>"陈花香"</f>
        <v>陈花香</v>
      </c>
      <c r="E58" s="5" t="str">
        <f>"女"</f>
        <v>女</v>
      </c>
    </row>
    <row r="59" spans="1:5" ht="30" customHeight="1">
      <c r="A59" s="4">
        <v>57</v>
      </c>
      <c r="B59" s="5" t="str">
        <f>"26442020100908422920"</f>
        <v>26442020100908422920</v>
      </c>
      <c r="C59" s="5" t="s">
        <v>7</v>
      </c>
      <c r="D59" s="5" t="str">
        <f>"张文奎"</f>
        <v>张文奎</v>
      </c>
      <c r="E59" s="5" t="str">
        <f>"男"</f>
        <v>男</v>
      </c>
    </row>
    <row r="60" spans="1:5" ht="30" customHeight="1">
      <c r="A60" s="4">
        <v>58</v>
      </c>
      <c r="B60" s="5" t="str">
        <f>"26442020100908531243"</f>
        <v>26442020100908531243</v>
      </c>
      <c r="C60" s="5" t="s">
        <v>7</v>
      </c>
      <c r="D60" s="5" t="str">
        <f>"文铭洁"</f>
        <v>文铭洁</v>
      </c>
      <c r="E60" s="5" t="str">
        <f>"女"</f>
        <v>女</v>
      </c>
    </row>
    <row r="61" spans="1:5" ht="30" customHeight="1">
      <c r="A61" s="4">
        <v>59</v>
      </c>
      <c r="B61" s="5" t="str">
        <f>"26442020100909084560"</f>
        <v>26442020100909084560</v>
      </c>
      <c r="C61" s="5" t="s">
        <v>7</v>
      </c>
      <c r="D61" s="5" t="str">
        <f>"刘璐"</f>
        <v>刘璐</v>
      </c>
      <c r="E61" s="5" t="str">
        <f>"女"</f>
        <v>女</v>
      </c>
    </row>
    <row r="62" spans="1:5" ht="30" customHeight="1">
      <c r="A62" s="4">
        <v>60</v>
      </c>
      <c r="B62" s="5" t="str">
        <f>"26442020100909101762"</f>
        <v>26442020100909101762</v>
      </c>
      <c r="C62" s="5" t="s">
        <v>7</v>
      </c>
      <c r="D62" s="5" t="str">
        <f>"李霖峰"</f>
        <v>李霖峰</v>
      </c>
      <c r="E62" s="5" t="str">
        <f>"男"</f>
        <v>男</v>
      </c>
    </row>
    <row r="63" spans="1:5" ht="30" customHeight="1">
      <c r="A63" s="4">
        <v>61</v>
      </c>
      <c r="B63" s="5" t="str">
        <f>"264420201009095002116"</f>
        <v>264420201009095002116</v>
      </c>
      <c r="C63" s="5" t="s">
        <v>7</v>
      </c>
      <c r="D63" s="5" t="str">
        <f>"李辉"</f>
        <v>李辉</v>
      </c>
      <c r="E63" s="5" t="str">
        <f>"女"</f>
        <v>女</v>
      </c>
    </row>
    <row r="64" spans="1:5" ht="30" customHeight="1">
      <c r="A64" s="4">
        <v>62</v>
      </c>
      <c r="B64" s="5" t="str">
        <f>"264420201009101848150"</f>
        <v>264420201009101848150</v>
      </c>
      <c r="C64" s="5" t="s">
        <v>7</v>
      </c>
      <c r="D64" s="5" t="str">
        <f>"张馨予"</f>
        <v>张馨予</v>
      </c>
      <c r="E64" s="5" t="str">
        <f>"女"</f>
        <v>女</v>
      </c>
    </row>
    <row r="65" spans="1:5" ht="30" customHeight="1">
      <c r="A65" s="4">
        <v>63</v>
      </c>
      <c r="B65" s="5" t="str">
        <f>"264420201009102913169"</f>
        <v>264420201009102913169</v>
      </c>
      <c r="C65" s="5" t="s">
        <v>7</v>
      </c>
      <c r="D65" s="5" t="str">
        <f>"杨佳静"</f>
        <v>杨佳静</v>
      </c>
      <c r="E65" s="5" t="str">
        <f>"女"</f>
        <v>女</v>
      </c>
    </row>
    <row r="66" spans="1:5" ht="30" customHeight="1">
      <c r="A66" s="4">
        <v>64</v>
      </c>
      <c r="B66" s="5" t="str">
        <f>"264420201009110440220"</f>
        <v>264420201009110440220</v>
      </c>
      <c r="C66" s="5" t="s">
        <v>7</v>
      </c>
      <c r="D66" s="5" t="str">
        <f>"彭昌海"</f>
        <v>彭昌海</v>
      </c>
      <c r="E66" s="5" t="str">
        <f>"男"</f>
        <v>男</v>
      </c>
    </row>
    <row r="67" spans="1:5" ht="30" customHeight="1">
      <c r="A67" s="4">
        <v>65</v>
      </c>
      <c r="B67" s="5" t="str">
        <f>"264420201009112842247"</f>
        <v>264420201009112842247</v>
      </c>
      <c r="C67" s="5" t="s">
        <v>7</v>
      </c>
      <c r="D67" s="5" t="str">
        <f>"吴秀思"</f>
        <v>吴秀思</v>
      </c>
      <c r="E67" s="5" t="str">
        <f>"女"</f>
        <v>女</v>
      </c>
    </row>
    <row r="68" spans="1:5" ht="30" customHeight="1">
      <c r="A68" s="4">
        <v>66</v>
      </c>
      <c r="B68" s="5" t="str">
        <f>"264420201009113348259"</f>
        <v>264420201009113348259</v>
      </c>
      <c r="C68" s="5" t="s">
        <v>7</v>
      </c>
      <c r="D68" s="5" t="str">
        <f>"杜鹏睿"</f>
        <v>杜鹏睿</v>
      </c>
      <c r="E68" s="5" t="str">
        <f>"女"</f>
        <v>女</v>
      </c>
    </row>
    <row r="69" spans="1:5" ht="30" customHeight="1">
      <c r="A69" s="4">
        <v>67</v>
      </c>
      <c r="B69" s="5" t="str">
        <f>"264420201009120348290"</f>
        <v>264420201009120348290</v>
      </c>
      <c r="C69" s="5" t="s">
        <v>7</v>
      </c>
      <c r="D69" s="5" t="str">
        <f>"莫钰妃"</f>
        <v>莫钰妃</v>
      </c>
      <c r="E69" s="5" t="str">
        <f>"女"</f>
        <v>女</v>
      </c>
    </row>
    <row r="70" spans="1:5" ht="30" customHeight="1">
      <c r="A70" s="4">
        <v>68</v>
      </c>
      <c r="B70" s="5" t="str">
        <f>"264420201009121002294"</f>
        <v>264420201009121002294</v>
      </c>
      <c r="C70" s="5" t="s">
        <v>7</v>
      </c>
      <c r="D70" s="5" t="str">
        <f>"朱滢琳"</f>
        <v>朱滢琳</v>
      </c>
      <c r="E70" s="5" t="str">
        <f>"女"</f>
        <v>女</v>
      </c>
    </row>
    <row r="71" spans="1:5" ht="30" customHeight="1">
      <c r="A71" s="4">
        <v>69</v>
      </c>
      <c r="B71" s="5" t="str">
        <f>"264420201009134016346"</f>
        <v>264420201009134016346</v>
      </c>
      <c r="C71" s="5" t="s">
        <v>7</v>
      </c>
      <c r="D71" s="5" t="str">
        <f>"杨萍"</f>
        <v>杨萍</v>
      </c>
      <c r="E71" s="5" t="str">
        <f>"女"</f>
        <v>女</v>
      </c>
    </row>
    <row r="72" spans="1:5" ht="30" customHeight="1">
      <c r="A72" s="4">
        <v>70</v>
      </c>
      <c r="B72" s="5" t="str">
        <f>"264420201009141841367"</f>
        <v>264420201009141841367</v>
      </c>
      <c r="C72" s="5" t="s">
        <v>7</v>
      </c>
      <c r="D72" s="5" t="str">
        <f>"许湛海"</f>
        <v>许湛海</v>
      </c>
      <c r="E72" s="5" t="str">
        <f>"男"</f>
        <v>男</v>
      </c>
    </row>
    <row r="73" spans="1:5" ht="30" customHeight="1">
      <c r="A73" s="4">
        <v>71</v>
      </c>
      <c r="B73" s="5" t="str">
        <f>"264420201009142048370"</f>
        <v>264420201009142048370</v>
      </c>
      <c r="C73" s="5" t="s">
        <v>7</v>
      </c>
      <c r="D73" s="5" t="str">
        <f>"陈伟军"</f>
        <v>陈伟军</v>
      </c>
      <c r="E73" s="5" t="str">
        <f>"男"</f>
        <v>男</v>
      </c>
    </row>
    <row r="74" spans="1:5" ht="30" customHeight="1">
      <c r="A74" s="4">
        <v>72</v>
      </c>
      <c r="B74" s="5" t="str">
        <f>"264420201009143134375"</f>
        <v>264420201009143134375</v>
      </c>
      <c r="C74" s="5" t="s">
        <v>7</v>
      </c>
      <c r="D74" s="5" t="str">
        <f>"韦晶晶"</f>
        <v>韦晶晶</v>
      </c>
      <c r="E74" s="5" t="str">
        <f aca="true" t="shared" si="2" ref="E74:E80">"女"</f>
        <v>女</v>
      </c>
    </row>
    <row r="75" spans="1:5" ht="30" customHeight="1">
      <c r="A75" s="4">
        <v>73</v>
      </c>
      <c r="B75" s="5" t="str">
        <f>"264420201009165459512"</f>
        <v>264420201009165459512</v>
      </c>
      <c r="C75" s="5" t="s">
        <v>7</v>
      </c>
      <c r="D75" s="5" t="str">
        <f>"陈亚芬"</f>
        <v>陈亚芬</v>
      </c>
      <c r="E75" s="5" t="str">
        <f t="shared" si="2"/>
        <v>女</v>
      </c>
    </row>
    <row r="76" spans="1:5" ht="30" customHeight="1">
      <c r="A76" s="4">
        <v>74</v>
      </c>
      <c r="B76" s="5" t="str">
        <f>"264420201009181704564"</f>
        <v>264420201009181704564</v>
      </c>
      <c r="C76" s="5" t="s">
        <v>7</v>
      </c>
      <c r="D76" s="5" t="str">
        <f>"杨绘婷"</f>
        <v>杨绘婷</v>
      </c>
      <c r="E76" s="5" t="str">
        <f t="shared" si="2"/>
        <v>女</v>
      </c>
    </row>
    <row r="77" spans="1:5" ht="30" customHeight="1">
      <c r="A77" s="4">
        <v>75</v>
      </c>
      <c r="B77" s="5" t="str">
        <f>"264420201009184159582"</f>
        <v>264420201009184159582</v>
      </c>
      <c r="C77" s="5" t="s">
        <v>7</v>
      </c>
      <c r="D77" s="5" t="str">
        <f>"尚瑞鑫"</f>
        <v>尚瑞鑫</v>
      </c>
      <c r="E77" s="5" t="str">
        <f t="shared" si="2"/>
        <v>女</v>
      </c>
    </row>
    <row r="78" spans="1:5" ht="30" customHeight="1">
      <c r="A78" s="4">
        <v>76</v>
      </c>
      <c r="B78" s="5" t="str">
        <f>"264420201009202700667"</f>
        <v>264420201009202700667</v>
      </c>
      <c r="C78" s="5" t="s">
        <v>7</v>
      </c>
      <c r="D78" s="5" t="str">
        <f>"吴伊芸"</f>
        <v>吴伊芸</v>
      </c>
      <c r="E78" s="5" t="str">
        <f t="shared" si="2"/>
        <v>女</v>
      </c>
    </row>
    <row r="79" spans="1:5" ht="30" customHeight="1">
      <c r="A79" s="4">
        <v>77</v>
      </c>
      <c r="B79" s="5" t="str">
        <f>"264420201009204826694"</f>
        <v>264420201009204826694</v>
      </c>
      <c r="C79" s="5" t="s">
        <v>7</v>
      </c>
      <c r="D79" s="5" t="str">
        <f>"林玉娥"</f>
        <v>林玉娥</v>
      </c>
      <c r="E79" s="5" t="str">
        <f t="shared" si="2"/>
        <v>女</v>
      </c>
    </row>
    <row r="80" spans="1:5" ht="30" customHeight="1">
      <c r="A80" s="4">
        <v>78</v>
      </c>
      <c r="B80" s="5" t="str">
        <f>"264420201009213847728"</f>
        <v>264420201009213847728</v>
      </c>
      <c r="C80" s="5" t="s">
        <v>7</v>
      </c>
      <c r="D80" s="5" t="str">
        <f>"徐雪妮"</f>
        <v>徐雪妮</v>
      </c>
      <c r="E80" s="5" t="str">
        <f t="shared" si="2"/>
        <v>女</v>
      </c>
    </row>
    <row r="81" spans="1:5" ht="30" customHeight="1">
      <c r="A81" s="4">
        <v>79</v>
      </c>
      <c r="B81" s="5" t="str">
        <f>"264420201009215939744"</f>
        <v>264420201009215939744</v>
      </c>
      <c r="C81" s="5" t="s">
        <v>7</v>
      </c>
      <c r="D81" s="5" t="str">
        <f>"钟孙杰"</f>
        <v>钟孙杰</v>
      </c>
      <c r="E81" s="5" t="str">
        <f>"男"</f>
        <v>男</v>
      </c>
    </row>
    <row r="82" spans="1:5" ht="30" customHeight="1">
      <c r="A82" s="4">
        <v>80</v>
      </c>
      <c r="B82" s="5" t="str">
        <f>"264420201009231017785"</f>
        <v>264420201009231017785</v>
      </c>
      <c r="C82" s="5" t="s">
        <v>7</v>
      </c>
      <c r="D82" s="5" t="str">
        <f>"杨阳"</f>
        <v>杨阳</v>
      </c>
      <c r="E82" s="5" t="str">
        <f aca="true" t="shared" si="3" ref="E82:E87">"女"</f>
        <v>女</v>
      </c>
    </row>
    <row r="83" spans="1:5" ht="30" customHeight="1">
      <c r="A83" s="4">
        <v>81</v>
      </c>
      <c r="B83" s="5" t="str">
        <f>"264420201009231518788"</f>
        <v>264420201009231518788</v>
      </c>
      <c r="C83" s="5" t="s">
        <v>7</v>
      </c>
      <c r="D83" s="5" t="str">
        <f>"陈秋怡"</f>
        <v>陈秋怡</v>
      </c>
      <c r="E83" s="5" t="str">
        <f t="shared" si="3"/>
        <v>女</v>
      </c>
    </row>
    <row r="84" spans="1:5" ht="30" customHeight="1">
      <c r="A84" s="4">
        <v>82</v>
      </c>
      <c r="B84" s="5" t="str">
        <f>"264420201010085318830"</f>
        <v>264420201010085318830</v>
      </c>
      <c r="C84" s="5" t="s">
        <v>7</v>
      </c>
      <c r="D84" s="5" t="str">
        <f>"陈妮"</f>
        <v>陈妮</v>
      </c>
      <c r="E84" s="5" t="str">
        <f t="shared" si="3"/>
        <v>女</v>
      </c>
    </row>
    <row r="85" spans="1:5" ht="30" customHeight="1">
      <c r="A85" s="4">
        <v>83</v>
      </c>
      <c r="B85" s="5" t="str">
        <f>"264420201010100233871"</f>
        <v>264420201010100233871</v>
      </c>
      <c r="C85" s="5" t="s">
        <v>7</v>
      </c>
      <c r="D85" s="5" t="str">
        <f>"邱小暖"</f>
        <v>邱小暖</v>
      </c>
      <c r="E85" s="5" t="str">
        <f t="shared" si="3"/>
        <v>女</v>
      </c>
    </row>
    <row r="86" spans="1:5" ht="30" customHeight="1">
      <c r="A86" s="4">
        <v>84</v>
      </c>
      <c r="B86" s="5" t="str">
        <f>"264420201010102716887"</f>
        <v>264420201010102716887</v>
      </c>
      <c r="C86" s="5" t="s">
        <v>7</v>
      </c>
      <c r="D86" s="5" t="str">
        <f>"陈颖敏"</f>
        <v>陈颖敏</v>
      </c>
      <c r="E86" s="5" t="str">
        <f t="shared" si="3"/>
        <v>女</v>
      </c>
    </row>
    <row r="87" spans="1:5" ht="30" customHeight="1">
      <c r="A87" s="4">
        <v>85</v>
      </c>
      <c r="B87" s="5" t="str">
        <f>"264420201010103323889"</f>
        <v>264420201010103323889</v>
      </c>
      <c r="C87" s="5" t="s">
        <v>7</v>
      </c>
      <c r="D87" s="5" t="str">
        <f>"吴金娜"</f>
        <v>吴金娜</v>
      </c>
      <c r="E87" s="5" t="str">
        <f t="shared" si="3"/>
        <v>女</v>
      </c>
    </row>
    <row r="88" spans="1:5" ht="30" customHeight="1">
      <c r="A88" s="4">
        <v>86</v>
      </c>
      <c r="B88" s="5" t="str">
        <f>"2644202010101610291024"</f>
        <v>2644202010101610291024</v>
      </c>
      <c r="C88" s="5" t="s">
        <v>7</v>
      </c>
      <c r="D88" s="5" t="str">
        <f>"潘孝君"</f>
        <v>潘孝君</v>
      </c>
      <c r="E88" s="5" t="str">
        <f>"男"</f>
        <v>男</v>
      </c>
    </row>
    <row r="89" spans="1:5" ht="30" customHeight="1">
      <c r="A89" s="4">
        <v>87</v>
      </c>
      <c r="B89" s="5" t="str">
        <f>"2644202010101719271055"</f>
        <v>2644202010101719271055</v>
      </c>
      <c r="C89" s="5" t="s">
        <v>7</v>
      </c>
      <c r="D89" s="5" t="str">
        <f>"许雯婕"</f>
        <v>许雯婕</v>
      </c>
      <c r="E89" s="5" t="str">
        <f>"女"</f>
        <v>女</v>
      </c>
    </row>
    <row r="90" spans="1:5" ht="30" customHeight="1">
      <c r="A90" s="4">
        <v>88</v>
      </c>
      <c r="B90" s="5" t="str">
        <f>"2644202010101823021077"</f>
        <v>2644202010101823021077</v>
      </c>
      <c r="C90" s="5" t="s">
        <v>7</v>
      </c>
      <c r="D90" s="5" t="str">
        <f>"梁昌俊"</f>
        <v>梁昌俊</v>
      </c>
      <c r="E90" s="5" t="str">
        <f>"男"</f>
        <v>男</v>
      </c>
    </row>
    <row r="91" spans="1:5" ht="30" customHeight="1">
      <c r="A91" s="4">
        <v>89</v>
      </c>
      <c r="B91" s="5" t="str">
        <f>"2644202010102027481104"</f>
        <v>2644202010102027481104</v>
      </c>
      <c r="C91" s="5" t="s">
        <v>7</v>
      </c>
      <c r="D91" s="5" t="str">
        <f>"任如意"</f>
        <v>任如意</v>
      </c>
      <c r="E91" s="5" t="str">
        <f>"女"</f>
        <v>女</v>
      </c>
    </row>
    <row r="92" spans="1:5" ht="30" customHeight="1">
      <c r="A92" s="4">
        <v>90</v>
      </c>
      <c r="B92" s="5" t="str">
        <f>"2644202010110843491184"</f>
        <v>2644202010110843491184</v>
      </c>
      <c r="C92" s="5" t="s">
        <v>7</v>
      </c>
      <c r="D92" s="5" t="str">
        <f>"肖志强"</f>
        <v>肖志强</v>
      </c>
      <c r="E92" s="5" t="str">
        <f>"男"</f>
        <v>男</v>
      </c>
    </row>
    <row r="93" spans="1:5" ht="30" customHeight="1">
      <c r="A93" s="4">
        <v>91</v>
      </c>
      <c r="B93" s="5" t="str">
        <f>"2644202010110913371192"</f>
        <v>2644202010110913371192</v>
      </c>
      <c r="C93" s="5" t="s">
        <v>7</v>
      </c>
      <c r="D93" s="5" t="str">
        <f>"王琼"</f>
        <v>王琼</v>
      </c>
      <c r="E93" s="5" t="str">
        <f>"女"</f>
        <v>女</v>
      </c>
    </row>
    <row r="94" spans="1:5" ht="30" customHeight="1">
      <c r="A94" s="4">
        <v>92</v>
      </c>
      <c r="B94" s="5" t="str">
        <f>"2644202010110943331202"</f>
        <v>2644202010110943331202</v>
      </c>
      <c r="C94" s="5" t="s">
        <v>7</v>
      </c>
      <c r="D94" s="5" t="str">
        <f>"邱名文"</f>
        <v>邱名文</v>
      </c>
      <c r="E94" s="5" t="str">
        <f>"男"</f>
        <v>男</v>
      </c>
    </row>
    <row r="95" spans="1:5" ht="30" customHeight="1">
      <c r="A95" s="4">
        <v>93</v>
      </c>
      <c r="B95" s="5" t="str">
        <f>"2644202010111024311210"</f>
        <v>2644202010111024311210</v>
      </c>
      <c r="C95" s="5" t="s">
        <v>7</v>
      </c>
      <c r="D95" s="5" t="str">
        <f>"姜懿湘"</f>
        <v>姜懿湘</v>
      </c>
      <c r="E95" s="5" t="str">
        <f aca="true" t="shared" si="4" ref="E95:E106">"女"</f>
        <v>女</v>
      </c>
    </row>
    <row r="96" spans="1:5" ht="30" customHeight="1">
      <c r="A96" s="4">
        <v>94</v>
      </c>
      <c r="B96" s="5" t="str">
        <f>"2644202010111146331234"</f>
        <v>2644202010111146331234</v>
      </c>
      <c r="C96" s="5" t="s">
        <v>7</v>
      </c>
      <c r="D96" s="5" t="str">
        <f>"杨淑晶"</f>
        <v>杨淑晶</v>
      </c>
      <c r="E96" s="5" t="str">
        <f t="shared" si="4"/>
        <v>女</v>
      </c>
    </row>
    <row r="97" spans="1:5" ht="30" customHeight="1">
      <c r="A97" s="4">
        <v>95</v>
      </c>
      <c r="B97" s="5" t="str">
        <f>"2644202010111339401265"</f>
        <v>2644202010111339401265</v>
      </c>
      <c r="C97" s="5" t="s">
        <v>7</v>
      </c>
      <c r="D97" s="5" t="str">
        <f>"陈祥丹"</f>
        <v>陈祥丹</v>
      </c>
      <c r="E97" s="5" t="str">
        <f t="shared" si="4"/>
        <v>女</v>
      </c>
    </row>
    <row r="98" spans="1:5" ht="30" customHeight="1">
      <c r="A98" s="4">
        <v>96</v>
      </c>
      <c r="B98" s="5" t="str">
        <f>"2644202010111339491266"</f>
        <v>2644202010111339491266</v>
      </c>
      <c r="C98" s="5" t="s">
        <v>7</v>
      </c>
      <c r="D98" s="5" t="str">
        <f>"王海云"</f>
        <v>王海云</v>
      </c>
      <c r="E98" s="5" t="str">
        <f t="shared" si="4"/>
        <v>女</v>
      </c>
    </row>
    <row r="99" spans="1:5" ht="30" customHeight="1">
      <c r="A99" s="4">
        <v>97</v>
      </c>
      <c r="B99" s="5" t="str">
        <f>"2644202010111457061288"</f>
        <v>2644202010111457061288</v>
      </c>
      <c r="C99" s="5" t="s">
        <v>7</v>
      </c>
      <c r="D99" s="5" t="str">
        <f>"王水妹"</f>
        <v>王水妹</v>
      </c>
      <c r="E99" s="5" t="str">
        <f t="shared" si="4"/>
        <v>女</v>
      </c>
    </row>
    <row r="100" spans="1:5" ht="30" customHeight="1">
      <c r="A100" s="4">
        <v>98</v>
      </c>
      <c r="B100" s="5" t="str">
        <f>"2644202010111721371341"</f>
        <v>2644202010111721371341</v>
      </c>
      <c r="C100" s="5" t="s">
        <v>7</v>
      </c>
      <c r="D100" s="5" t="str">
        <f>"赵广娟"</f>
        <v>赵广娟</v>
      </c>
      <c r="E100" s="5" t="str">
        <f t="shared" si="4"/>
        <v>女</v>
      </c>
    </row>
    <row r="101" spans="1:5" ht="30" customHeight="1">
      <c r="A101" s="4">
        <v>99</v>
      </c>
      <c r="B101" s="5" t="str">
        <f>"2644202010111753301348"</f>
        <v>2644202010111753301348</v>
      </c>
      <c r="C101" s="5" t="s">
        <v>7</v>
      </c>
      <c r="D101" s="5" t="str">
        <f>"吕金香"</f>
        <v>吕金香</v>
      </c>
      <c r="E101" s="5" t="str">
        <f t="shared" si="4"/>
        <v>女</v>
      </c>
    </row>
    <row r="102" spans="1:5" ht="30" customHeight="1">
      <c r="A102" s="4">
        <v>100</v>
      </c>
      <c r="B102" s="5" t="str">
        <f>"2644202010112009001389"</f>
        <v>2644202010112009001389</v>
      </c>
      <c r="C102" s="5" t="s">
        <v>7</v>
      </c>
      <c r="D102" s="5" t="str">
        <f>"郭禄祯"</f>
        <v>郭禄祯</v>
      </c>
      <c r="E102" s="5" t="str">
        <f t="shared" si="4"/>
        <v>女</v>
      </c>
    </row>
    <row r="103" spans="1:5" ht="30" customHeight="1">
      <c r="A103" s="4">
        <v>101</v>
      </c>
      <c r="B103" s="5" t="str">
        <f>"2644202010120943431489"</f>
        <v>2644202010120943431489</v>
      </c>
      <c r="C103" s="5" t="s">
        <v>7</v>
      </c>
      <c r="D103" s="5" t="str">
        <f>"王燕诗"</f>
        <v>王燕诗</v>
      </c>
      <c r="E103" s="5" t="str">
        <f t="shared" si="4"/>
        <v>女</v>
      </c>
    </row>
    <row r="104" spans="1:5" ht="30" customHeight="1">
      <c r="A104" s="4">
        <v>102</v>
      </c>
      <c r="B104" s="5" t="str">
        <f>"2644202010121126521534"</f>
        <v>2644202010121126521534</v>
      </c>
      <c r="C104" s="5" t="s">
        <v>7</v>
      </c>
      <c r="D104" s="5" t="str">
        <f>"麦明雪"</f>
        <v>麦明雪</v>
      </c>
      <c r="E104" s="5" t="str">
        <f t="shared" si="4"/>
        <v>女</v>
      </c>
    </row>
    <row r="105" spans="1:5" ht="30" customHeight="1">
      <c r="A105" s="4">
        <v>103</v>
      </c>
      <c r="B105" s="5" t="str">
        <f>"2644202010121253481563"</f>
        <v>2644202010121253481563</v>
      </c>
      <c r="C105" s="5" t="s">
        <v>7</v>
      </c>
      <c r="D105" s="5" t="str">
        <f>"唐江艳"</f>
        <v>唐江艳</v>
      </c>
      <c r="E105" s="5" t="str">
        <f t="shared" si="4"/>
        <v>女</v>
      </c>
    </row>
    <row r="106" spans="1:5" ht="30" customHeight="1">
      <c r="A106" s="4">
        <v>104</v>
      </c>
      <c r="B106" s="5" t="str">
        <f>"2644202010121606201635"</f>
        <v>2644202010121606201635</v>
      </c>
      <c r="C106" s="5" t="s">
        <v>7</v>
      </c>
      <c r="D106" s="5" t="str">
        <f>"赵琳"</f>
        <v>赵琳</v>
      </c>
      <c r="E106" s="5" t="str">
        <f t="shared" si="4"/>
        <v>女</v>
      </c>
    </row>
    <row r="107" spans="1:5" ht="30" customHeight="1">
      <c r="A107" s="4">
        <v>105</v>
      </c>
      <c r="B107" s="5" t="str">
        <f>"2644202010121606381636"</f>
        <v>2644202010121606381636</v>
      </c>
      <c r="C107" s="5" t="s">
        <v>7</v>
      </c>
      <c r="D107" s="5" t="str">
        <f>"曾鹏"</f>
        <v>曾鹏</v>
      </c>
      <c r="E107" s="5" t="str">
        <f>"男"</f>
        <v>男</v>
      </c>
    </row>
    <row r="108" spans="1:5" ht="30" customHeight="1">
      <c r="A108" s="4">
        <v>106</v>
      </c>
      <c r="B108" s="5" t="str">
        <f>"2644202010121810161672"</f>
        <v>2644202010121810161672</v>
      </c>
      <c r="C108" s="5" t="s">
        <v>7</v>
      </c>
      <c r="D108" s="5" t="str">
        <f>"贺怡然"</f>
        <v>贺怡然</v>
      </c>
      <c r="E108" s="5" t="str">
        <f>"女"</f>
        <v>女</v>
      </c>
    </row>
    <row r="109" spans="1:5" ht="30" customHeight="1">
      <c r="A109" s="4">
        <v>107</v>
      </c>
      <c r="B109" s="5" t="str">
        <f>"2644202010122058571711"</f>
        <v>2644202010122058571711</v>
      </c>
      <c r="C109" s="5" t="s">
        <v>7</v>
      </c>
      <c r="D109" s="5" t="str">
        <f>"陈文玉"</f>
        <v>陈文玉</v>
      </c>
      <c r="E109" s="5" t="str">
        <f>"女"</f>
        <v>女</v>
      </c>
    </row>
    <row r="110" spans="1:5" ht="30" customHeight="1">
      <c r="A110" s="4">
        <v>108</v>
      </c>
      <c r="B110" s="5" t="str">
        <f>"2644202010131006411799"</f>
        <v>2644202010131006411799</v>
      </c>
      <c r="C110" s="5" t="s">
        <v>7</v>
      </c>
      <c r="D110" s="5" t="str">
        <f>"孙成潇"</f>
        <v>孙成潇</v>
      </c>
      <c r="E110" s="5" t="str">
        <f>"女"</f>
        <v>女</v>
      </c>
    </row>
    <row r="111" spans="1:5" ht="30" customHeight="1">
      <c r="A111" s="4">
        <v>109</v>
      </c>
      <c r="B111" s="5" t="str">
        <f>"2644202010131011521802"</f>
        <v>2644202010131011521802</v>
      </c>
      <c r="C111" s="5" t="s">
        <v>7</v>
      </c>
      <c r="D111" s="5" t="str">
        <f>"杨珺珏"</f>
        <v>杨珺珏</v>
      </c>
      <c r="E111" s="5" t="str">
        <f>"女"</f>
        <v>女</v>
      </c>
    </row>
    <row r="112" spans="1:5" ht="30" customHeight="1">
      <c r="A112" s="4">
        <v>110</v>
      </c>
      <c r="B112" s="5" t="str">
        <f>"2644202010131023321803"</f>
        <v>2644202010131023321803</v>
      </c>
      <c r="C112" s="5" t="s">
        <v>7</v>
      </c>
      <c r="D112" s="5" t="str">
        <f>"李彦霖"</f>
        <v>李彦霖</v>
      </c>
      <c r="E112" s="5" t="str">
        <f>"男"</f>
        <v>男</v>
      </c>
    </row>
    <row r="113" spans="1:5" ht="30" customHeight="1">
      <c r="A113" s="4">
        <v>111</v>
      </c>
      <c r="B113" s="5" t="str">
        <f>"2644202010131039491813"</f>
        <v>2644202010131039491813</v>
      </c>
      <c r="C113" s="5" t="s">
        <v>7</v>
      </c>
      <c r="D113" s="5" t="str">
        <f>"周冲"</f>
        <v>周冲</v>
      </c>
      <c r="E113" s="5" t="str">
        <f>"男"</f>
        <v>男</v>
      </c>
    </row>
    <row r="114" spans="1:5" ht="30" customHeight="1">
      <c r="A114" s="4">
        <v>112</v>
      </c>
      <c r="B114" s="5" t="str">
        <f>"2644202010131051511816"</f>
        <v>2644202010131051511816</v>
      </c>
      <c r="C114" s="5" t="s">
        <v>7</v>
      </c>
      <c r="D114" s="5" t="str">
        <f>"贺文杰"</f>
        <v>贺文杰</v>
      </c>
      <c r="E114" s="5" t="str">
        <f>"男"</f>
        <v>男</v>
      </c>
    </row>
    <row r="115" spans="1:5" ht="30" customHeight="1">
      <c r="A115" s="4">
        <v>113</v>
      </c>
      <c r="B115" s="5" t="str">
        <f>"2644202010131244571853"</f>
        <v>2644202010131244571853</v>
      </c>
      <c r="C115" s="5" t="s">
        <v>7</v>
      </c>
      <c r="D115" s="5" t="str">
        <f>"潘琼"</f>
        <v>潘琼</v>
      </c>
      <c r="E115" s="5" t="str">
        <f>"女"</f>
        <v>女</v>
      </c>
    </row>
    <row r="116" spans="1:5" ht="30" customHeight="1">
      <c r="A116" s="4">
        <v>114</v>
      </c>
      <c r="B116" s="5" t="str">
        <f>"2644202010131539201896"</f>
        <v>2644202010131539201896</v>
      </c>
      <c r="C116" s="5" t="s">
        <v>7</v>
      </c>
      <c r="D116" s="5" t="str">
        <f>"李杏"</f>
        <v>李杏</v>
      </c>
      <c r="E116" s="5" t="str">
        <f>"女"</f>
        <v>女</v>
      </c>
    </row>
    <row r="117" spans="1:5" ht="30" customHeight="1">
      <c r="A117" s="4">
        <v>115</v>
      </c>
      <c r="B117" s="5" t="str">
        <f>"2644202010131613561910"</f>
        <v>2644202010131613561910</v>
      </c>
      <c r="C117" s="5" t="s">
        <v>7</v>
      </c>
      <c r="D117" s="5" t="str">
        <f>"秦伟博"</f>
        <v>秦伟博</v>
      </c>
      <c r="E117" s="5" t="str">
        <f>"男"</f>
        <v>男</v>
      </c>
    </row>
    <row r="118" spans="1:5" ht="30" customHeight="1">
      <c r="A118" s="4">
        <v>116</v>
      </c>
      <c r="B118" s="5" t="str">
        <f>"2644202010132205261990"</f>
        <v>2644202010132205261990</v>
      </c>
      <c r="C118" s="5" t="s">
        <v>7</v>
      </c>
      <c r="D118" s="5" t="str">
        <f>"陈文滢"</f>
        <v>陈文滢</v>
      </c>
      <c r="E118" s="5" t="str">
        <f>"女"</f>
        <v>女</v>
      </c>
    </row>
    <row r="119" spans="1:5" ht="30" customHeight="1">
      <c r="A119" s="4">
        <v>117</v>
      </c>
      <c r="B119" s="5" t="str">
        <f>"2644202010132213321994"</f>
        <v>2644202010132213321994</v>
      </c>
      <c r="C119" s="5" t="s">
        <v>7</v>
      </c>
      <c r="D119" s="5" t="str">
        <f>"施奕朱"</f>
        <v>施奕朱</v>
      </c>
      <c r="E119" s="5" t="str">
        <f>"女"</f>
        <v>女</v>
      </c>
    </row>
    <row r="120" spans="1:5" ht="30" customHeight="1">
      <c r="A120" s="4">
        <v>118</v>
      </c>
      <c r="B120" s="5" t="str">
        <f>"2644202010132257462006"</f>
        <v>2644202010132257462006</v>
      </c>
      <c r="C120" s="5" t="s">
        <v>7</v>
      </c>
      <c r="D120" s="5" t="str">
        <f>"谢佳蓉"</f>
        <v>谢佳蓉</v>
      </c>
      <c r="E120" s="5" t="str">
        <f>"女"</f>
        <v>女</v>
      </c>
    </row>
    <row r="121" spans="1:5" ht="30" customHeight="1">
      <c r="A121" s="4">
        <v>119</v>
      </c>
      <c r="B121" s="5" t="str">
        <f>"2644202010141228472086"</f>
        <v>2644202010141228472086</v>
      </c>
      <c r="C121" s="5" t="s">
        <v>7</v>
      </c>
      <c r="D121" s="5" t="str">
        <f>"吴玉芬"</f>
        <v>吴玉芬</v>
      </c>
      <c r="E121" s="5" t="str">
        <f>"女"</f>
        <v>女</v>
      </c>
    </row>
    <row r="122" spans="1:5" ht="30" customHeight="1">
      <c r="A122" s="4">
        <v>120</v>
      </c>
      <c r="B122" s="5" t="str">
        <f>"2644202010141621442155"</f>
        <v>2644202010141621442155</v>
      </c>
      <c r="C122" s="5" t="s">
        <v>7</v>
      </c>
      <c r="D122" s="5" t="str">
        <f>"陈翠"</f>
        <v>陈翠</v>
      </c>
      <c r="E122" s="5" t="str">
        <f>"女"</f>
        <v>女</v>
      </c>
    </row>
    <row r="123" spans="1:5" ht="30" customHeight="1">
      <c r="A123" s="4">
        <v>121</v>
      </c>
      <c r="B123" s="5" t="str">
        <f>"2644202010141744132179"</f>
        <v>2644202010141744132179</v>
      </c>
      <c r="C123" s="5" t="s">
        <v>7</v>
      </c>
      <c r="D123" s="5" t="str">
        <f>"韩韬"</f>
        <v>韩韬</v>
      </c>
      <c r="E123" s="5" t="str">
        <f>"男"</f>
        <v>男</v>
      </c>
    </row>
    <row r="124" spans="1:5" ht="30" customHeight="1">
      <c r="A124" s="4">
        <v>122</v>
      </c>
      <c r="B124" s="5" t="str">
        <f>"2644202010141923122207"</f>
        <v>2644202010141923122207</v>
      </c>
      <c r="C124" s="5" t="s">
        <v>7</v>
      </c>
      <c r="D124" s="5" t="str">
        <f>"李俊鸣"</f>
        <v>李俊鸣</v>
      </c>
      <c r="E124" s="5" t="str">
        <f>"男"</f>
        <v>男</v>
      </c>
    </row>
    <row r="125" spans="1:5" ht="30" customHeight="1">
      <c r="A125" s="4">
        <v>123</v>
      </c>
      <c r="B125" s="5" t="str">
        <f>"2644202010142152202255"</f>
        <v>2644202010142152202255</v>
      </c>
      <c r="C125" s="5" t="s">
        <v>7</v>
      </c>
      <c r="D125" s="5" t="str">
        <f>"王靓"</f>
        <v>王靓</v>
      </c>
      <c r="E125" s="5" t="str">
        <f>"女"</f>
        <v>女</v>
      </c>
    </row>
    <row r="126" spans="1:5" ht="30" customHeight="1">
      <c r="A126" s="4">
        <v>124</v>
      </c>
      <c r="B126" s="5" t="str">
        <f>"2644202010150948432355"</f>
        <v>2644202010150948432355</v>
      </c>
      <c r="C126" s="5" t="s">
        <v>7</v>
      </c>
      <c r="D126" s="5" t="str">
        <f>"邝小蝶"</f>
        <v>邝小蝶</v>
      </c>
      <c r="E126" s="5" t="str">
        <f>"女"</f>
        <v>女</v>
      </c>
    </row>
    <row r="127" spans="1:5" ht="30" customHeight="1">
      <c r="A127" s="4">
        <v>125</v>
      </c>
      <c r="B127" s="5" t="str">
        <f>"2644202010151541182439"</f>
        <v>2644202010151541182439</v>
      </c>
      <c r="C127" s="5" t="s">
        <v>7</v>
      </c>
      <c r="D127" s="5" t="str">
        <f>"曾小慧"</f>
        <v>曾小慧</v>
      </c>
      <c r="E127" s="5" t="str">
        <f>"女"</f>
        <v>女</v>
      </c>
    </row>
    <row r="128" spans="1:5" ht="30" customHeight="1">
      <c r="A128" s="4">
        <v>126</v>
      </c>
      <c r="B128" s="5" t="str">
        <f>"26442020100908483533"</f>
        <v>26442020100908483533</v>
      </c>
      <c r="C128" s="5" t="s">
        <v>8</v>
      </c>
      <c r="D128" s="5" t="str">
        <f>"李琳"</f>
        <v>李琳</v>
      </c>
      <c r="E128" s="5" t="str">
        <f>"女"</f>
        <v>女</v>
      </c>
    </row>
    <row r="129" spans="1:5" ht="30" customHeight="1">
      <c r="A129" s="4">
        <v>127</v>
      </c>
      <c r="B129" s="5" t="str">
        <f>"26442020100909025853"</f>
        <v>26442020100909025853</v>
      </c>
      <c r="C129" s="5" t="s">
        <v>8</v>
      </c>
      <c r="D129" s="5" t="str">
        <f>"王定全"</f>
        <v>王定全</v>
      </c>
      <c r="E129" s="5" t="str">
        <f>"男"</f>
        <v>男</v>
      </c>
    </row>
    <row r="130" spans="1:5" ht="30" customHeight="1">
      <c r="A130" s="4">
        <v>128</v>
      </c>
      <c r="B130" s="5" t="str">
        <f>"264420201009111742238"</f>
        <v>264420201009111742238</v>
      </c>
      <c r="C130" s="5" t="s">
        <v>8</v>
      </c>
      <c r="D130" s="5" t="str">
        <f>"许明文"</f>
        <v>许明文</v>
      </c>
      <c r="E130" s="5" t="str">
        <f>"男"</f>
        <v>男</v>
      </c>
    </row>
    <row r="131" spans="1:5" ht="30" customHeight="1">
      <c r="A131" s="4">
        <v>129</v>
      </c>
      <c r="B131" s="5" t="str">
        <f>"264420201009131910337"</f>
        <v>264420201009131910337</v>
      </c>
      <c r="C131" s="5" t="s">
        <v>8</v>
      </c>
      <c r="D131" s="5" t="str">
        <f>"王慧芳"</f>
        <v>王慧芳</v>
      </c>
      <c r="E131" s="5" t="str">
        <f>"女"</f>
        <v>女</v>
      </c>
    </row>
    <row r="132" spans="1:5" ht="30" customHeight="1">
      <c r="A132" s="4">
        <v>130</v>
      </c>
      <c r="B132" s="5" t="str">
        <f>"264420201009132048338"</f>
        <v>264420201009132048338</v>
      </c>
      <c r="C132" s="5" t="s">
        <v>8</v>
      </c>
      <c r="D132" s="5" t="str">
        <f>"许婧"</f>
        <v>许婧</v>
      </c>
      <c r="E132" s="5" t="str">
        <f>"女"</f>
        <v>女</v>
      </c>
    </row>
    <row r="133" spans="1:5" ht="30" customHeight="1">
      <c r="A133" s="4">
        <v>131</v>
      </c>
      <c r="B133" s="5" t="str">
        <f>"264420201009174152544"</f>
        <v>264420201009174152544</v>
      </c>
      <c r="C133" s="5" t="s">
        <v>8</v>
      </c>
      <c r="D133" s="5" t="str">
        <f>"罗文贤"</f>
        <v>罗文贤</v>
      </c>
      <c r="E133" s="5" t="str">
        <f>"男"</f>
        <v>男</v>
      </c>
    </row>
    <row r="134" spans="1:5" ht="30" customHeight="1">
      <c r="A134" s="4">
        <v>132</v>
      </c>
      <c r="B134" s="5" t="str">
        <f>"264420201009204045684"</f>
        <v>264420201009204045684</v>
      </c>
      <c r="C134" s="5" t="s">
        <v>8</v>
      </c>
      <c r="D134" s="5" t="str">
        <f>"胥林帅"</f>
        <v>胥林帅</v>
      </c>
      <c r="E134" s="5" t="str">
        <f>"男"</f>
        <v>男</v>
      </c>
    </row>
    <row r="135" spans="1:5" ht="30" customHeight="1">
      <c r="A135" s="4">
        <v>133</v>
      </c>
      <c r="B135" s="5" t="str">
        <f>"2644202010110941371201"</f>
        <v>2644202010110941371201</v>
      </c>
      <c r="C135" s="5" t="s">
        <v>8</v>
      </c>
      <c r="D135" s="5" t="str">
        <f>"许淳冰"</f>
        <v>许淳冰</v>
      </c>
      <c r="E135" s="5" t="str">
        <f>"女"</f>
        <v>女</v>
      </c>
    </row>
    <row r="136" spans="1:5" ht="30" customHeight="1">
      <c r="A136" s="4">
        <v>134</v>
      </c>
      <c r="B136" s="5" t="str">
        <f>"2644202010110956261205"</f>
        <v>2644202010110956261205</v>
      </c>
      <c r="C136" s="5" t="s">
        <v>8</v>
      </c>
      <c r="D136" s="5" t="str">
        <f>"吉才哲"</f>
        <v>吉才哲</v>
      </c>
      <c r="E136" s="5" t="str">
        <f>"男"</f>
        <v>男</v>
      </c>
    </row>
    <row r="137" spans="1:5" ht="30" customHeight="1">
      <c r="A137" s="4">
        <v>135</v>
      </c>
      <c r="B137" s="5" t="str">
        <f>"2644202010111608521308"</f>
        <v>2644202010111608521308</v>
      </c>
      <c r="C137" s="5" t="s">
        <v>8</v>
      </c>
      <c r="D137" s="5" t="str">
        <f>"符会"</f>
        <v>符会</v>
      </c>
      <c r="E137" s="5" t="str">
        <f>"男"</f>
        <v>男</v>
      </c>
    </row>
    <row r="138" spans="1:5" ht="30" customHeight="1">
      <c r="A138" s="4">
        <v>136</v>
      </c>
      <c r="B138" s="5" t="str">
        <f>"2644202010120817401463"</f>
        <v>2644202010120817401463</v>
      </c>
      <c r="C138" s="5" t="s">
        <v>8</v>
      </c>
      <c r="D138" s="5" t="str">
        <f>"王振发"</f>
        <v>王振发</v>
      </c>
      <c r="E138" s="5" t="str">
        <f>"男"</f>
        <v>男</v>
      </c>
    </row>
    <row r="139" spans="1:5" ht="30" customHeight="1">
      <c r="A139" s="4">
        <v>137</v>
      </c>
      <c r="B139" s="5" t="str">
        <f>"2644202010121346041573"</f>
        <v>2644202010121346041573</v>
      </c>
      <c r="C139" s="5" t="s">
        <v>8</v>
      </c>
      <c r="D139" s="5" t="str">
        <f>"冯定丽"</f>
        <v>冯定丽</v>
      </c>
      <c r="E139" s="5" t="str">
        <f aca="true" t="shared" si="5" ref="E139:E144">"女"</f>
        <v>女</v>
      </c>
    </row>
    <row r="140" spans="1:5" ht="30" customHeight="1">
      <c r="A140" s="4">
        <v>138</v>
      </c>
      <c r="B140" s="5" t="str">
        <f>"2644202010121532001620"</f>
        <v>2644202010121532001620</v>
      </c>
      <c r="C140" s="5" t="s">
        <v>8</v>
      </c>
      <c r="D140" s="5" t="str">
        <f>"吴彤"</f>
        <v>吴彤</v>
      </c>
      <c r="E140" s="5" t="str">
        <f t="shared" si="5"/>
        <v>女</v>
      </c>
    </row>
    <row r="141" spans="1:5" ht="30" customHeight="1">
      <c r="A141" s="4">
        <v>139</v>
      </c>
      <c r="B141" s="5" t="str">
        <f>"2644202010122342361752"</f>
        <v>2644202010122342361752</v>
      </c>
      <c r="C141" s="5" t="s">
        <v>8</v>
      </c>
      <c r="D141" s="5" t="str">
        <f>"骆月花"</f>
        <v>骆月花</v>
      </c>
      <c r="E141" s="5" t="str">
        <f t="shared" si="5"/>
        <v>女</v>
      </c>
    </row>
    <row r="142" spans="1:5" ht="30" customHeight="1">
      <c r="A142" s="4">
        <v>140</v>
      </c>
      <c r="B142" s="5" t="str">
        <f>"2644202010131712291924"</f>
        <v>2644202010131712291924</v>
      </c>
      <c r="C142" s="5" t="s">
        <v>8</v>
      </c>
      <c r="D142" s="5" t="str">
        <f>"文晓惠"</f>
        <v>文晓惠</v>
      </c>
      <c r="E142" s="5" t="str">
        <f t="shared" si="5"/>
        <v>女</v>
      </c>
    </row>
    <row r="143" spans="1:5" ht="30" customHeight="1">
      <c r="A143" s="4">
        <v>141</v>
      </c>
      <c r="B143" s="5" t="str">
        <f>"2644202010141457432119"</f>
        <v>2644202010141457432119</v>
      </c>
      <c r="C143" s="5" t="s">
        <v>8</v>
      </c>
      <c r="D143" s="5" t="str">
        <f>"黄镜泽"</f>
        <v>黄镜泽</v>
      </c>
      <c r="E143" s="5" t="str">
        <f t="shared" si="5"/>
        <v>女</v>
      </c>
    </row>
    <row r="144" spans="1:5" ht="30" customHeight="1">
      <c r="A144" s="4">
        <v>142</v>
      </c>
      <c r="B144" s="5" t="str">
        <f>"26442020100908360712"</f>
        <v>26442020100908360712</v>
      </c>
      <c r="C144" s="5" t="s">
        <v>9</v>
      </c>
      <c r="D144" s="5" t="str">
        <f>"吴海清"</f>
        <v>吴海清</v>
      </c>
      <c r="E144" s="5" t="str">
        <f t="shared" si="5"/>
        <v>女</v>
      </c>
    </row>
    <row r="145" spans="1:5" ht="30" customHeight="1">
      <c r="A145" s="4">
        <v>143</v>
      </c>
      <c r="B145" s="5" t="str">
        <f>"264420201009110456221"</f>
        <v>264420201009110456221</v>
      </c>
      <c r="C145" s="5" t="s">
        <v>9</v>
      </c>
      <c r="D145" s="5" t="str">
        <f>"刘梦奇"</f>
        <v>刘梦奇</v>
      </c>
      <c r="E145" s="5" t="str">
        <f>"男"</f>
        <v>男</v>
      </c>
    </row>
    <row r="146" spans="1:5" ht="30" customHeight="1">
      <c r="A146" s="4">
        <v>144</v>
      </c>
      <c r="B146" s="5" t="str">
        <f>"264420201009121603298"</f>
        <v>264420201009121603298</v>
      </c>
      <c r="C146" s="5" t="s">
        <v>9</v>
      </c>
      <c r="D146" s="5" t="str">
        <f>"林方宏"</f>
        <v>林方宏</v>
      </c>
      <c r="E146" s="5" t="str">
        <f>"男"</f>
        <v>男</v>
      </c>
    </row>
    <row r="147" spans="1:5" ht="30" customHeight="1">
      <c r="A147" s="4">
        <v>145</v>
      </c>
      <c r="B147" s="5" t="str">
        <f>"264420201009130748329"</f>
        <v>264420201009130748329</v>
      </c>
      <c r="C147" s="5" t="s">
        <v>9</v>
      </c>
      <c r="D147" s="5" t="str">
        <f>"卢昭凤"</f>
        <v>卢昭凤</v>
      </c>
      <c r="E147" s="5" t="str">
        <f>"女"</f>
        <v>女</v>
      </c>
    </row>
    <row r="148" spans="1:5" ht="30" customHeight="1">
      <c r="A148" s="4">
        <v>146</v>
      </c>
      <c r="B148" s="5" t="str">
        <f>"264420201009171457525"</f>
        <v>264420201009171457525</v>
      </c>
      <c r="C148" s="5" t="s">
        <v>9</v>
      </c>
      <c r="D148" s="5" t="str">
        <f>"周佶"</f>
        <v>周佶</v>
      </c>
      <c r="E148" s="5" t="str">
        <f>"女"</f>
        <v>女</v>
      </c>
    </row>
    <row r="149" spans="1:5" ht="30" customHeight="1">
      <c r="A149" s="4">
        <v>147</v>
      </c>
      <c r="B149" s="5" t="str">
        <f>"264420201009195304629"</f>
        <v>264420201009195304629</v>
      </c>
      <c r="C149" s="5" t="s">
        <v>9</v>
      </c>
      <c r="D149" s="5" t="str">
        <f>"符大林"</f>
        <v>符大林</v>
      </c>
      <c r="E149" s="5" t="str">
        <f>"男"</f>
        <v>男</v>
      </c>
    </row>
    <row r="150" spans="1:5" ht="30" customHeight="1">
      <c r="A150" s="4">
        <v>148</v>
      </c>
      <c r="B150" s="5" t="str">
        <f>"264420201009200006640"</f>
        <v>264420201009200006640</v>
      </c>
      <c r="C150" s="5" t="s">
        <v>9</v>
      </c>
      <c r="D150" s="5" t="str">
        <f>"叶蔚馨"</f>
        <v>叶蔚馨</v>
      </c>
      <c r="E150" s="5" t="str">
        <f>"女"</f>
        <v>女</v>
      </c>
    </row>
    <row r="151" spans="1:5" ht="30" customHeight="1">
      <c r="A151" s="4">
        <v>149</v>
      </c>
      <c r="B151" s="5" t="str">
        <f>"2644202010101558561018"</f>
        <v>2644202010101558561018</v>
      </c>
      <c r="C151" s="5" t="s">
        <v>9</v>
      </c>
      <c r="D151" s="5" t="str">
        <f>"庄子硕"</f>
        <v>庄子硕</v>
      </c>
      <c r="E151" s="5" t="str">
        <f>"男"</f>
        <v>男</v>
      </c>
    </row>
    <row r="152" spans="1:5" ht="30" customHeight="1">
      <c r="A152" s="4">
        <v>150</v>
      </c>
      <c r="B152" s="5" t="str">
        <f>"2644202010101905011083"</f>
        <v>2644202010101905011083</v>
      </c>
      <c r="C152" s="5" t="s">
        <v>9</v>
      </c>
      <c r="D152" s="5" t="str">
        <f>"张世平"</f>
        <v>张世平</v>
      </c>
      <c r="E152" s="5" t="str">
        <f>"男"</f>
        <v>男</v>
      </c>
    </row>
    <row r="153" spans="1:5" ht="30" customHeight="1">
      <c r="A153" s="4">
        <v>151</v>
      </c>
      <c r="B153" s="5" t="str">
        <f>"2644202010102209491145"</f>
        <v>2644202010102209491145</v>
      </c>
      <c r="C153" s="5" t="s">
        <v>9</v>
      </c>
      <c r="D153" s="5" t="str">
        <f>"王梅转"</f>
        <v>王梅转</v>
      </c>
      <c r="E153" s="5" t="str">
        <f>"女"</f>
        <v>女</v>
      </c>
    </row>
    <row r="154" spans="1:5" ht="30" customHeight="1">
      <c r="A154" s="4">
        <v>152</v>
      </c>
      <c r="B154" s="5" t="str">
        <f>"2644202010111433131276"</f>
        <v>2644202010111433131276</v>
      </c>
      <c r="C154" s="5" t="s">
        <v>9</v>
      </c>
      <c r="D154" s="5" t="str">
        <f>"莫光钦"</f>
        <v>莫光钦</v>
      </c>
      <c r="E154" s="5" t="str">
        <f>"男"</f>
        <v>男</v>
      </c>
    </row>
    <row r="155" spans="1:5" ht="30" customHeight="1">
      <c r="A155" s="4">
        <v>153</v>
      </c>
      <c r="B155" s="5" t="str">
        <f>"2644202010131647291919"</f>
        <v>2644202010131647291919</v>
      </c>
      <c r="C155" s="5" t="s">
        <v>9</v>
      </c>
      <c r="D155" s="5" t="str">
        <f>"唐弘雍"</f>
        <v>唐弘雍</v>
      </c>
      <c r="E155" s="5" t="str">
        <f>"男"</f>
        <v>男</v>
      </c>
    </row>
    <row r="156" spans="1:5" ht="30" customHeight="1">
      <c r="A156" s="4">
        <v>154</v>
      </c>
      <c r="B156" s="5" t="str">
        <f>"2644202010141301332093"</f>
        <v>2644202010141301332093</v>
      </c>
      <c r="C156" s="5" t="s">
        <v>9</v>
      </c>
      <c r="D156" s="5" t="str">
        <f>"陈昕"</f>
        <v>陈昕</v>
      </c>
      <c r="E156" s="5" t="str">
        <f>"女"</f>
        <v>女</v>
      </c>
    </row>
    <row r="157" spans="1:5" ht="30" customHeight="1">
      <c r="A157" s="4">
        <v>155</v>
      </c>
      <c r="B157" s="5" t="str">
        <f>"2644202010151051542375"</f>
        <v>2644202010151051542375</v>
      </c>
      <c r="C157" s="5" t="s">
        <v>9</v>
      </c>
      <c r="D157" s="5" t="str">
        <f>"陈琼金"</f>
        <v>陈琼金</v>
      </c>
      <c r="E157" s="5" t="str">
        <f>"女"</f>
        <v>女</v>
      </c>
    </row>
    <row r="158" spans="1:5" ht="30" customHeight="1">
      <c r="A158" s="4">
        <v>156</v>
      </c>
      <c r="B158" s="5" t="str">
        <f>"26442020100908401516"</f>
        <v>26442020100908401516</v>
      </c>
      <c r="C158" s="5" t="s">
        <v>10</v>
      </c>
      <c r="D158" s="5" t="str">
        <f>"符永佳"</f>
        <v>符永佳</v>
      </c>
      <c r="E158" s="5" t="str">
        <f>"女"</f>
        <v>女</v>
      </c>
    </row>
    <row r="159" spans="1:5" ht="30" customHeight="1">
      <c r="A159" s="4">
        <v>157</v>
      </c>
      <c r="B159" s="5" t="str">
        <f>"26442020100909252185"</f>
        <v>26442020100909252185</v>
      </c>
      <c r="C159" s="5" t="s">
        <v>10</v>
      </c>
      <c r="D159" s="5" t="str">
        <f>"杨婷"</f>
        <v>杨婷</v>
      </c>
      <c r="E159" s="5" t="str">
        <f>"女"</f>
        <v>女</v>
      </c>
    </row>
    <row r="160" spans="1:5" ht="30" customHeight="1">
      <c r="A160" s="4">
        <v>158</v>
      </c>
      <c r="B160" s="5" t="str">
        <f>"264420201009104745194"</f>
        <v>264420201009104745194</v>
      </c>
      <c r="C160" s="5" t="s">
        <v>10</v>
      </c>
      <c r="D160" s="5" t="str">
        <f>"梁雷雨"</f>
        <v>梁雷雨</v>
      </c>
      <c r="E160" s="5" t="str">
        <f>"男"</f>
        <v>男</v>
      </c>
    </row>
    <row r="161" spans="1:5" ht="30" customHeight="1">
      <c r="A161" s="4">
        <v>159</v>
      </c>
      <c r="B161" s="5" t="str">
        <f>"264420201009111238233"</f>
        <v>264420201009111238233</v>
      </c>
      <c r="C161" s="5" t="s">
        <v>10</v>
      </c>
      <c r="D161" s="5" t="str">
        <f>"刘青霞"</f>
        <v>刘青霞</v>
      </c>
      <c r="E161" s="5" t="str">
        <f>"女"</f>
        <v>女</v>
      </c>
    </row>
    <row r="162" spans="1:5" ht="30" customHeight="1">
      <c r="A162" s="4">
        <v>160</v>
      </c>
      <c r="B162" s="5" t="str">
        <f>"264420201009132353339"</f>
        <v>264420201009132353339</v>
      </c>
      <c r="C162" s="5" t="s">
        <v>10</v>
      </c>
      <c r="D162" s="5" t="str">
        <f>"洪光林"</f>
        <v>洪光林</v>
      </c>
      <c r="E162" s="5" t="str">
        <f>"男"</f>
        <v>男</v>
      </c>
    </row>
    <row r="163" spans="1:5" ht="30" customHeight="1">
      <c r="A163" s="4">
        <v>161</v>
      </c>
      <c r="B163" s="5" t="str">
        <f>"264420201009143643380"</f>
        <v>264420201009143643380</v>
      </c>
      <c r="C163" s="5" t="s">
        <v>10</v>
      </c>
      <c r="D163" s="5" t="str">
        <f>"王朝"</f>
        <v>王朝</v>
      </c>
      <c r="E163" s="5" t="str">
        <f>"男"</f>
        <v>男</v>
      </c>
    </row>
    <row r="164" spans="1:5" ht="30" customHeight="1">
      <c r="A164" s="4">
        <v>162</v>
      </c>
      <c r="B164" s="5" t="str">
        <f>"264420201009144016382"</f>
        <v>264420201009144016382</v>
      </c>
      <c r="C164" s="5" t="s">
        <v>10</v>
      </c>
      <c r="D164" s="5" t="str">
        <f>"张丹凤"</f>
        <v>张丹凤</v>
      </c>
      <c r="E164" s="5" t="str">
        <f>"女"</f>
        <v>女</v>
      </c>
    </row>
    <row r="165" spans="1:5" ht="30" customHeight="1">
      <c r="A165" s="4">
        <v>163</v>
      </c>
      <c r="B165" s="5" t="str">
        <f>"264420201009153801429"</f>
        <v>264420201009153801429</v>
      </c>
      <c r="C165" s="5" t="s">
        <v>10</v>
      </c>
      <c r="D165" s="5" t="str">
        <f>"陈静"</f>
        <v>陈静</v>
      </c>
      <c r="E165" s="5" t="str">
        <f>"女"</f>
        <v>女</v>
      </c>
    </row>
    <row r="166" spans="1:5" ht="30" customHeight="1">
      <c r="A166" s="4">
        <v>164</v>
      </c>
      <c r="B166" s="5" t="str">
        <f>"264420201009195153626"</f>
        <v>264420201009195153626</v>
      </c>
      <c r="C166" s="5" t="s">
        <v>10</v>
      </c>
      <c r="D166" s="5" t="str">
        <f>"方稻齐"</f>
        <v>方稻齐</v>
      </c>
      <c r="E166" s="5" t="str">
        <f>"男"</f>
        <v>男</v>
      </c>
    </row>
    <row r="167" spans="1:5" ht="30" customHeight="1">
      <c r="A167" s="4">
        <v>165</v>
      </c>
      <c r="B167" s="5" t="str">
        <f>"264420201009203445676"</f>
        <v>264420201009203445676</v>
      </c>
      <c r="C167" s="5" t="s">
        <v>10</v>
      </c>
      <c r="D167" s="5" t="str">
        <f>"陈冰"</f>
        <v>陈冰</v>
      </c>
      <c r="E167" s="5" t="str">
        <f aca="true" t="shared" si="6" ref="E167:E190">"女"</f>
        <v>女</v>
      </c>
    </row>
    <row r="168" spans="1:5" ht="30" customHeight="1">
      <c r="A168" s="4">
        <v>166</v>
      </c>
      <c r="B168" s="5" t="str">
        <f>"264420201009204135685"</f>
        <v>264420201009204135685</v>
      </c>
      <c r="C168" s="5" t="s">
        <v>10</v>
      </c>
      <c r="D168" s="5" t="str">
        <f>"吴桃艳"</f>
        <v>吴桃艳</v>
      </c>
      <c r="E168" s="5" t="str">
        <f t="shared" si="6"/>
        <v>女</v>
      </c>
    </row>
    <row r="169" spans="1:5" ht="30" customHeight="1">
      <c r="A169" s="4">
        <v>167</v>
      </c>
      <c r="B169" s="5" t="str">
        <f>"264420201010084436826"</f>
        <v>264420201010084436826</v>
      </c>
      <c r="C169" s="5" t="s">
        <v>10</v>
      </c>
      <c r="D169" s="5" t="str">
        <f>"曾平婷"</f>
        <v>曾平婷</v>
      </c>
      <c r="E169" s="5" t="str">
        <f t="shared" si="6"/>
        <v>女</v>
      </c>
    </row>
    <row r="170" spans="1:5" ht="30" customHeight="1">
      <c r="A170" s="4">
        <v>168</v>
      </c>
      <c r="B170" s="5" t="str">
        <f>"264420201010085514832"</f>
        <v>264420201010085514832</v>
      </c>
      <c r="C170" s="5" t="s">
        <v>10</v>
      </c>
      <c r="D170" s="5" t="str">
        <f>"林寸草"</f>
        <v>林寸草</v>
      </c>
      <c r="E170" s="5" t="str">
        <f t="shared" si="6"/>
        <v>女</v>
      </c>
    </row>
    <row r="171" spans="1:5" ht="30" customHeight="1">
      <c r="A171" s="4">
        <v>169</v>
      </c>
      <c r="B171" s="5" t="str">
        <f>"264420201010110954908"</f>
        <v>264420201010110954908</v>
      </c>
      <c r="C171" s="5" t="s">
        <v>10</v>
      </c>
      <c r="D171" s="5" t="str">
        <f>"王宁"</f>
        <v>王宁</v>
      </c>
      <c r="E171" s="5" t="str">
        <f t="shared" si="6"/>
        <v>女</v>
      </c>
    </row>
    <row r="172" spans="1:5" ht="30" customHeight="1">
      <c r="A172" s="4">
        <v>170</v>
      </c>
      <c r="B172" s="5" t="str">
        <f>"264420201010113222921"</f>
        <v>264420201010113222921</v>
      </c>
      <c r="C172" s="5" t="s">
        <v>10</v>
      </c>
      <c r="D172" s="5" t="str">
        <f>"王静纯"</f>
        <v>王静纯</v>
      </c>
      <c r="E172" s="5" t="str">
        <f t="shared" si="6"/>
        <v>女</v>
      </c>
    </row>
    <row r="173" spans="1:5" ht="30" customHeight="1">
      <c r="A173" s="4">
        <v>171</v>
      </c>
      <c r="B173" s="5" t="str">
        <f>"264420201010114346926"</f>
        <v>264420201010114346926</v>
      </c>
      <c r="C173" s="5" t="s">
        <v>10</v>
      </c>
      <c r="D173" s="5" t="str">
        <f>"吴美珠"</f>
        <v>吴美珠</v>
      </c>
      <c r="E173" s="5" t="str">
        <f t="shared" si="6"/>
        <v>女</v>
      </c>
    </row>
    <row r="174" spans="1:5" ht="30" customHeight="1">
      <c r="A174" s="4">
        <v>172</v>
      </c>
      <c r="B174" s="5" t="str">
        <f>"264420201010114403927"</f>
        <v>264420201010114403927</v>
      </c>
      <c r="C174" s="5" t="s">
        <v>10</v>
      </c>
      <c r="D174" s="5" t="str">
        <f>"文丽蔚"</f>
        <v>文丽蔚</v>
      </c>
      <c r="E174" s="5" t="str">
        <f t="shared" si="6"/>
        <v>女</v>
      </c>
    </row>
    <row r="175" spans="1:5" ht="30" customHeight="1">
      <c r="A175" s="4">
        <v>173</v>
      </c>
      <c r="B175" s="5" t="str">
        <f>"264420201010143706984"</f>
        <v>264420201010143706984</v>
      </c>
      <c r="C175" s="5" t="s">
        <v>10</v>
      </c>
      <c r="D175" s="5" t="str">
        <f>"王欢"</f>
        <v>王欢</v>
      </c>
      <c r="E175" s="5" t="str">
        <f t="shared" si="6"/>
        <v>女</v>
      </c>
    </row>
    <row r="176" spans="1:5" ht="30" customHeight="1">
      <c r="A176" s="4">
        <v>174</v>
      </c>
      <c r="B176" s="5" t="str">
        <f>"2644202010102011561099"</f>
        <v>2644202010102011561099</v>
      </c>
      <c r="C176" s="5" t="s">
        <v>10</v>
      </c>
      <c r="D176" s="5" t="str">
        <f>"骆梓晴"</f>
        <v>骆梓晴</v>
      </c>
      <c r="E176" s="5" t="str">
        <f t="shared" si="6"/>
        <v>女</v>
      </c>
    </row>
    <row r="177" spans="1:5" ht="30" customHeight="1">
      <c r="A177" s="4">
        <v>175</v>
      </c>
      <c r="B177" s="5" t="str">
        <f>"2644202010102119241125"</f>
        <v>2644202010102119241125</v>
      </c>
      <c r="C177" s="5" t="s">
        <v>10</v>
      </c>
      <c r="D177" s="5" t="str">
        <f>"龙濡"</f>
        <v>龙濡</v>
      </c>
      <c r="E177" s="5" t="str">
        <f t="shared" si="6"/>
        <v>女</v>
      </c>
    </row>
    <row r="178" spans="1:5" ht="30" customHeight="1">
      <c r="A178" s="4">
        <v>176</v>
      </c>
      <c r="B178" s="5" t="str">
        <f>"2644202010102129381127"</f>
        <v>2644202010102129381127</v>
      </c>
      <c r="C178" s="5" t="s">
        <v>10</v>
      </c>
      <c r="D178" s="5" t="str">
        <f>"李梦怡"</f>
        <v>李梦怡</v>
      </c>
      <c r="E178" s="5" t="str">
        <f t="shared" si="6"/>
        <v>女</v>
      </c>
    </row>
    <row r="179" spans="1:5" ht="30" customHeight="1">
      <c r="A179" s="4">
        <v>177</v>
      </c>
      <c r="B179" s="5" t="str">
        <f>"2644202010102219141147"</f>
        <v>2644202010102219141147</v>
      </c>
      <c r="C179" s="5" t="s">
        <v>10</v>
      </c>
      <c r="D179" s="5" t="str">
        <f>"董璇"</f>
        <v>董璇</v>
      </c>
      <c r="E179" s="5" t="str">
        <f t="shared" si="6"/>
        <v>女</v>
      </c>
    </row>
    <row r="180" spans="1:5" ht="30" customHeight="1">
      <c r="A180" s="4">
        <v>178</v>
      </c>
      <c r="B180" s="5" t="str">
        <f>"2644202010102229091148"</f>
        <v>2644202010102229091148</v>
      </c>
      <c r="C180" s="5" t="s">
        <v>10</v>
      </c>
      <c r="D180" s="5" t="str">
        <f>"蒋荟芳"</f>
        <v>蒋荟芳</v>
      </c>
      <c r="E180" s="5" t="str">
        <f t="shared" si="6"/>
        <v>女</v>
      </c>
    </row>
    <row r="181" spans="1:5" ht="30" customHeight="1">
      <c r="A181" s="4">
        <v>179</v>
      </c>
      <c r="B181" s="5" t="str">
        <f>"2644202010110936011199"</f>
        <v>2644202010110936011199</v>
      </c>
      <c r="C181" s="5" t="s">
        <v>10</v>
      </c>
      <c r="D181" s="5" t="str">
        <f>"林之宜"</f>
        <v>林之宜</v>
      </c>
      <c r="E181" s="5" t="str">
        <f t="shared" si="6"/>
        <v>女</v>
      </c>
    </row>
    <row r="182" spans="1:5" ht="30" customHeight="1">
      <c r="A182" s="4">
        <v>180</v>
      </c>
      <c r="B182" s="5" t="str">
        <f>"2644202010111517221294"</f>
        <v>2644202010111517221294</v>
      </c>
      <c r="C182" s="5" t="s">
        <v>10</v>
      </c>
      <c r="D182" s="5" t="str">
        <f>"司徒慧敏"</f>
        <v>司徒慧敏</v>
      </c>
      <c r="E182" s="5" t="str">
        <f t="shared" si="6"/>
        <v>女</v>
      </c>
    </row>
    <row r="183" spans="1:5" ht="30" customHeight="1">
      <c r="A183" s="4">
        <v>181</v>
      </c>
      <c r="B183" s="5" t="str">
        <f>"2644202010111533011299"</f>
        <v>2644202010111533011299</v>
      </c>
      <c r="C183" s="5" t="s">
        <v>10</v>
      </c>
      <c r="D183" s="5" t="str">
        <f>"符晶晶"</f>
        <v>符晶晶</v>
      </c>
      <c r="E183" s="5" t="str">
        <f t="shared" si="6"/>
        <v>女</v>
      </c>
    </row>
    <row r="184" spans="1:5" ht="30" customHeight="1">
      <c r="A184" s="4">
        <v>182</v>
      </c>
      <c r="B184" s="5" t="str">
        <f>"2644202010111711501336"</f>
        <v>2644202010111711501336</v>
      </c>
      <c r="C184" s="5" t="s">
        <v>10</v>
      </c>
      <c r="D184" s="5" t="str">
        <f>"文倩"</f>
        <v>文倩</v>
      </c>
      <c r="E184" s="5" t="str">
        <f t="shared" si="6"/>
        <v>女</v>
      </c>
    </row>
    <row r="185" spans="1:5" ht="30" customHeight="1">
      <c r="A185" s="4">
        <v>183</v>
      </c>
      <c r="B185" s="5" t="str">
        <f>"2644202010111825021354"</f>
        <v>2644202010111825021354</v>
      </c>
      <c r="C185" s="5" t="s">
        <v>10</v>
      </c>
      <c r="D185" s="5" t="str">
        <f>"卢丹"</f>
        <v>卢丹</v>
      </c>
      <c r="E185" s="5" t="str">
        <f t="shared" si="6"/>
        <v>女</v>
      </c>
    </row>
    <row r="186" spans="1:5" ht="30" customHeight="1">
      <c r="A186" s="4">
        <v>184</v>
      </c>
      <c r="B186" s="5" t="str">
        <f>"2644202010111911111365"</f>
        <v>2644202010111911111365</v>
      </c>
      <c r="C186" s="5" t="s">
        <v>10</v>
      </c>
      <c r="D186" s="5" t="str">
        <f>"徐雄姣"</f>
        <v>徐雄姣</v>
      </c>
      <c r="E186" s="5" t="str">
        <f t="shared" si="6"/>
        <v>女</v>
      </c>
    </row>
    <row r="187" spans="1:5" ht="30" customHeight="1">
      <c r="A187" s="4">
        <v>185</v>
      </c>
      <c r="B187" s="5" t="str">
        <f>"2644202010120011461455"</f>
        <v>2644202010120011461455</v>
      </c>
      <c r="C187" s="5" t="s">
        <v>10</v>
      </c>
      <c r="D187" s="5" t="str">
        <f>"李梦漪"</f>
        <v>李梦漪</v>
      </c>
      <c r="E187" s="5" t="str">
        <f t="shared" si="6"/>
        <v>女</v>
      </c>
    </row>
    <row r="188" spans="1:5" ht="30" customHeight="1">
      <c r="A188" s="4">
        <v>186</v>
      </c>
      <c r="B188" s="5" t="str">
        <f>"2644202010121047001513"</f>
        <v>2644202010121047001513</v>
      </c>
      <c r="C188" s="5" t="s">
        <v>10</v>
      </c>
      <c r="D188" s="5" t="str">
        <f>"单婉茹"</f>
        <v>单婉茹</v>
      </c>
      <c r="E188" s="5" t="str">
        <f t="shared" si="6"/>
        <v>女</v>
      </c>
    </row>
    <row r="189" spans="1:5" ht="30" customHeight="1">
      <c r="A189" s="4">
        <v>187</v>
      </c>
      <c r="B189" s="5" t="str">
        <f>"2644202010121147551544"</f>
        <v>2644202010121147551544</v>
      </c>
      <c r="C189" s="5" t="s">
        <v>10</v>
      </c>
      <c r="D189" s="5" t="str">
        <f>"黄蓉"</f>
        <v>黄蓉</v>
      </c>
      <c r="E189" s="5" t="str">
        <f t="shared" si="6"/>
        <v>女</v>
      </c>
    </row>
    <row r="190" spans="1:5" ht="30" customHeight="1">
      <c r="A190" s="4">
        <v>188</v>
      </c>
      <c r="B190" s="5" t="str">
        <f>"2644202010121449291593"</f>
        <v>2644202010121449291593</v>
      </c>
      <c r="C190" s="5" t="s">
        <v>10</v>
      </c>
      <c r="D190" s="5" t="str">
        <f>"吴剑花"</f>
        <v>吴剑花</v>
      </c>
      <c r="E190" s="5" t="str">
        <f t="shared" si="6"/>
        <v>女</v>
      </c>
    </row>
    <row r="191" spans="1:5" ht="30" customHeight="1">
      <c r="A191" s="4">
        <v>189</v>
      </c>
      <c r="B191" s="5" t="str">
        <f>"2644202010121458071595"</f>
        <v>2644202010121458071595</v>
      </c>
      <c r="C191" s="5" t="s">
        <v>10</v>
      </c>
      <c r="D191" s="5" t="str">
        <f>"梁天友"</f>
        <v>梁天友</v>
      </c>
      <c r="E191" s="5" t="str">
        <f>"男"</f>
        <v>男</v>
      </c>
    </row>
    <row r="192" spans="1:5" ht="30" customHeight="1">
      <c r="A192" s="4">
        <v>190</v>
      </c>
      <c r="B192" s="5" t="str">
        <f>"2644202010121849071682"</f>
        <v>2644202010121849071682</v>
      </c>
      <c r="C192" s="5" t="s">
        <v>10</v>
      </c>
      <c r="D192" s="5" t="str">
        <f>"陈昱妃"</f>
        <v>陈昱妃</v>
      </c>
      <c r="E192" s="5" t="str">
        <f>"女"</f>
        <v>女</v>
      </c>
    </row>
    <row r="193" spans="1:5" ht="30" customHeight="1">
      <c r="A193" s="4">
        <v>191</v>
      </c>
      <c r="B193" s="5" t="str">
        <f>"2644202010121938531688"</f>
        <v>2644202010121938531688</v>
      </c>
      <c r="C193" s="5" t="s">
        <v>10</v>
      </c>
      <c r="D193" s="5" t="str">
        <f>"薛晶乙"</f>
        <v>薛晶乙</v>
      </c>
      <c r="E193" s="5" t="str">
        <f>"女"</f>
        <v>女</v>
      </c>
    </row>
    <row r="194" spans="1:5" ht="30" customHeight="1">
      <c r="A194" s="4">
        <v>192</v>
      </c>
      <c r="B194" s="5" t="str">
        <f>"2644202010122115121716"</f>
        <v>2644202010122115121716</v>
      </c>
      <c r="C194" s="5" t="s">
        <v>10</v>
      </c>
      <c r="D194" s="5" t="str">
        <f>"吴石保"</f>
        <v>吴石保</v>
      </c>
      <c r="E194" s="5" t="str">
        <f>"女"</f>
        <v>女</v>
      </c>
    </row>
    <row r="195" spans="1:5" ht="30" customHeight="1">
      <c r="A195" s="4">
        <v>193</v>
      </c>
      <c r="B195" s="5" t="str">
        <f>"2644202010131921101947"</f>
        <v>2644202010131921101947</v>
      </c>
      <c r="C195" s="5" t="s">
        <v>10</v>
      </c>
      <c r="D195" s="5" t="str">
        <f>"吴淑华"</f>
        <v>吴淑华</v>
      </c>
      <c r="E195" s="5" t="str">
        <f>"男"</f>
        <v>男</v>
      </c>
    </row>
    <row r="196" spans="1:5" ht="30" customHeight="1">
      <c r="A196" s="4">
        <v>194</v>
      </c>
      <c r="B196" s="5" t="str">
        <f>"2644202010132021091959"</f>
        <v>2644202010132021091959</v>
      </c>
      <c r="C196" s="5" t="s">
        <v>10</v>
      </c>
      <c r="D196" s="5" t="str">
        <f>"符峥"</f>
        <v>符峥</v>
      </c>
      <c r="E196" s="5" t="str">
        <f>"男"</f>
        <v>男</v>
      </c>
    </row>
    <row r="197" spans="1:5" ht="30" customHeight="1">
      <c r="A197" s="4">
        <v>195</v>
      </c>
      <c r="B197" s="5" t="str">
        <f>"2644202010132138031981"</f>
        <v>2644202010132138031981</v>
      </c>
      <c r="C197" s="5" t="s">
        <v>10</v>
      </c>
      <c r="D197" s="5" t="str">
        <f>"赵华莹"</f>
        <v>赵华莹</v>
      </c>
      <c r="E197" s="5" t="str">
        <f>"女"</f>
        <v>女</v>
      </c>
    </row>
    <row r="198" spans="1:5" ht="30" customHeight="1">
      <c r="A198" s="4">
        <v>196</v>
      </c>
      <c r="B198" s="5" t="str">
        <f>"2644202010132139261982"</f>
        <v>2644202010132139261982</v>
      </c>
      <c r="C198" s="5" t="s">
        <v>10</v>
      </c>
      <c r="D198" s="5" t="str">
        <f>"陈嘉帅"</f>
        <v>陈嘉帅</v>
      </c>
      <c r="E198" s="5" t="str">
        <f>"男"</f>
        <v>男</v>
      </c>
    </row>
    <row r="199" spans="1:5" ht="30" customHeight="1">
      <c r="A199" s="4">
        <v>197</v>
      </c>
      <c r="B199" s="5" t="str">
        <f>"2644202010132146111984"</f>
        <v>2644202010132146111984</v>
      </c>
      <c r="C199" s="5" t="s">
        <v>10</v>
      </c>
      <c r="D199" s="5" t="str">
        <f>"吴泳丽"</f>
        <v>吴泳丽</v>
      </c>
      <c r="E199" s="5" t="str">
        <f>"女"</f>
        <v>女</v>
      </c>
    </row>
    <row r="200" spans="1:5" ht="30" customHeight="1">
      <c r="A200" s="4">
        <v>198</v>
      </c>
      <c r="B200" s="5" t="str">
        <f>"2644202010140050182019"</f>
        <v>2644202010140050182019</v>
      </c>
      <c r="C200" s="5" t="s">
        <v>10</v>
      </c>
      <c r="D200" s="5" t="str">
        <f>"吉春婷"</f>
        <v>吉春婷</v>
      </c>
      <c r="E200" s="5" t="str">
        <f>"女"</f>
        <v>女</v>
      </c>
    </row>
    <row r="201" spans="1:5" ht="30" customHeight="1">
      <c r="A201" s="4">
        <v>199</v>
      </c>
      <c r="B201" s="5" t="str">
        <f>"2644202010140947082038"</f>
        <v>2644202010140947082038</v>
      </c>
      <c r="C201" s="5" t="s">
        <v>10</v>
      </c>
      <c r="D201" s="5" t="str">
        <f>"符锋光"</f>
        <v>符锋光</v>
      </c>
      <c r="E201" s="5" t="str">
        <f>"男"</f>
        <v>男</v>
      </c>
    </row>
    <row r="202" spans="1:5" ht="30" customHeight="1">
      <c r="A202" s="4">
        <v>200</v>
      </c>
      <c r="B202" s="5" t="str">
        <f>"2644202010141505212121"</f>
        <v>2644202010141505212121</v>
      </c>
      <c r="C202" s="5" t="s">
        <v>10</v>
      </c>
      <c r="D202" s="5" t="str">
        <f>"李邦可"</f>
        <v>李邦可</v>
      </c>
      <c r="E202" s="5" t="str">
        <f>"男"</f>
        <v>男</v>
      </c>
    </row>
    <row r="203" spans="1:5" ht="30" customHeight="1">
      <c r="A203" s="4">
        <v>201</v>
      </c>
      <c r="B203" s="5" t="str">
        <f>"2644202010142052032236"</f>
        <v>2644202010142052032236</v>
      </c>
      <c r="C203" s="5" t="s">
        <v>10</v>
      </c>
      <c r="D203" s="5" t="str">
        <f>"谢林蓉"</f>
        <v>谢林蓉</v>
      </c>
      <c r="E203" s="5" t="str">
        <f>"女"</f>
        <v>女</v>
      </c>
    </row>
    <row r="204" spans="1:5" ht="30" customHeight="1">
      <c r="A204" s="4">
        <v>202</v>
      </c>
      <c r="B204" s="5" t="str">
        <f>"2644202010142219312267"</f>
        <v>2644202010142219312267</v>
      </c>
      <c r="C204" s="5" t="s">
        <v>10</v>
      </c>
      <c r="D204" s="5" t="str">
        <f>"王嘉玥"</f>
        <v>王嘉玥</v>
      </c>
      <c r="E204" s="5" t="str">
        <f>"女"</f>
        <v>女</v>
      </c>
    </row>
    <row r="205" spans="1:5" ht="30" customHeight="1">
      <c r="A205" s="4">
        <v>203</v>
      </c>
      <c r="B205" s="5" t="str">
        <f>"2644202010142354542299"</f>
        <v>2644202010142354542299</v>
      </c>
      <c r="C205" s="5" t="s">
        <v>10</v>
      </c>
      <c r="D205" s="5" t="str">
        <f>"何芯茹"</f>
        <v>何芯茹</v>
      </c>
      <c r="E205" s="5" t="str">
        <f>"女"</f>
        <v>女</v>
      </c>
    </row>
    <row r="206" spans="1:5" ht="30" customHeight="1">
      <c r="A206" s="4">
        <v>204</v>
      </c>
      <c r="B206" s="5" t="str">
        <f>"2644202010150944432354"</f>
        <v>2644202010150944432354</v>
      </c>
      <c r="C206" s="5" t="s">
        <v>10</v>
      </c>
      <c r="D206" s="5" t="str">
        <f>"孙学新"</f>
        <v>孙学新</v>
      </c>
      <c r="E206" s="5" t="str">
        <f>"男"</f>
        <v>男</v>
      </c>
    </row>
    <row r="207" spans="1:5" ht="30" customHeight="1">
      <c r="A207" s="4">
        <v>205</v>
      </c>
      <c r="B207" s="5" t="str">
        <f>"2644202010151147072388"</f>
        <v>2644202010151147072388</v>
      </c>
      <c r="C207" s="5" t="s">
        <v>10</v>
      </c>
      <c r="D207" s="5" t="str">
        <f>"谭惠文"</f>
        <v>谭惠文</v>
      </c>
      <c r="E207" s="5" t="str">
        <f>"女"</f>
        <v>女</v>
      </c>
    </row>
    <row r="208" spans="1:5" ht="30" customHeight="1">
      <c r="A208" s="4">
        <v>206</v>
      </c>
      <c r="B208" s="5" t="str">
        <f>"2644202010151152172389"</f>
        <v>2644202010151152172389</v>
      </c>
      <c r="C208" s="5" t="s">
        <v>10</v>
      </c>
      <c r="D208" s="5" t="str">
        <f>"孙亚娴"</f>
        <v>孙亚娴</v>
      </c>
      <c r="E208" s="5" t="str">
        <f>"女"</f>
        <v>女</v>
      </c>
    </row>
    <row r="209" spans="1:5" ht="30" customHeight="1">
      <c r="A209" s="4">
        <v>207</v>
      </c>
      <c r="B209" s="5" t="str">
        <f>"2644202010151307272401"</f>
        <v>2644202010151307272401</v>
      </c>
      <c r="C209" s="5" t="s">
        <v>10</v>
      </c>
      <c r="D209" s="5" t="str">
        <f>"张莉滢"</f>
        <v>张莉滢</v>
      </c>
      <c r="E209" s="5" t="str">
        <f>"女"</f>
        <v>女</v>
      </c>
    </row>
    <row r="210" spans="1:5" ht="30" customHeight="1">
      <c r="A210" s="4">
        <v>208</v>
      </c>
      <c r="B210" s="5" t="str">
        <f>"2644202010151432002417"</f>
        <v>2644202010151432002417</v>
      </c>
      <c r="C210" s="5" t="s">
        <v>10</v>
      </c>
      <c r="D210" s="5" t="str">
        <f>"邢丁尹"</f>
        <v>邢丁尹</v>
      </c>
      <c r="E210" s="5" t="str">
        <f>"女"</f>
        <v>女</v>
      </c>
    </row>
    <row r="211" spans="1:5" ht="30" customHeight="1">
      <c r="A211" s="4">
        <v>209</v>
      </c>
      <c r="B211" s="5" t="str">
        <f>"2644202010151457152423"</f>
        <v>2644202010151457152423</v>
      </c>
      <c r="C211" s="5" t="s">
        <v>10</v>
      </c>
      <c r="D211" s="5" t="str">
        <f>"韩佳佳"</f>
        <v>韩佳佳</v>
      </c>
      <c r="E211" s="5" t="str">
        <f>"女"</f>
        <v>女</v>
      </c>
    </row>
    <row r="212" spans="1:5" ht="30" customHeight="1">
      <c r="A212" s="4">
        <v>210</v>
      </c>
      <c r="B212" s="5" t="str">
        <f>"2644202010151525462435"</f>
        <v>2644202010151525462435</v>
      </c>
      <c r="C212" s="5" t="s">
        <v>10</v>
      </c>
      <c r="D212" s="5" t="str">
        <f>"吴毓焕"</f>
        <v>吴毓焕</v>
      </c>
      <c r="E212" s="5" t="str">
        <f>"男"</f>
        <v>男</v>
      </c>
    </row>
    <row r="213" spans="1:5" ht="30" customHeight="1">
      <c r="A213" s="4">
        <v>211</v>
      </c>
      <c r="B213" s="5" t="str">
        <f>"26442020100908444525"</f>
        <v>26442020100908444525</v>
      </c>
      <c r="C213" s="5" t="s">
        <v>11</v>
      </c>
      <c r="D213" s="5" t="str">
        <f>"符少芬"</f>
        <v>符少芬</v>
      </c>
      <c r="E213" s="5" t="str">
        <f>"女"</f>
        <v>女</v>
      </c>
    </row>
    <row r="214" spans="1:5" ht="30" customHeight="1">
      <c r="A214" s="4">
        <v>212</v>
      </c>
      <c r="B214" s="5" t="str">
        <f>"26442020100908451527"</f>
        <v>26442020100908451527</v>
      </c>
      <c r="C214" s="5" t="s">
        <v>11</v>
      </c>
      <c r="D214" s="5" t="str">
        <f>"陈石"</f>
        <v>陈石</v>
      </c>
      <c r="E214" s="5" t="str">
        <f>"男"</f>
        <v>男</v>
      </c>
    </row>
    <row r="215" spans="1:5" ht="30" customHeight="1">
      <c r="A215" s="4">
        <v>213</v>
      </c>
      <c r="B215" s="5" t="str">
        <f>"26442020100908514738"</f>
        <v>26442020100908514738</v>
      </c>
      <c r="C215" s="5" t="s">
        <v>11</v>
      </c>
      <c r="D215" s="5" t="str">
        <f>"郑雯"</f>
        <v>郑雯</v>
      </c>
      <c r="E215" s="5" t="str">
        <f>"女"</f>
        <v>女</v>
      </c>
    </row>
    <row r="216" spans="1:5" ht="30" customHeight="1">
      <c r="A216" s="4">
        <v>214</v>
      </c>
      <c r="B216" s="5" t="str">
        <f>"26442020100909011948"</f>
        <v>26442020100909011948</v>
      </c>
      <c r="C216" s="5" t="s">
        <v>11</v>
      </c>
      <c r="D216" s="5" t="str">
        <f>"王星予"</f>
        <v>王星予</v>
      </c>
      <c r="E216" s="5" t="str">
        <f>"女"</f>
        <v>女</v>
      </c>
    </row>
    <row r="217" spans="1:5" ht="30" customHeight="1">
      <c r="A217" s="4">
        <v>215</v>
      </c>
      <c r="B217" s="5" t="str">
        <f>"264420201009094306106"</f>
        <v>264420201009094306106</v>
      </c>
      <c r="C217" s="5" t="s">
        <v>11</v>
      </c>
      <c r="D217" s="5" t="str">
        <f>"黄勤舟"</f>
        <v>黄勤舟</v>
      </c>
      <c r="E217" s="5" t="str">
        <f>"男"</f>
        <v>男</v>
      </c>
    </row>
    <row r="218" spans="1:5" ht="30" customHeight="1">
      <c r="A218" s="4">
        <v>216</v>
      </c>
      <c r="B218" s="5" t="str">
        <f>"264420201009101851151"</f>
        <v>264420201009101851151</v>
      </c>
      <c r="C218" s="5" t="s">
        <v>11</v>
      </c>
      <c r="D218" s="5" t="str">
        <f>"王召晖"</f>
        <v>王召晖</v>
      </c>
      <c r="E218" s="5" t="str">
        <f>"男"</f>
        <v>男</v>
      </c>
    </row>
    <row r="219" spans="1:5" ht="30" customHeight="1">
      <c r="A219" s="4">
        <v>217</v>
      </c>
      <c r="B219" s="5" t="str">
        <f>"264420201009104845196"</f>
        <v>264420201009104845196</v>
      </c>
      <c r="C219" s="5" t="s">
        <v>11</v>
      </c>
      <c r="D219" s="5" t="str">
        <f>"林文庆"</f>
        <v>林文庆</v>
      </c>
      <c r="E219" s="5" t="str">
        <f>"男"</f>
        <v>男</v>
      </c>
    </row>
    <row r="220" spans="1:5" ht="30" customHeight="1">
      <c r="A220" s="4">
        <v>218</v>
      </c>
      <c r="B220" s="5" t="str">
        <f>"264420201009111516236"</f>
        <v>264420201009111516236</v>
      </c>
      <c r="C220" s="5" t="s">
        <v>11</v>
      </c>
      <c r="D220" s="5" t="str">
        <f>"杨小珏"</f>
        <v>杨小珏</v>
      </c>
      <c r="E220" s="5" t="str">
        <f>"女"</f>
        <v>女</v>
      </c>
    </row>
    <row r="221" spans="1:5" ht="30" customHeight="1">
      <c r="A221" s="4">
        <v>219</v>
      </c>
      <c r="B221" s="5" t="str">
        <f>"264420201009112126241"</f>
        <v>264420201009112126241</v>
      </c>
      <c r="C221" s="5" t="s">
        <v>11</v>
      </c>
      <c r="D221" s="5" t="str">
        <f>"裴艳好"</f>
        <v>裴艳好</v>
      </c>
      <c r="E221" s="5" t="str">
        <f>"女"</f>
        <v>女</v>
      </c>
    </row>
    <row r="222" spans="1:5" ht="30" customHeight="1">
      <c r="A222" s="4">
        <v>220</v>
      </c>
      <c r="B222" s="5" t="str">
        <f>"264420201009115919285"</f>
        <v>264420201009115919285</v>
      </c>
      <c r="C222" s="5" t="s">
        <v>11</v>
      </c>
      <c r="D222" s="5" t="str">
        <f>"唐舒欣"</f>
        <v>唐舒欣</v>
      </c>
      <c r="E222" s="5" t="str">
        <f>"男"</f>
        <v>男</v>
      </c>
    </row>
    <row r="223" spans="1:5" ht="30" customHeight="1">
      <c r="A223" s="4">
        <v>221</v>
      </c>
      <c r="B223" s="4" t="str">
        <f>"264420201009120700292"</f>
        <v>264420201009120700292</v>
      </c>
      <c r="C223" s="4" t="s">
        <v>11</v>
      </c>
      <c r="D223" s="4" t="str">
        <f>"游茜云"</f>
        <v>游茜云</v>
      </c>
      <c r="E223" s="4" t="str">
        <f>"女"</f>
        <v>女</v>
      </c>
    </row>
    <row r="224" spans="1:5" ht="30" customHeight="1">
      <c r="A224" s="4">
        <v>222</v>
      </c>
      <c r="B224" s="5" t="str">
        <f>"264420201009121507296"</f>
        <v>264420201009121507296</v>
      </c>
      <c r="C224" s="5" t="s">
        <v>11</v>
      </c>
      <c r="D224" s="5" t="str">
        <f>"陈娇慧"</f>
        <v>陈娇慧</v>
      </c>
      <c r="E224" s="5" t="str">
        <f>"女"</f>
        <v>女</v>
      </c>
    </row>
    <row r="225" spans="1:5" ht="30" customHeight="1">
      <c r="A225" s="4">
        <v>223</v>
      </c>
      <c r="B225" s="5" t="str">
        <f>"264420201009122712307"</f>
        <v>264420201009122712307</v>
      </c>
      <c r="C225" s="5" t="s">
        <v>11</v>
      </c>
      <c r="D225" s="5" t="str">
        <f>"邱名龙"</f>
        <v>邱名龙</v>
      </c>
      <c r="E225" s="5" t="str">
        <f>"男"</f>
        <v>男</v>
      </c>
    </row>
    <row r="226" spans="1:5" ht="30" customHeight="1">
      <c r="A226" s="4">
        <v>224</v>
      </c>
      <c r="B226" s="5" t="str">
        <f>"264420201009122800308"</f>
        <v>264420201009122800308</v>
      </c>
      <c r="C226" s="5" t="s">
        <v>11</v>
      </c>
      <c r="D226" s="5" t="str">
        <f>"蒋嘉佳"</f>
        <v>蒋嘉佳</v>
      </c>
      <c r="E226" s="5" t="str">
        <f>"女"</f>
        <v>女</v>
      </c>
    </row>
    <row r="227" spans="1:5" ht="30" customHeight="1">
      <c r="A227" s="4">
        <v>225</v>
      </c>
      <c r="B227" s="5" t="str">
        <f>"264420201009124634319"</f>
        <v>264420201009124634319</v>
      </c>
      <c r="C227" s="5" t="s">
        <v>11</v>
      </c>
      <c r="D227" s="5" t="str">
        <f>"卓越"</f>
        <v>卓越</v>
      </c>
      <c r="E227" s="5" t="str">
        <f>"女"</f>
        <v>女</v>
      </c>
    </row>
    <row r="228" spans="1:5" ht="30" customHeight="1">
      <c r="A228" s="4">
        <v>226</v>
      </c>
      <c r="B228" s="5" t="str">
        <f>"264420201009125146320"</f>
        <v>264420201009125146320</v>
      </c>
      <c r="C228" s="5" t="s">
        <v>11</v>
      </c>
      <c r="D228" s="5" t="str">
        <f>"邓小夏"</f>
        <v>邓小夏</v>
      </c>
      <c r="E228" s="5" t="str">
        <f>"女"</f>
        <v>女</v>
      </c>
    </row>
    <row r="229" spans="1:5" ht="30" customHeight="1">
      <c r="A229" s="4">
        <v>227</v>
      </c>
      <c r="B229" s="5" t="str">
        <f>"264420201009131835336"</f>
        <v>264420201009131835336</v>
      </c>
      <c r="C229" s="5" t="s">
        <v>11</v>
      </c>
      <c r="D229" s="5" t="str">
        <f>"黄本财"</f>
        <v>黄本财</v>
      </c>
      <c r="E229" s="5" t="str">
        <f>"男"</f>
        <v>男</v>
      </c>
    </row>
    <row r="230" spans="1:5" ht="30" customHeight="1">
      <c r="A230" s="4">
        <v>228</v>
      </c>
      <c r="B230" s="5" t="str">
        <f>"264420201009133630344"</f>
        <v>264420201009133630344</v>
      </c>
      <c r="C230" s="5" t="s">
        <v>11</v>
      </c>
      <c r="D230" s="5" t="str">
        <f>"林梅"</f>
        <v>林梅</v>
      </c>
      <c r="E230" s="5" t="str">
        <f>"女"</f>
        <v>女</v>
      </c>
    </row>
    <row r="231" spans="1:5" ht="30" customHeight="1">
      <c r="A231" s="4">
        <v>229</v>
      </c>
      <c r="B231" s="5" t="str">
        <f>"264420201009153159422"</f>
        <v>264420201009153159422</v>
      </c>
      <c r="C231" s="5" t="s">
        <v>11</v>
      </c>
      <c r="D231" s="5" t="str">
        <f>"陈明亮"</f>
        <v>陈明亮</v>
      </c>
      <c r="E231" s="5" t="str">
        <f>"男"</f>
        <v>男</v>
      </c>
    </row>
    <row r="232" spans="1:5" ht="30" customHeight="1">
      <c r="A232" s="4">
        <v>230</v>
      </c>
      <c r="B232" s="5" t="str">
        <f>"264420201009154104431"</f>
        <v>264420201009154104431</v>
      </c>
      <c r="C232" s="5" t="s">
        <v>11</v>
      </c>
      <c r="D232" s="5" t="str">
        <f>"王小卫"</f>
        <v>王小卫</v>
      </c>
      <c r="E232" s="5" t="str">
        <f>"女"</f>
        <v>女</v>
      </c>
    </row>
    <row r="233" spans="1:5" ht="30" customHeight="1">
      <c r="A233" s="4">
        <v>231</v>
      </c>
      <c r="B233" s="5" t="str">
        <f>"264420201009155903454"</f>
        <v>264420201009155903454</v>
      </c>
      <c r="C233" s="5" t="s">
        <v>11</v>
      </c>
      <c r="D233" s="5" t="str">
        <f>"李周娜"</f>
        <v>李周娜</v>
      </c>
      <c r="E233" s="5" t="str">
        <f>"女"</f>
        <v>女</v>
      </c>
    </row>
    <row r="234" spans="1:5" ht="30" customHeight="1">
      <c r="A234" s="4">
        <v>232</v>
      </c>
      <c r="B234" s="5" t="str">
        <f>"264420201009161546477"</f>
        <v>264420201009161546477</v>
      </c>
      <c r="C234" s="5" t="s">
        <v>11</v>
      </c>
      <c r="D234" s="5" t="str">
        <f>"陆新风"</f>
        <v>陆新风</v>
      </c>
      <c r="E234" s="5" t="str">
        <f>"男"</f>
        <v>男</v>
      </c>
    </row>
    <row r="235" spans="1:5" ht="30" customHeight="1">
      <c r="A235" s="4">
        <v>233</v>
      </c>
      <c r="B235" s="5" t="str">
        <f>"264420201009163000487"</f>
        <v>264420201009163000487</v>
      </c>
      <c r="C235" s="5" t="s">
        <v>11</v>
      </c>
      <c r="D235" s="5" t="str">
        <f>"黄新媛"</f>
        <v>黄新媛</v>
      </c>
      <c r="E235" s="5" t="str">
        <f>"女"</f>
        <v>女</v>
      </c>
    </row>
    <row r="236" spans="1:5" ht="30" customHeight="1">
      <c r="A236" s="4">
        <v>234</v>
      </c>
      <c r="B236" s="5" t="str">
        <f>"264420201009163534494"</f>
        <v>264420201009163534494</v>
      </c>
      <c r="C236" s="5" t="s">
        <v>11</v>
      </c>
      <c r="D236" s="5" t="str">
        <f>"洪曼茜"</f>
        <v>洪曼茜</v>
      </c>
      <c r="E236" s="5" t="str">
        <f>"女"</f>
        <v>女</v>
      </c>
    </row>
    <row r="237" spans="1:5" ht="30" customHeight="1">
      <c r="A237" s="4">
        <v>235</v>
      </c>
      <c r="B237" s="5" t="str">
        <f>"264420201009173119540"</f>
        <v>264420201009173119540</v>
      </c>
      <c r="C237" s="5" t="s">
        <v>11</v>
      </c>
      <c r="D237" s="5" t="str">
        <f>"陈喜章"</f>
        <v>陈喜章</v>
      </c>
      <c r="E237" s="5" t="str">
        <f>"女"</f>
        <v>女</v>
      </c>
    </row>
    <row r="238" spans="1:5" ht="30" customHeight="1">
      <c r="A238" s="4">
        <v>236</v>
      </c>
      <c r="B238" s="5" t="str">
        <f>"264420201009175021547"</f>
        <v>264420201009175021547</v>
      </c>
      <c r="C238" s="5" t="s">
        <v>11</v>
      </c>
      <c r="D238" s="5" t="str">
        <f>"李孟花"</f>
        <v>李孟花</v>
      </c>
      <c r="E238" s="5" t="str">
        <f>"女"</f>
        <v>女</v>
      </c>
    </row>
    <row r="239" spans="1:5" ht="30" customHeight="1">
      <c r="A239" s="4">
        <v>237</v>
      </c>
      <c r="B239" s="5" t="str">
        <f>"264420201009181009558"</f>
        <v>264420201009181009558</v>
      </c>
      <c r="C239" s="5" t="s">
        <v>11</v>
      </c>
      <c r="D239" s="5" t="str">
        <f>"朱珈宇"</f>
        <v>朱珈宇</v>
      </c>
      <c r="E239" s="5" t="str">
        <f>"女"</f>
        <v>女</v>
      </c>
    </row>
    <row r="240" spans="1:5" ht="30" customHeight="1">
      <c r="A240" s="4">
        <v>238</v>
      </c>
      <c r="B240" s="5" t="str">
        <f>"264420201009182054567"</f>
        <v>264420201009182054567</v>
      </c>
      <c r="C240" s="5" t="s">
        <v>11</v>
      </c>
      <c r="D240" s="5" t="str">
        <f>"黄日鼎"</f>
        <v>黄日鼎</v>
      </c>
      <c r="E240" s="5" t="str">
        <f>"男"</f>
        <v>男</v>
      </c>
    </row>
    <row r="241" spans="1:5" ht="30" customHeight="1">
      <c r="A241" s="4">
        <v>239</v>
      </c>
      <c r="B241" s="5" t="str">
        <f>"264420201009183401575"</f>
        <v>264420201009183401575</v>
      </c>
      <c r="C241" s="5" t="s">
        <v>11</v>
      </c>
      <c r="D241" s="5" t="str">
        <f>"符延孟"</f>
        <v>符延孟</v>
      </c>
      <c r="E241" s="5" t="str">
        <f>"男"</f>
        <v>男</v>
      </c>
    </row>
    <row r="242" spans="1:5" ht="30" customHeight="1">
      <c r="A242" s="4">
        <v>240</v>
      </c>
      <c r="B242" s="5" t="str">
        <f>"264420201009185420590"</f>
        <v>264420201009185420590</v>
      </c>
      <c r="C242" s="5" t="s">
        <v>11</v>
      </c>
      <c r="D242" s="5" t="str">
        <f>"符英武"</f>
        <v>符英武</v>
      </c>
      <c r="E242" s="5" t="str">
        <f>"男"</f>
        <v>男</v>
      </c>
    </row>
    <row r="243" spans="1:5" ht="30" customHeight="1">
      <c r="A243" s="4">
        <v>241</v>
      </c>
      <c r="B243" s="5" t="str">
        <f>"264420201009191028600"</f>
        <v>264420201009191028600</v>
      </c>
      <c r="C243" s="5" t="s">
        <v>11</v>
      </c>
      <c r="D243" s="5" t="str">
        <f>"袁宏丰"</f>
        <v>袁宏丰</v>
      </c>
      <c r="E243" s="5" t="str">
        <f>"男"</f>
        <v>男</v>
      </c>
    </row>
    <row r="244" spans="1:5" ht="30" customHeight="1">
      <c r="A244" s="4">
        <v>242</v>
      </c>
      <c r="B244" s="5" t="str">
        <f>"264420201009193504617"</f>
        <v>264420201009193504617</v>
      </c>
      <c r="C244" s="5" t="s">
        <v>11</v>
      </c>
      <c r="D244" s="5" t="str">
        <f>"陈淑桃"</f>
        <v>陈淑桃</v>
      </c>
      <c r="E244" s="5" t="str">
        <f>"女"</f>
        <v>女</v>
      </c>
    </row>
    <row r="245" spans="1:5" ht="30" customHeight="1">
      <c r="A245" s="4">
        <v>243</v>
      </c>
      <c r="B245" s="5" t="str">
        <f>"264420201009194211622"</f>
        <v>264420201009194211622</v>
      </c>
      <c r="C245" s="5" t="s">
        <v>11</v>
      </c>
      <c r="D245" s="5" t="str">
        <f>"刘成洋"</f>
        <v>刘成洋</v>
      </c>
      <c r="E245" s="5" t="str">
        <f>"男"</f>
        <v>男</v>
      </c>
    </row>
    <row r="246" spans="1:5" ht="30" customHeight="1">
      <c r="A246" s="4">
        <v>244</v>
      </c>
      <c r="B246" s="5" t="str">
        <f>"264420201009201634655"</f>
        <v>264420201009201634655</v>
      </c>
      <c r="C246" s="5" t="s">
        <v>11</v>
      </c>
      <c r="D246" s="5" t="str">
        <f>"唐秋瑜"</f>
        <v>唐秋瑜</v>
      </c>
      <c r="E246" s="5" t="str">
        <f>"女"</f>
        <v>女</v>
      </c>
    </row>
    <row r="247" spans="1:5" ht="30" customHeight="1">
      <c r="A247" s="4">
        <v>245</v>
      </c>
      <c r="B247" s="5" t="str">
        <f>"264420201009201945659"</f>
        <v>264420201009201945659</v>
      </c>
      <c r="C247" s="5" t="s">
        <v>11</v>
      </c>
      <c r="D247" s="5" t="str">
        <f>"蔡海菊"</f>
        <v>蔡海菊</v>
      </c>
      <c r="E247" s="5" t="str">
        <f>"女"</f>
        <v>女</v>
      </c>
    </row>
    <row r="248" spans="1:5" ht="30" customHeight="1">
      <c r="A248" s="4">
        <v>246</v>
      </c>
      <c r="B248" s="5" t="str">
        <f>"264420201009202019660"</f>
        <v>264420201009202019660</v>
      </c>
      <c r="C248" s="5" t="s">
        <v>11</v>
      </c>
      <c r="D248" s="5" t="str">
        <f>"符雪柔"</f>
        <v>符雪柔</v>
      </c>
      <c r="E248" s="5" t="str">
        <f>"女"</f>
        <v>女</v>
      </c>
    </row>
    <row r="249" spans="1:5" ht="30" customHeight="1">
      <c r="A249" s="4">
        <v>247</v>
      </c>
      <c r="B249" s="5" t="str">
        <f>"264420201009203207673"</f>
        <v>264420201009203207673</v>
      </c>
      <c r="C249" s="5" t="s">
        <v>11</v>
      </c>
      <c r="D249" s="5" t="str">
        <f>"羊杰智"</f>
        <v>羊杰智</v>
      </c>
      <c r="E249" s="5" t="str">
        <f>"男"</f>
        <v>男</v>
      </c>
    </row>
    <row r="250" spans="1:5" ht="30" customHeight="1">
      <c r="A250" s="4">
        <v>248</v>
      </c>
      <c r="B250" s="5" t="str">
        <f>"264420201009205528701"</f>
        <v>264420201009205528701</v>
      </c>
      <c r="C250" s="5" t="s">
        <v>11</v>
      </c>
      <c r="D250" s="5" t="str">
        <f>"钟雅芝"</f>
        <v>钟雅芝</v>
      </c>
      <c r="E250" s="5" t="str">
        <f>"女"</f>
        <v>女</v>
      </c>
    </row>
    <row r="251" spans="1:5" ht="30" customHeight="1">
      <c r="A251" s="4">
        <v>249</v>
      </c>
      <c r="B251" s="5" t="str">
        <f>"264420201009210634709"</f>
        <v>264420201009210634709</v>
      </c>
      <c r="C251" s="5" t="s">
        <v>11</v>
      </c>
      <c r="D251" s="5" t="str">
        <f>"王志阳"</f>
        <v>王志阳</v>
      </c>
      <c r="E251" s="5" t="str">
        <f>"男"</f>
        <v>男</v>
      </c>
    </row>
    <row r="252" spans="1:5" ht="30" customHeight="1">
      <c r="A252" s="4">
        <v>250</v>
      </c>
      <c r="B252" s="5" t="str">
        <f>"264420201009212121719"</f>
        <v>264420201009212121719</v>
      </c>
      <c r="C252" s="5" t="s">
        <v>11</v>
      </c>
      <c r="D252" s="5" t="str">
        <f>"李章麟"</f>
        <v>李章麟</v>
      </c>
      <c r="E252" s="5" t="str">
        <f>"男"</f>
        <v>男</v>
      </c>
    </row>
    <row r="253" spans="1:5" ht="30" customHeight="1">
      <c r="A253" s="4">
        <v>251</v>
      </c>
      <c r="B253" s="5" t="str">
        <f>"264420201009224619774"</f>
        <v>264420201009224619774</v>
      </c>
      <c r="C253" s="5" t="s">
        <v>11</v>
      </c>
      <c r="D253" s="5" t="str">
        <f>"韩玉敏"</f>
        <v>韩玉敏</v>
      </c>
      <c r="E253" s="5" t="str">
        <f aca="true" t="shared" si="7" ref="E253:E266">"女"</f>
        <v>女</v>
      </c>
    </row>
    <row r="254" spans="1:5" ht="30" customHeight="1">
      <c r="A254" s="4">
        <v>252</v>
      </c>
      <c r="B254" s="5" t="str">
        <f>"264420201010004139806"</f>
        <v>264420201010004139806</v>
      </c>
      <c r="C254" s="5" t="s">
        <v>11</v>
      </c>
      <c r="D254" s="5" t="str">
        <f>"吴冰洁"</f>
        <v>吴冰洁</v>
      </c>
      <c r="E254" s="5" t="str">
        <f t="shared" si="7"/>
        <v>女</v>
      </c>
    </row>
    <row r="255" spans="1:5" ht="30" customHeight="1">
      <c r="A255" s="4">
        <v>253</v>
      </c>
      <c r="B255" s="5" t="str">
        <f>"264420201010011027809"</f>
        <v>264420201010011027809</v>
      </c>
      <c r="C255" s="5" t="s">
        <v>11</v>
      </c>
      <c r="D255" s="5" t="str">
        <f>"王瑞欣"</f>
        <v>王瑞欣</v>
      </c>
      <c r="E255" s="5" t="str">
        <f t="shared" si="7"/>
        <v>女</v>
      </c>
    </row>
    <row r="256" spans="1:5" ht="30" customHeight="1">
      <c r="A256" s="4">
        <v>254</v>
      </c>
      <c r="B256" s="5" t="str">
        <f>"264420201010095355866"</f>
        <v>264420201010095355866</v>
      </c>
      <c r="C256" s="5" t="s">
        <v>11</v>
      </c>
      <c r="D256" s="5" t="str">
        <f>"韦莹慧"</f>
        <v>韦莹慧</v>
      </c>
      <c r="E256" s="5" t="str">
        <f t="shared" si="7"/>
        <v>女</v>
      </c>
    </row>
    <row r="257" spans="1:5" ht="30" customHeight="1">
      <c r="A257" s="4">
        <v>255</v>
      </c>
      <c r="B257" s="5" t="str">
        <f>"264420201010101251878"</f>
        <v>264420201010101251878</v>
      </c>
      <c r="C257" s="5" t="s">
        <v>11</v>
      </c>
      <c r="D257" s="5" t="str">
        <f>"吴春葵"</f>
        <v>吴春葵</v>
      </c>
      <c r="E257" s="5" t="str">
        <f t="shared" si="7"/>
        <v>女</v>
      </c>
    </row>
    <row r="258" spans="1:5" ht="30" customHeight="1">
      <c r="A258" s="4">
        <v>256</v>
      </c>
      <c r="B258" s="5" t="str">
        <f>"264420201010120129936"</f>
        <v>264420201010120129936</v>
      </c>
      <c r="C258" s="5" t="s">
        <v>11</v>
      </c>
      <c r="D258" s="5" t="str">
        <f>"陈芳委"</f>
        <v>陈芳委</v>
      </c>
      <c r="E258" s="5" t="str">
        <f t="shared" si="7"/>
        <v>女</v>
      </c>
    </row>
    <row r="259" spans="1:5" ht="30" customHeight="1">
      <c r="A259" s="4">
        <v>257</v>
      </c>
      <c r="B259" s="5" t="str">
        <f>"264420201010143159982"</f>
        <v>264420201010143159982</v>
      </c>
      <c r="C259" s="5" t="s">
        <v>11</v>
      </c>
      <c r="D259" s="5" t="str">
        <f>"谢雨夏"</f>
        <v>谢雨夏</v>
      </c>
      <c r="E259" s="5" t="str">
        <f t="shared" si="7"/>
        <v>女</v>
      </c>
    </row>
    <row r="260" spans="1:5" ht="30" customHeight="1">
      <c r="A260" s="4">
        <v>258</v>
      </c>
      <c r="B260" s="5" t="str">
        <f>"2644202010101529531005"</f>
        <v>2644202010101529531005</v>
      </c>
      <c r="C260" s="5" t="s">
        <v>11</v>
      </c>
      <c r="D260" s="5" t="str">
        <f>"俞权珍"</f>
        <v>俞权珍</v>
      </c>
      <c r="E260" s="5" t="str">
        <f t="shared" si="7"/>
        <v>女</v>
      </c>
    </row>
    <row r="261" spans="1:5" ht="30" customHeight="1">
      <c r="A261" s="4">
        <v>259</v>
      </c>
      <c r="B261" s="5" t="str">
        <f>"2644202010101624191028"</f>
        <v>2644202010101624191028</v>
      </c>
      <c r="C261" s="5" t="s">
        <v>11</v>
      </c>
      <c r="D261" s="5" t="str">
        <f>"符语真"</f>
        <v>符语真</v>
      </c>
      <c r="E261" s="5" t="str">
        <f t="shared" si="7"/>
        <v>女</v>
      </c>
    </row>
    <row r="262" spans="1:5" ht="30" customHeight="1">
      <c r="A262" s="4">
        <v>260</v>
      </c>
      <c r="B262" s="5" t="str">
        <f>"2644202010101656131045"</f>
        <v>2644202010101656131045</v>
      </c>
      <c r="C262" s="5" t="s">
        <v>11</v>
      </c>
      <c r="D262" s="5" t="str">
        <f>"翁恋"</f>
        <v>翁恋</v>
      </c>
      <c r="E262" s="5" t="str">
        <f t="shared" si="7"/>
        <v>女</v>
      </c>
    </row>
    <row r="263" spans="1:5" ht="30" customHeight="1">
      <c r="A263" s="4">
        <v>261</v>
      </c>
      <c r="B263" s="5" t="str">
        <f>"2644202010101917231085"</f>
        <v>2644202010101917231085</v>
      </c>
      <c r="C263" s="5" t="s">
        <v>11</v>
      </c>
      <c r="D263" s="5" t="str">
        <f>"矣建婷"</f>
        <v>矣建婷</v>
      </c>
      <c r="E263" s="5" t="str">
        <f t="shared" si="7"/>
        <v>女</v>
      </c>
    </row>
    <row r="264" spans="1:5" ht="30" customHeight="1">
      <c r="A264" s="4">
        <v>262</v>
      </c>
      <c r="B264" s="5" t="str">
        <f>"2644202010102114081122"</f>
        <v>2644202010102114081122</v>
      </c>
      <c r="C264" s="5" t="s">
        <v>11</v>
      </c>
      <c r="D264" s="5" t="str">
        <f>"邢啸林"</f>
        <v>邢啸林</v>
      </c>
      <c r="E264" s="5" t="str">
        <f t="shared" si="7"/>
        <v>女</v>
      </c>
    </row>
    <row r="265" spans="1:5" ht="30" customHeight="1">
      <c r="A265" s="4">
        <v>263</v>
      </c>
      <c r="B265" s="5" t="str">
        <f>"2644202010102127491126"</f>
        <v>2644202010102127491126</v>
      </c>
      <c r="C265" s="5" t="s">
        <v>11</v>
      </c>
      <c r="D265" s="5" t="str">
        <f>"吉聪羽"</f>
        <v>吉聪羽</v>
      </c>
      <c r="E265" s="5" t="str">
        <f t="shared" si="7"/>
        <v>女</v>
      </c>
    </row>
    <row r="266" spans="1:5" ht="30" customHeight="1">
      <c r="A266" s="4">
        <v>264</v>
      </c>
      <c r="B266" s="5" t="str">
        <f>"2644202010111043431215"</f>
        <v>2644202010111043431215</v>
      </c>
      <c r="C266" s="5" t="s">
        <v>11</v>
      </c>
      <c r="D266" s="5" t="str">
        <f>"陈少雪"</f>
        <v>陈少雪</v>
      </c>
      <c r="E266" s="5" t="str">
        <f t="shared" si="7"/>
        <v>女</v>
      </c>
    </row>
    <row r="267" spans="1:5" ht="30" customHeight="1">
      <c r="A267" s="4">
        <v>265</v>
      </c>
      <c r="B267" s="5" t="str">
        <f>"2644202010111051491216"</f>
        <v>2644202010111051491216</v>
      </c>
      <c r="C267" s="5" t="s">
        <v>11</v>
      </c>
      <c r="D267" s="5" t="str">
        <f>"黄伟"</f>
        <v>黄伟</v>
      </c>
      <c r="E267" s="5" t="str">
        <f>"男"</f>
        <v>男</v>
      </c>
    </row>
    <row r="268" spans="1:5" ht="30" customHeight="1">
      <c r="A268" s="4">
        <v>266</v>
      </c>
      <c r="B268" s="5" t="str">
        <f>"2644202010111232131248"</f>
        <v>2644202010111232131248</v>
      </c>
      <c r="C268" s="5" t="s">
        <v>11</v>
      </c>
      <c r="D268" s="5" t="str">
        <f>"王岭"</f>
        <v>王岭</v>
      </c>
      <c r="E268" s="5" t="str">
        <f>"女"</f>
        <v>女</v>
      </c>
    </row>
    <row r="269" spans="1:5" ht="30" customHeight="1">
      <c r="A269" s="4">
        <v>267</v>
      </c>
      <c r="B269" s="5" t="str">
        <f>"2644202010111331301261"</f>
        <v>2644202010111331301261</v>
      </c>
      <c r="C269" s="5" t="s">
        <v>11</v>
      </c>
      <c r="D269" s="5" t="str">
        <f>"李名扬"</f>
        <v>李名扬</v>
      </c>
      <c r="E269" s="5" t="str">
        <f>"女"</f>
        <v>女</v>
      </c>
    </row>
    <row r="270" spans="1:5" ht="30" customHeight="1">
      <c r="A270" s="4">
        <v>268</v>
      </c>
      <c r="B270" s="5" t="str">
        <f>"2644202010111612161309"</f>
        <v>2644202010111612161309</v>
      </c>
      <c r="C270" s="5" t="s">
        <v>11</v>
      </c>
      <c r="D270" s="5" t="str">
        <f>"邓小兰"</f>
        <v>邓小兰</v>
      </c>
      <c r="E270" s="5" t="str">
        <f>"女"</f>
        <v>女</v>
      </c>
    </row>
    <row r="271" spans="1:5" ht="30" customHeight="1">
      <c r="A271" s="4">
        <v>269</v>
      </c>
      <c r="B271" s="5" t="str">
        <f>"2644202010111650291326"</f>
        <v>2644202010111650291326</v>
      </c>
      <c r="C271" s="5" t="s">
        <v>11</v>
      </c>
      <c r="D271" s="5" t="str">
        <f>"王万星"</f>
        <v>王万星</v>
      </c>
      <c r="E271" s="5" t="str">
        <f>"男"</f>
        <v>男</v>
      </c>
    </row>
    <row r="272" spans="1:5" ht="30" customHeight="1">
      <c r="A272" s="4">
        <v>270</v>
      </c>
      <c r="B272" s="5" t="str">
        <f>"2644202010111718451340"</f>
        <v>2644202010111718451340</v>
      </c>
      <c r="C272" s="5" t="s">
        <v>11</v>
      </c>
      <c r="D272" s="5" t="str">
        <f>"杨文瑞"</f>
        <v>杨文瑞</v>
      </c>
      <c r="E272" s="5" t="str">
        <f aca="true" t="shared" si="8" ref="E272:E277">"女"</f>
        <v>女</v>
      </c>
    </row>
    <row r="273" spans="1:5" ht="30" customHeight="1">
      <c r="A273" s="4">
        <v>271</v>
      </c>
      <c r="B273" s="5" t="str">
        <f>"2644202010111932241374"</f>
        <v>2644202010111932241374</v>
      </c>
      <c r="C273" s="5" t="s">
        <v>11</v>
      </c>
      <c r="D273" s="5" t="str">
        <f>"李艳"</f>
        <v>李艳</v>
      </c>
      <c r="E273" s="5" t="str">
        <f t="shared" si="8"/>
        <v>女</v>
      </c>
    </row>
    <row r="274" spans="1:5" ht="30" customHeight="1">
      <c r="A274" s="4">
        <v>272</v>
      </c>
      <c r="B274" s="5" t="str">
        <f>"2644202010111937271376"</f>
        <v>2644202010111937271376</v>
      </c>
      <c r="C274" s="5" t="s">
        <v>11</v>
      </c>
      <c r="D274" s="5" t="str">
        <f>"李小双"</f>
        <v>李小双</v>
      </c>
      <c r="E274" s="5" t="str">
        <f t="shared" si="8"/>
        <v>女</v>
      </c>
    </row>
    <row r="275" spans="1:5" ht="30" customHeight="1">
      <c r="A275" s="4">
        <v>273</v>
      </c>
      <c r="B275" s="5" t="str">
        <f>"2644202010112104281406"</f>
        <v>2644202010112104281406</v>
      </c>
      <c r="C275" s="5" t="s">
        <v>11</v>
      </c>
      <c r="D275" s="5" t="str">
        <f>"王思捷"</f>
        <v>王思捷</v>
      </c>
      <c r="E275" s="5" t="str">
        <f t="shared" si="8"/>
        <v>女</v>
      </c>
    </row>
    <row r="276" spans="1:5" ht="30" customHeight="1">
      <c r="A276" s="4">
        <v>274</v>
      </c>
      <c r="B276" s="5" t="str">
        <f>"2644202010112115271409"</f>
        <v>2644202010112115271409</v>
      </c>
      <c r="C276" s="5" t="s">
        <v>11</v>
      </c>
      <c r="D276" s="5" t="str">
        <f>"刘忆秀"</f>
        <v>刘忆秀</v>
      </c>
      <c r="E276" s="5" t="str">
        <f t="shared" si="8"/>
        <v>女</v>
      </c>
    </row>
    <row r="277" spans="1:5" ht="30" customHeight="1">
      <c r="A277" s="4">
        <v>275</v>
      </c>
      <c r="B277" s="5" t="str">
        <f>"2644202010112118351413"</f>
        <v>2644202010112118351413</v>
      </c>
      <c r="C277" s="5" t="s">
        <v>11</v>
      </c>
      <c r="D277" s="5" t="str">
        <f>"陈春兰"</f>
        <v>陈春兰</v>
      </c>
      <c r="E277" s="5" t="str">
        <f t="shared" si="8"/>
        <v>女</v>
      </c>
    </row>
    <row r="278" spans="1:5" ht="30" customHeight="1">
      <c r="A278" s="4">
        <v>276</v>
      </c>
      <c r="B278" s="5" t="str">
        <f>"2644202010112232271436"</f>
        <v>2644202010112232271436</v>
      </c>
      <c r="C278" s="5" t="s">
        <v>11</v>
      </c>
      <c r="D278" s="5" t="str">
        <f>"黄华兴"</f>
        <v>黄华兴</v>
      </c>
      <c r="E278" s="5" t="str">
        <f>"男"</f>
        <v>男</v>
      </c>
    </row>
    <row r="279" spans="1:5" ht="30" customHeight="1">
      <c r="A279" s="4">
        <v>277</v>
      </c>
      <c r="B279" s="5" t="str">
        <f>"2644202010120926391483"</f>
        <v>2644202010120926391483</v>
      </c>
      <c r="C279" s="5" t="s">
        <v>11</v>
      </c>
      <c r="D279" s="5" t="str">
        <f>"王玉娟"</f>
        <v>王玉娟</v>
      </c>
      <c r="E279" s="5" t="str">
        <f>"女"</f>
        <v>女</v>
      </c>
    </row>
    <row r="280" spans="1:5" ht="30" customHeight="1">
      <c r="A280" s="4">
        <v>278</v>
      </c>
      <c r="B280" s="5" t="str">
        <f>"2644202010121106551523"</f>
        <v>2644202010121106551523</v>
      </c>
      <c r="C280" s="5" t="s">
        <v>11</v>
      </c>
      <c r="D280" s="5" t="str">
        <f>"贺庆"</f>
        <v>贺庆</v>
      </c>
      <c r="E280" s="5" t="str">
        <f>"女"</f>
        <v>女</v>
      </c>
    </row>
    <row r="281" spans="1:5" ht="30" customHeight="1">
      <c r="A281" s="4">
        <v>279</v>
      </c>
      <c r="B281" s="5" t="str">
        <f>"2644202010121152521547"</f>
        <v>2644202010121152521547</v>
      </c>
      <c r="C281" s="5" t="s">
        <v>11</v>
      </c>
      <c r="D281" s="5" t="str">
        <f>"吴多健"</f>
        <v>吴多健</v>
      </c>
      <c r="E281" s="5" t="str">
        <f>"男"</f>
        <v>男</v>
      </c>
    </row>
    <row r="282" spans="1:5" ht="30" customHeight="1">
      <c r="A282" s="4">
        <v>280</v>
      </c>
      <c r="B282" s="5" t="str">
        <f>"2644202010121300511564"</f>
        <v>2644202010121300511564</v>
      </c>
      <c r="C282" s="5" t="s">
        <v>11</v>
      </c>
      <c r="D282" s="5" t="str">
        <f>"林维特"</f>
        <v>林维特</v>
      </c>
      <c r="E282" s="5" t="str">
        <f>"男"</f>
        <v>男</v>
      </c>
    </row>
    <row r="283" spans="1:5" ht="30" customHeight="1">
      <c r="A283" s="4">
        <v>281</v>
      </c>
      <c r="B283" s="5" t="str">
        <f>"2644202010121506331600"</f>
        <v>2644202010121506331600</v>
      </c>
      <c r="C283" s="5" t="s">
        <v>11</v>
      </c>
      <c r="D283" s="5" t="str">
        <f>"罗朝敏"</f>
        <v>罗朝敏</v>
      </c>
      <c r="E283" s="5" t="str">
        <f>"女"</f>
        <v>女</v>
      </c>
    </row>
    <row r="284" spans="1:5" ht="30" customHeight="1">
      <c r="A284" s="4">
        <v>282</v>
      </c>
      <c r="B284" s="5" t="str">
        <f>"2644202010121520011610"</f>
        <v>2644202010121520011610</v>
      </c>
      <c r="C284" s="5" t="s">
        <v>11</v>
      </c>
      <c r="D284" s="5" t="str">
        <f>"陈小艺 "</f>
        <v>陈小艺 </v>
      </c>
      <c r="E284" s="5" t="str">
        <f>"女"</f>
        <v>女</v>
      </c>
    </row>
    <row r="285" spans="1:5" ht="30" customHeight="1">
      <c r="A285" s="4">
        <v>283</v>
      </c>
      <c r="B285" s="5" t="str">
        <f>"2644202010121814261675"</f>
        <v>2644202010121814261675</v>
      </c>
      <c r="C285" s="5" t="s">
        <v>11</v>
      </c>
      <c r="D285" s="5" t="str">
        <f>"陈圣杰"</f>
        <v>陈圣杰</v>
      </c>
      <c r="E285" s="5" t="str">
        <f>"男"</f>
        <v>男</v>
      </c>
    </row>
    <row r="286" spans="1:5" ht="30" customHeight="1">
      <c r="A286" s="4">
        <v>284</v>
      </c>
      <c r="B286" s="5" t="str">
        <f>"2644202010121846531681"</f>
        <v>2644202010121846531681</v>
      </c>
      <c r="C286" s="5" t="s">
        <v>11</v>
      </c>
      <c r="D286" s="5" t="str">
        <f>"刘玲"</f>
        <v>刘玲</v>
      </c>
      <c r="E286" s="5" t="str">
        <f aca="true" t="shared" si="9" ref="E286:E293">"女"</f>
        <v>女</v>
      </c>
    </row>
    <row r="287" spans="1:5" ht="30" customHeight="1">
      <c r="A287" s="4">
        <v>285</v>
      </c>
      <c r="B287" s="5" t="str">
        <f>"2644202010121907231687"</f>
        <v>2644202010121907231687</v>
      </c>
      <c r="C287" s="5" t="s">
        <v>11</v>
      </c>
      <c r="D287" s="5" t="str">
        <f>"徐庆丹"</f>
        <v>徐庆丹</v>
      </c>
      <c r="E287" s="5" t="str">
        <f t="shared" si="9"/>
        <v>女</v>
      </c>
    </row>
    <row r="288" spans="1:5" ht="30" customHeight="1">
      <c r="A288" s="4">
        <v>286</v>
      </c>
      <c r="B288" s="5" t="str">
        <f>"2644202010122237211738"</f>
        <v>2644202010122237211738</v>
      </c>
      <c r="C288" s="5" t="s">
        <v>11</v>
      </c>
      <c r="D288" s="5" t="str">
        <f>"符传丹"</f>
        <v>符传丹</v>
      </c>
      <c r="E288" s="5" t="str">
        <f t="shared" si="9"/>
        <v>女</v>
      </c>
    </row>
    <row r="289" spans="1:5" ht="30" customHeight="1">
      <c r="A289" s="4">
        <v>287</v>
      </c>
      <c r="B289" s="5" t="str">
        <f>"2644202010131036221810"</f>
        <v>2644202010131036221810</v>
      </c>
      <c r="C289" s="5" t="s">
        <v>11</v>
      </c>
      <c r="D289" s="5" t="str">
        <f>"符万宇"</f>
        <v>符万宇</v>
      </c>
      <c r="E289" s="5" t="str">
        <f t="shared" si="9"/>
        <v>女</v>
      </c>
    </row>
    <row r="290" spans="1:5" ht="30" customHeight="1">
      <c r="A290" s="4">
        <v>288</v>
      </c>
      <c r="B290" s="5" t="str">
        <f>"2644202010131059151821"</f>
        <v>2644202010131059151821</v>
      </c>
      <c r="C290" s="5" t="s">
        <v>11</v>
      </c>
      <c r="D290" s="5" t="str">
        <f>"文喜"</f>
        <v>文喜</v>
      </c>
      <c r="E290" s="5" t="str">
        <f t="shared" si="9"/>
        <v>女</v>
      </c>
    </row>
    <row r="291" spans="1:5" ht="30" customHeight="1">
      <c r="A291" s="4">
        <v>289</v>
      </c>
      <c r="B291" s="5" t="str">
        <f>"2644202010131439431875"</f>
        <v>2644202010131439431875</v>
      </c>
      <c r="C291" s="5" t="s">
        <v>11</v>
      </c>
      <c r="D291" s="5" t="str">
        <f>"王永秀"</f>
        <v>王永秀</v>
      </c>
      <c r="E291" s="5" t="str">
        <f t="shared" si="9"/>
        <v>女</v>
      </c>
    </row>
    <row r="292" spans="1:5" ht="30" customHeight="1">
      <c r="A292" s="4">
        <v>290</v>
      </c>
      <c r="B292" s="5" t="str">
        <f>"2644202010131516591886"</f>
        <v>2644202010131516591886</v>
      </c>
      <c r="C292" s="5" t="s">
        <v>11</v>
      </c>
      <c r="D292" s="5" t="str">
        <f>"谢晶霞"</f>
        <v>谢晶霞</v>
      </c>
      <c r="E292" s="5" t="str">
        <f t="shared" si="9"/>
        <v>女</v>
      </c>
    </row>
    <row r="293" spans="1:5" ht="30" customHeight="1">
      <c r="A293" s="4">
        <v>291</v>
      </c>
      <c r="B293" s="5" t="str">
        <f>"2644202010131625361912"</f>
        <v>2644202010131625361912</v>
      </c>
      <c r="C293" s="5" t="s">
        <v>11</v>
      </c>
      <c r="D293" s="5" t="str">
        <f>"蔡惠卿"</f>
        <v>蔡惠卿</v>
      </c>
      <c r="E293" s="5" t="str">
        <f t="shared" si="9"/>
        <v>女</v>
      </c>
    </row>
    <row r="294" spans="1:5" ht="30" customHeight="1">
      <c r="A294" s="4">
        <v>292</v>
      </c>
      <c r="B294" s="5" t="str">
        <f>"2644202010131801431936"</f>
        <v>2644202010131801431936</v>
      </c>
      <c r="C294" s="5" t="s">
        <v>11</v>
      </c>
      <c r="D294" s="5" t="str">
        <f>"孙器祥"</f>
        <v>孙器祥</v>
      </c>
      <c r="E294" s="5" t="str">
        <f>"男"</f>
        <v>男</v>
      </c>
    </row>
    <row r="295" spans="1:5" ht="30" customHeight="1">
      <c r="A295" s="4">
        <v>293</v>
      </c>
      <c r="B295" s="5" t="str">
        <f>"2644202010132052561966"</f>
        <v>2644202010132052561966</v>
      </c>
      <c r="C295" s="5" t="s">
        <v>11</v>
      </c>
      <c r="D295" s="5" t="str">
        <f>"许程"</f>
        <v>许程</v>
      </c>
      <c r="E295" s="5" t="str">
        <f>"男"</f>
        <v>男</v>
      </c>
    </row>
    <row r="296" spans="1:5" ht="30" customHeight="1">
      <c r="A296" s="4">
        <v>294</v>
      </c>
      <c r="B296" s="5" t="str">
        <f>"2644202010132248182002"</f>
        <v>2644202010132248182002</v>
      </c>
      <c r="C296" s="5" t="s">
        <v>11</v>
      </c>
      <c r="D296" s="5" t="str">
        <f>"王紫倩"</f>
        <v>王紫倩</v>
      </c>
      <c r="E296" s="5" t="str">
        <f>"女"</f>
        <v>女</v>
      </c>
    </row>
    <row r="297" spans="1:5" ht="30" customHeight="1">
      <c r="A297" s="4">
        <v>295</v>
      </c>
      <c r="B297" s="5" t="str">
        <f>"2644202010141210022079"</f>
        <v>2644202010141210022079</v>
      </c>
      <c r="C297" s="5" t="s">
        <v>11</v>
      </c>
      <c r="D297" s="5" t="str">
        <f>"王盈"</f>
        <v>王盈</v>
      </c>
      <c r="E297" s="5" t="str">
        <f>"女"</f>
        <v>女</v>
      </c>
    </row>
    <row r="298" spans="1:5" ht="30" customHeight="1">
      <c r="A298" s="4">
        <v>296</v>
      </c>
      <c r="B298" s="5" t="str">
        <f>"2644202010141309522094"</f>
        <v>2644202010141309522094</v>
      </c>
      <c r="C298" s="5" t="s">
        <v>11</v>
      </c>
      <c r="D298" s="5" t="str">
        <f>"杜秀婷"</f>
        <v>杜秀婷</v>
      </c>
      <c r="E298" s="5" t="str">
        <f>"女"</f>
        <v>女</v>
      </c>
    </row>
    <row r="299" spans="1:5" ht="30" customHeight="1">
      <c r="A299" s="4">
        <v>297</v>
      </c>
      <c r="B299" s="5" t="str">
        <f>"2644202010141356462102"</f>
        <v>2644202010141356462102</v>
      </c>
      <c r="C299" s="5" t="s">
        <v>11</v>
      </c>
      <c r="D299" s="5" t="str">
        <f>"吴欣瑾"</f>
        <v>吴欣瑾</v>
      </c>
      <c r="E299" s="5" t="str">
        <f>"女"</f>
        <v>女</v>
      </c>
    </row>
    <row r="300" spans="1:5" ht="30" customHeight="1">
      <c r="A300" s="4">
        <v>298</v>
      </c>
      <c r="B300" s="5" t="str">
        <f>"2644202010141528262130"</f>
        <v>2644202010141528262130</v>
      </c>
      <c r="C300" s="5" t="s">
        <v>11</v>
      </c>
      <c r="D300" s="5" t="str">
        <f>"符西西"</f>
        <v>符西西</v>
      </c>
      <c r="E300" s="5" t="str">
        <f>"女"</f>
        <v>女</v>
      </c>
    </row>
    <row r="301" spans="1:5" ht="30" customHeight="1">
      <c r="A301" s="4">
        <v>299</v>
      </c>
      <c r="B301" s="5" t="str">
        <f>"2644202010141604412143"</f>
        <v>2644202010141604412143</v>
      </c>
      <c r="C301" s="5" t="s">
        <v>11</v>
      </c>
      <c r="D301" s="5" t="str">
        <f>"刘顺献"</f>
        <v>刘顺献</v>
      </c>
      <c r="E301" s="5" t="str">
        <f>"男"</f>
        <v>男</v>
      </c>
    </row>
    <row r="302" spans="1:5" ht="30" customHeight="1">
      <c r="A302" s="4">
        <v>300</v>
      </c>
      <c r="B302" s="5" t="str">
        <f>"2644202010141701502166"</f>
        <v>2644202010141701502166</v>
      </c>
      <c r="C302" s="5" t="s">
        <v>11</v>
      </c>
      <c r="D302" s="5" t="str">
        <f>"梁亚敏"</f>
        <v>梁亚敏</v>
      </c>
      <c r="E302" s="5" t="str">
        <f>"女"</f>
        <v>女</v>
      </c>
    </row>
    <row r="303" spans="1:5" ht="30" customHeight="1">
      <c r="A303" s="4">
        <v>301</v>
      </c>
      <c r="B303" s="5" t="str">
        <f>"2644202010141906102201"</f>
        <v>2644202010141906102201</v>
      </c>
      <c r="C303" s="5" t="s">
        <v>11</v>
      </c>
      <c r="D303" s="5" t="str">
        <f>"朱秋柏"</f>
        <v>朱秋柏</v>
      </c>
      <c r="E303" s="5" t="str">
        <f>"女"</f>
        <v>女</v>
      </c>
    </row>
    <row r="304" spans="1:5" ht="30" customHeight="1">
      <c r="A304" s="4">
        <v>302</v>
      </c>
      <c r="B304" s="5" t="str">
        <f>"2644202010141934062212"</f>
        <v>2644202010141934062212</v>
      </c>
      <c r="C304" s="5" t="s">
        <v>11</v>
      </c>
      <c r="D304" s="5" t="str">
        <f>"梁珠琳"</f>
        <v>梁珠琳</v>
      </c>
      <c r="E304" s="5" t="str">
        <f>"女"</f>
        <v>女</v>
      </c>
    </row>
    <row r="305" spans="1:5" ht="30" customHeight="1">
      <c r="A305" s="4">
        <v>303</v>
      </c>
      <c r="B305" s="5" t="str">
        <f>"2644202010142007292220"</f>
        <v>2644202010142007292220</v>
      </c>
      <c r="C305" s="5" t="s">
        <v>11</v>
      </c>
      <c r="D305" s="5" t="str">
        <f>"钟诗蕾"</f>
        <v>钟诗蕾</v>
      </c>
      <c r="E305" s="5" t="str">
        <f>"女"</f>
        <v>女</v>
      </c>
    </row>
    <row r="306" spans="1:5" ht="30" customHeight="1">
      <c r="A306" s="4">
        <v>304</v>
      </c>
      <c r="B306" s="5" t="str">
        <f>"2644202010142104472240"</f>
        <v>2644202010142104472240</v>
      </c>
      <c r="C306" s="5" t="s">
        <v>11</v>
      </c>
      <c r="D306" s="5" t="str">
        <f>"许还方"</f>
        <v>许还方</v>
      </c>
      <c r="E306" s="5" t="str">
        <f>"女"</f>
        <v>女</v>
      </c>
    </row>
    <row r="307" spans="1:5" ht="30" customHeight="1">
      <c r="A307" s="4">
        <v>305</v>
      </c>
      <c r="B307" s="5" t="str">
        <f>"2644202010150004022301"</f>
        <v>2644202010150004022301</v>
      </c>
      <c r="C307" s="5" t="s">
        <v>11</v>
      </c>
      <c r="D307" s="5" t="str">
        <f>"王欢"</f>
        <v>王欢</v>
      </c>
      <c r="E307" s="5" t="str">
        <f>"男"</f>
        <v>男</v>
      </c>
    </row>
    <row r="308" spans="1:5" ht="30" customHeight="1">
      <c r="A308" s="4">
        <v>306</v>
      </c>
      <c r="B308" s="5" t="str">
        <f>"2644202010151159052391"</f>
        <v>2644202010151159052391</v>
      </c>
      <c r="C308" s="5" t="s">
        <v>11</v>
      </c>
      <c r="D308" s="5" t="str">
        <f>"王小娜"</f>
        <v>王小娜</v>
      </c>
      <c r="E308" s="5" t="str">
        <f aca="true" t="shared" si="10" ref="E308:E313">"女"</f>
        <v>女</v>
      </c>
    </row>
    <row r="309" spans="1:5" ht="30" customHeight="1">
      <c r="A309" s="4">
        <v>307</v>
      </c>
      <c r="B309" s="5" t="str">
        <f>"2644202010151453182422"</f>
        <v>2644202010151453182422</v>
      </c>
      <c r="C309" s="5" t="s">
        <v>11</v>
      </c>
      <c r="D309" s="5" t="str">
        <f>"黎瑞雅"</f>
        <v>黎瑞雅</v>
      </c>
      <c r="E309" s="5" t="str">
        <f t="shared" si="10"/>
        <v>女</v>
      </c>
    </row>
    <row r="310" spans="1:5" ht="30" customHeight="1">
      <c r="A310" s="4">
        <v>308</v>
      </c>
      <c r="B310" s="5" t="str">
        <f>"2644202010151636072463"</f>
        <v>2644202010151636072463</v>
      </c>
      <c r="C310" s="5" t="s">
        <v>11</v>
      </c>
      <c r="D310" s="5" t="str">
        <f>"钟佳洁"</f>
        <v>钟佳洁</v>
      </c>
      <c r="E310" s="5" t="str">
        <f t="shared" si="10"/>
        <v>女</v>
      </c>
    </row>
    <row r="311" spans="1:5" ht="30" customHeight="1">
      <c r="A311" s="4">
        <v>309</v>
      </c>
      <c r="B311" s="5" t="str">
        <f>"2644202010090832055"</f>
        <v>2644202010090832055</v>
      </c>
      <c r="C311" s="5" t="s">
        <v>12</v>
      </c>
      <c r="D311" s="5" t="str">
        <f>"姚沫"</f>
        <v>姚沫</v>
      </c>
      <c r="E311" s="5" t="str">
        <f t="shared" si="10"/>
        <v>女</v>
      </c>
    </row>
    <row r="312" spans="1:5" ht="30" customHeight="1">
      <c r="A312" s="4">
        <v>310</v>
      </c>
      <c r="B312" s="5" t="str">
        <f>"2644202010090832156"</f>
        <v>2644202010090832156</v>
      </c>
      <c r="C312" s="5" t="s">
        <v>12</v>
      </c>
      <c r="D312" s="5" t="str">
        <f>"李嘉怡"</f>
        <v>李嘉怡</v>
      </c>
      <c r="E312" s="5" t="str">
        <f t="shared" si="10"/>
        <v>女</v>
      </c>
    </row>
    <row r="313" spans="1:5" ht="30" customHeight="1">
      <c r="A313" s="4">
        <v>311</v>
      </c>
      <c r="B313" s="5" t="str">
        <f>"2644202010090834458"</f>
        <v>2644202010090834458</v>
      </c>
      <c r="C313" s="5" t="s">
        <v>12</v>
      </c>
      <c r="D313" s="5" t="str">
        <f>"戴蕊"</f>
        <v>戴蕊</v>
      </c>
      <c r="E313" s="5" t="str">
        <f t="shared" si="10"/>
        <v>女</v>
      </c>
    </row>
    <row r="314" spans="1:5" ht="30" customHeight="1">
      <c r="A314" s="4">
        <v>312</v>
      </c>
      <c r="B314" s="5" t="str">
        <f>"26442020100908352110"</f>
        <v>26442020100908352110</v>
      </c>
      <c r="C314" s="5" t="s">
        <v>12</v>
      </c>
      <c r="D314" s="5" t="str">
        <f>"陈保桦"</f>
        <v>陈保桦</v>
      </c>
      <c r="E314" s="5" t="str">
        <f>"男"</f>
        <v>男</v>
      </c>
    </row>
    <row r="315" spans="1:5" ht="30" customHeight="1">
      <c r="A315" s="4">
        <v>313</v>
      </c>
      <c r="B315" s="5" t="str">
        <f>"26442020100908385915"</f>
        <v>26442020100908385915</v>
      </c>
      <c r="C315" s="5" t="s">
        <v>12</v>
      </c>
      <c r="D315" s="5" t="str">
        <f>"吴若琦"</f>
        <v>吴若琦</v>
      </c>
      <c r="E315" s="5" t="str">
        <f>"女"</f>
        <v>女</v>
      </c>
    </row>
    <row r="316" spans="1:5" ht="30" customHeight="1">
      <c r="A316" s="4">
        <v>314</v>
      </c>
      <c r="B316" s="5" t="str">
        <f>"26442020100908423321"</f>
        <v>26442020100908423321</v>
      </c>
      <c r="C316" s="5" t="s">
        <v>12</v>
      </c>
      <c r="D316" s="5" t="str">
        <f>"陈虹旭"</f>
        <v>陈虹旭</v>
      </c>
      <c r="E316" s="5" t="str">
        <f>"女"</f>
        <v>女</v>
      </c>
    </row>
    <row r="317" spans="1:5" ht="30" customHeight="1">
      <c r="A317" s="4">
        <v>315</v>
      </c>
      <c r="B317" s="5" t="str">
        <f>"26442020100908450226"</f>
        <v>26442020100908450226</v>
      </c>
      <c r="C317" s="5" t="s">
        <v>12</v>
      </c>
      <c r="D317" s="5" t="str">
        <f>"宋宝萱"</f>
        <v>宋宝萱</v>
      </c>
      <c r="E317" s="5" t="str">
        <f>"女"</f>
        <v>女</v>
      </c>
    </row>
    <row r="318" spans="1:5" ht="30" customHeight="1">
      <c r="A318" s="4">
        <v>316</v>
      </c>
      <c r="B318" s="5" t="str">
        <f>"26442020100908530442"</f>
        <v>26442020100908530442</v>
      </c>
      <c r="C318" s="5" t="s">
        <v>12</v>
      </c>
      <c r="D318" s="5" t="str">
        <f>"叶飞"</f>
        <v>叶飞</v>
      </c>
      <c r="E318" s="5" t="str">
        <f aca="true" t="shared" si="11" ref="E318:E326">"男"</f>
        <v>男</v>
      </c>
    </row>
    <row r="319" spans="1:5" ht="30" customHeight="1">
      <c r="A319" s="4">
        <v>317</v>
      </c>
      <c r="B319" s="5" t="str">
        <f>"26442020100909041154"</f>
        <v>26442020100909041154</v>
      </c>
      <c r="C319" s="5" t="s">
        <v>12</v>
      </c>
      <c r="D319" s="5" t="str">
        <f>"王垂瑾"</f>
        <v>王垂瑾</v>
      </c>
      <c r="E319" s="5" t="str">
        <f t="shared" si="11"/>
        <v>男</v>
      </c>
    </row>
    <row r="320" spans="1:5" ht="30" customHeight="1">
      <c r="A320" s="4">
        <v>318</v>
      </c>
      <c r="B320" s="5" t="str">
        <f>"26442020100909042655"</f>
        <v>26442020100909042655</v>
      </c>
      <c r="C320" s="5" t="s">
        <v>12</v>
      </c>
      <c r="D320" s="5" t="str">
        <f>"羊壮伟"</f>
        <v>羊壮伟</v>
      </c>
      <c r="E320" s="5" t="str">
        <f t="shared" si="11"/>
        <v>男</v>
      </c>
    </row>
    <row r="321" spans="1:5" ht="30" customHeight="1">
      <c r="A321" s="4">
        <v>319</v>
      </c>
      <c r="B321" s="5" t="str">
        <f>"26442020100909145068"</f>
        <v>26442020100909145068</v>
      </c>
      <c r="C321" s="5" t="s">
        <v>12</v>
      </c>
      <c r="D321" s="5" t="str">
        <f>"黄远培"</f>
        <v>黄远培</v>
      </c>
      <c r="E321" s="5" t="str">
        <f t="shared" si="11"/>
        <v>男</v>
      </c>
    </row>
    <row r="322" spans="1:5" ht="30" customHeight="1">
      <c r="A322" s="4">
        <v>320</v>
      </c>
      <c r="B322" s="5" t="str">
        <f>"26442020100909195776"</f>
        <v>26442020100909195776</v>
      </c>
      <c r="C322" s="5" t="s">
        <v>12</v>
      </c>
      <c r="D322" s="5" t="str">
        <f>"符芳若"</f>
        <v>符芳若</v>
      </c>
      <c r="E322" s="5" t="str">
        <f t="shared" si="11"/>
        <v>男</v>
      </c>
    </row>
    <row r="323" spans="1:5" ht="30" customHeight="1">
      <c r="A323" s="4">
        <v>321</v>
      </c>
      <c r="B323" s="5" t="str">
        <f>"26442020100909224483"</f>
        <v>26442020100909224483</v>
      </c>
      <c r="C323" s="5" t="s">
        <v>12</v>
      </c>
      <c r="D323" s="5" t="str">
        <f>"唐海宽"</f>
        <v>唐海宽</v>
      </c>
      <c r="E323" s="5" t="str">
        <f t="shared" si="11"/>
        <v>男</v>
      </c>
    </row>
    <row r="324" spans="1:5" ht="30" customHeight="1">
      <c r="A324" s="4">
        <v>322</v>
      </c>
      <c r="B324" s="5" t="str">
        <f>"26442020100909341095"</f>
        <v>26442020100909341095</v>
      </c>
      <c r="C324" s="5" t="s">
        <v>12</v>
      </c>
      <c r="D324" s="5" t="str">
        <f>"李德林"</f>
        <v>李德林</v>
      </c>
      <c r="E324" s="5" t="str">
        <f t="shared" si="11"/>
        <v>男</v>
      </c>
    </row>
    <row r="325" spans="1:5" ht="30" customHeight="1">
      <c r="A325" s="4">
        <v>323</v>
      </c>
      <c r="B325" s="5" t="str">
        <f>"264420201009093817103"</f>
        <v>264420201009093817103</v>
      </c>
      <c r="C325" s="5" t="s">
        <v>12</v>
      </c>
      <c r="D325" s="5" t="str">
        <f>"林友"</f>
        <v>林友</v>
      </c>
      <c r="E325" s="5" t="str">
        <f t="shared" si="11"/>
        <v>男</v>
      </c>
    </row>
    <row r="326" spans="1:5" ht="30" customHeight="1">
      <c r="A326" s="4">
        <v>324</v>
      </c>
      <c r="B326" s="5" t="str">
        <f>"264420201009094642109"</f>
        <v>264420201009094642109</v>
      </c>
      <c r="C326" s="5" t="s">
        <v>12</v>
      </c>
      <c r="D326" s="5" t="str">
        <f>"符宇振"</f>
        <v>符宇振</v>
      </c>
      <c r="E326" s="5" t="str">
        <f t="shared" si="11"/>
        <v>男</v>
      </c>
    </row>
    <row r="327" spans="1:5" ht="30" customHeight="1">
      <c r="A327" s="4">
        <v>325</v>
      </c>
      <c r="B327" s="5" t="str">
        <f>"264420201009095423122"</f>
        <v>264420201009095423122</v>
      </c>
      <c r="C327" s="5" t="s">
        <v>12</v>
      </c>
      <c r="D327" s="5" t="str">
        <f>"符茵"</f>
        <v>符茵</v>
      </c>
      <c r="E327" s="5" t="str">
        <f>"女"</f>
        <v>女</v>
      </c>
    </row>
    <row r="328" spans="1:5" ht="30" customHeight="1">
      <c r="A328" s="4">
        <v>326</v>
      </c>
      <c r="B328" s="5" t="str">
        <f>"264420201009101236139"</f>
        <v>264420201009101236139</v>
      </c>
      <c r="C328" s="5" t="s">
        <v>12</v>
      </c>
      <c r="D328" s="5" t="str">
        <f>"杨珺"</f>
        <v>杨珺</v>
      </c>
      <c r="E328" s="5" t="str">
        <f>"女"</f>
        <v>女</v>
      </c>
    </row>
    <row r="329" spans="1:5" ht="30" customHeight="1">
      <c r="A329" s="4">
        <v>327</v>
      </c>
      <c r="B329" s="5" t="str">
        <f>"264420201009101341143"</f>
        <v>264420201009101341143</v>
      </c>
      <c r="C329" s="5" t="s">
        <v>12</v>
      </c>
      <c r="D329" s="5" t="str">
        <f>"卢丹丹"</f>
        <v>卢丹丹</v>
      </c>
      <c r="E329" s="5" t="str">
        <f>"女"</f>
        <v>女</v>
      </c>
    </row>
    <row r="330" spans="1:5" ht="30" customHeight="1">
      <c r="A330" s="4">
        <v>328</v>
      </c>
      <c r="B330" s="5" t="str">
        <f>"264420201009101353144"</f>
        <v>264420201009101353144</v>
      </c>
      <c r="C330" s="5" t="s">
        <v>12</v>
      </c>
      <c r="D330" s="5" t="str">
        <f>"吴海欣"</f>
        <v>吴海欣</v>
      </c>
      <c r="E330" s="5" t="str">
        <f>"女"</f>
        <v>女</v>
      </c>
    </row>
    <row r="331" spans="1:5" ht="30" customHeight="1">
      <c r="A331" s="4">
        <v>329</v>
      </c>
      <c r="B331" s="5" t="str">
        <f>"264420201009101701148"</f>
        <v>264420201009101701148</v>
      </c>
      <c r="C331" s="5" t="s">
        <v>12</v>
      </c>
      <c r="D331" s="5" t="str">
        <f>"蔡秋涛"</f>
        <v>蔡秋涛</v>
      </c>
      <c r="E331" s="5" t="str">
        <f>"男"</f>
        <v>男</v>
      </c>
    </row>
    <row r="332" spans="1:5" ht="30" customHeight="1">
      <c r="A332" s="4">
        <v>330</v>
      </c>
      <c r="B332" s="5" t="str">
        <f>"264420201009102222155"</f>
        <v>264420201009102222155</v>
      </c>
      <c r="C332" s="5" t="s">
        <v>12</v>
      </c>
      <c r="D332" s="5" t="str">
        <f>"周亚青"</f>
        <v>周亚青</v>
      </c>
      <c r="E332" s="5" t="str">
        <f>"女"</f>
        <v>女</v>
      </c>
    </row>
    <row r="333" spans="1:5" ht="30" customHeight="1">
      <c r="A333" s="4">
        <v>331</v>
      </c>
      <c r="B333" s="5" t="str">
        <f>"264420201009102737164"</f>
        <v>264420201009102737164</v>
      </c>
      <c r="C333" s="5" t="s">
        <v>12</v>
      </c>
      <c r="D333" s="5" t="str">
        <f>"蔡书鹏"</f>
        <v>蔡书鹏</v>
      </c>
      <c r="E333" s="5" t="str">
        <f>"女"</f>
        <v>女</v>
      </c>
    </row>
    <row r="334" spans="1:5" ht="30" customHeight="1">
      <c r="A334" s="4">
        <v>332</v>
      </c>
      <c r="B334" s="5" t="str">
        <f>"264420201009102744166"</f>
        <v>264420201009102744166</v>
      </c>
      <c r="C334" s="5" t="s">
        <v>12</v>
      </c>
      <c r="D334" s="5" t="str">
        <f>"曹志峰"</f>
        <v>曹志峰</v>
      </c>
      <c r="E334" s="5" t="str">
        <f>"男"</f>
        <v>男</v>
      </c>
    </row>
    <row r="335" spans="1:5" ht="30" customHeight="1">
      <c r="A335" s="4">
        <v>333</v>
      </c>
      <c r="B335" s="5" t="str">
        <f>"264420201009102903168"</f>
        <v>264420201009102903168</v>
      </c>
      <c r="C335" s="5" t="s">
        <v>12</v>
      </c>
      <c r="D335" s="5" t="str">
        <f>"李深威"</f>
        <v>李深威</v>
      </c>
      <c r="E335" s="5" t="str">
        <f>"男"</f>
        <v>男</v>
      </c>
    </row>
    <row r="336" spans="1:5" ht="30" customHeight="1">
      <c r="A336" s="4">
        <v>334</v>
      </c>
      <c r="B336" s="5" t="str">
        <f>"264420201009103153172"</f>
        <v>264420201009103153172</v>
      </c>
      <c r="C336" s="5" t="s">
        <v>12</v>
      </c>
      <c r="D336" s="5" t="str">
        <f>"叶粟文"</f>
        <v>叶粟文</v>
      </c>
      <c r="E336" s="5" t="str">
        <f>"男"</f>
        <v>男</v>
      </c>
    </row>
    <row r="337" spans="1:5" ht="30" customHeight="1">
      <c r="A337" s="4">
        <v>335</v>
      </c>
      <c r="B337" s="5" t="str">
        <f>"264420201009103323174"</f>
        <v>264420201009103323174</v>
      </c>
      <c r="C337" s="5" t="s">
        <v>12</v>
      </c>
      <c r="D337" s="5" t="str">
        <f>"冯园园"</f>
        <v>冯园园</v>
      </c>
      <c r="E337" s="5" t="str">
        <f>"女"</f>
        <v>女</v>
      </c>
    </row>
    <row r="338" spans="1:5" ht="30" customHeight="1">
      <c r="A338" s="4">
        <v>336</v>
      </c>
      <c r="B338" s="5" t="str">
        <f>"264420201009104113186"</f>
        <v>264420201009104113186</v>
      </c>
      <c r="C338" s="5" t="s">
        <v>12</v>
      </c>
      <c r="D338" s="5" t="str">
        <f>"符语洪"</f>
        <v>符语洪</v>
      </c>
      <c r="E338" s="5" t="str">
        <f>"女"</f>
        <v>女</v>
      </c>
    </row>
    <row r="339" spans="1:5" ht="30" customHeight="1">
      <c r="A339" s="4">
        <v>337</v>
      </c>
      <c r="B339" s="5" t="str">
        <f>"264420201009104505189"</f>
        <v>264420201009104505189</v>
      </c>
      <c r="C339" s="5" t="s">
        <v>12</v>
      </c>
      <c r="D339" s="5" t="str">
        <f>"王灼"</f>
        <v>王灼</v>
      </c>
      <c r="E339" s="5" t="str">
        <f>"女"</f>
        <v>女</v>
      </c>
    </row>
    <row r="340" spans="1:5" ht="30" customHeight="1">
      <c r="A340" s="4">
        <v>338</v>
      </c>
      <c r="B340" s="5" t="str">
        <f>"264420201009104518190"</f>
        <v>264420201009104518190</v>
      </c>
      <c r="C340" s="5" t="s">
        <v>12</v>
      </c>
      <c r="D340" s="5" t="str">
        <f>"邢芳"</f>
        <v>邢芳</v>
      </c>
      <c r="E340" s="5" t="str">
        <f>"女"</f>
        <v>女</v>
      </c>
    </row>
    <row r="341" spans="1:5" ht="30" customHeight="1">
      <c r="A341" s="4">
        <v>339</v>
      </c>
      <c r="B341" s="5" t="str">
        <f>"264420201009105425208"</f>
        <v>264420201009105425208</v>
      </c>
      <c r="C341" s="5" t="s">
        <v>12</v>
      </c>
      <c r="D341" s="5" t="str">
        <f>"郑德和"</f>
        <v>郑德和</v>
      </c>
      <c r="E341" s="5" t="str">
        <f>"男"</f>
        <v>男</v>
      </c>
    </row>
    <row r="342" spans="1:5" ht="30" customHeight="1">
      <c r="A342" s="4">
        <v>340</v>
      </c>
      <c r="B342" s="5" t="str">
        <f>"264420201009105656212"</f>
        <v>264420201009105656212</v>
      </c>
      <c r="C342" s="5" t="s">
        <v>12</v>
      </c>
      <c r="D342" s="5" t="str">
        <f>"刘扬"</f>
        <v>刘扬</v>
      </c>
      <c r="E342" s="5" t="str">
        <f>"女"</f>
        <v>女</v>
      </c>
    </row>
    <row r="343" spans="1:5" ht="30" customHeight="1">
      <c r="A343" s="4">
        <v>341</v>
      </c>
      <c r="B343" s="5" t="str">
        <f>"264420201009105924215"</f>
        <v>264420201009105924215</v>
      </c>
      <c r="C343" s="5" t="s">
        <v>12</v>
      </c>
      <c r="D343" s="5" t="str">
        <f>"余蕊"</f>
        <v>余蕊</v>
      </c>
      <c r="E343" s="5" t="str">
        <f>"女"</f>
        <v>女</v>
      </c>
    </row>
    <row r="344" spans="1:5" ht="30" customHeight="1">
      <c r="A344" s="4">
        <v>342</v>
      </c>
      <c r="B344" s="5" t="str">
        <f>"264420201009110644225"</f>
        <v>264420201009110644225</v>
      </c>
      <c r="C344" s="5" t="s">
        <v>12</v>
      </c>
      <c r="D344" s="5" t="str">
        <f>"吴嘉燐"</f>
        <v>吴嘉燐</v>
      </c>
      <c r="E344" s="5" t="str">
        <f>"女"</f>
        <v>女</v>
      </c>
    </row>
    <row r="345" spans="1:5" ht="30" customHeight="1">
      <c r="A345" s="4">
        <v>343</v>
      </c>
      <c r="B345" s="5" t="str">
        <f>"264420201009110936227"</f>
        <v>264420201009110936227</v>
      </c>
      <c r="C345" s="5" t="s">
        <v>12</v>
      </c>
      <c r="D345" s="5" t="str">
        <f>"劳赛芳"</f>
        <v>劳赛芳</v>
      </c>
      <c r="E345" s="5" t="str">
        <f>"女"</f>
        <v>女</v>
      </c>
    </row>
    <row r="346" spans="1:5" ht="30" customHeight="1">
      <c r="A346" s="4">
        <v>344</v>
      </c>
      <c r="B346" s="5" t="str">
        <f>"264420201009111520237"</f>
        <v>264420201009111520237</v>
      </c>
      <c r="C346" s="5" t="s">
        <v>12</v>
      </c>
      <c r="D346" s="5" t="str">
        <f>"冯倩倩"</f>
        <v>冯倩倩</v>
      </c>
      <c r="E346" s="5" t="str">
        <f>"女"</f>
        <v>女</v>
      </c>
    </row>
    <row r="347" spans="1:5" ht="30" customHeight="1">
      <c r="A347" s="4">
        <v>345</v>
      </c>
      <c r="B347" s="5" t="str">
        <f>"264420201009112848249"</f>
        <v>264420201009112848249</v>
      </c>
      <c r="C347" s="5" t="s">
        <v>12</v>
      </c>
      <c r="D347" s="5" t="str">
        <f>"潘在晔"</f>
        <v>潘在晔</v>
      </c>
      <c r="E347" s="5" t="str">
        <f>"男"</f>
        <v>男</v>
      </c>
    </row>
    <row r="348" spans="1:5" ht="30" customHeight="1">
      <c r="A348" s="4">
        <v>346</v>
      </c>
      <c r="B348" s="5" t="str">
        <f>"264420201009113619263"</f>
        <v>264420201009113619263</v>
      </c>
      <c r="C348" s="5" t="s">
        <v>12</v>
      </c>
      <c r="D348" s="5" t="str">
        <f>"康宇婷"</f>
        <v>康宇婷</v>
      </c>
      <c r="E348" s="5" t="str">
        <f>"女"</f>
        <v>女</v>
      </c>
    </row>
    <row r="349" spans="1:5" ht="30" customHeight="1">
      <c r="A349" s="4">
        <v>347</v>
      </c>
      <c r="B349" s="5" t="str">
        <f>"264420201009113732266"</f>
        <v>264420201009113732266</v>
      </c>
      <c r="C349" s="5" t="s">
        <v>12</v>
      </c>
      <c r="D349" s="5" t="str">
        <f>"陈邦益"</f>
        <v>陈邦益</v>
      </c>
      <c r="E349" s="5" t="str">
        <f>"男"</f>
        <v>男</v>
      </c>
    </row>
    <row r="350" spans="1:5" ht="30" customHeight="1">
      <c r="A350" s="4">
        <v>348</v>
      </c>
      <c r="B350" s="5" t="str">
        <f>"264420201009114644274"</f>
        <v>264420201009114644274</v>
      </c>
      <c r="C350" s="5" t="s">
        <v>12</v>
      </c>
      <c r="D350" s="5" t="str">
        <f>"何金菊"</f>
        <v>何金菊</v>
      </c>
      <c r="E350" s="5" t="str">
        <f>"女"</f>
        <v>女</v>
      </c>
    </row>
    <row r="351" spans="1:5" ht="30" customHeight="1">
      <c r="A351" s="4">
        <v>349</v>
      </c>
      <c r="B351" s="5" t="str">
        <f>"264420201009115643282"</f>
        <v>264420201009115643282</v>
      </c>
      <c r="C351" s="5" t="s">
        <v>12</v>
      </c>
      <c r="D351" s="5" t="str">
        <f>"冯欣"</f>
        <v>冯欣</v>
      </c>
      <c r="E351" s="5" t="str">
        <f>"女"</f>
        <v>女</v>
      </c>
    </row>
    <row r="352" spans="1:5" ht="30" customHeight="1">
      <c r="A352" s="4">
        <v>350</v>
      </c>
      <c r="B352" s="5" t="str">
        <f>"264420201009121139295"</f>
        <v>264420201009121139295</v>
      </c>
      <c r="C352" s="5" t="s">
        <v>12</v>
      </c>
      <c r="D352" s="5" t="str">
        <f>"吴小花"</f>
        <v>吴小花</v>
      </c>
      <c r="E352" s="5" t="str">
        <f>"女"</f>
        <v>女</v>
      </c>
    </row>
    <row r="353" spans="1:5" ht="30" customHeight="1">
      <c r="A353" s="4">
        <v>351</v>
      </c>
      <c r="B353" s="5" t="str">
        <f>"264420201009121948301"</f>
        <v>264420201009121948301</v>
      </c>
      <c r="C353" s="5" t="s">
        <v>12</v>
      </c>
      <c r="D353" s="5" t="str">
        <f>"洪绵良"</f>
        <v>洪绵良</v>
      </c>
      <c r="E353" s="5" t="str">
        <f>"男"</f>
        <v>男</v>
      </c>
    </row>
    <row r="354" spans="1:5" ht="30" customHeight="1">
      <c r="A354" s="4">
        <v>352</v>
      </c>
      <c r="B354" s="5" t="str">
        <f>"264420201009122109302"</f>
        <v>264420201009122109302</v>
      </c>
      <c r="C354" s="5" t="s">
        <v>12</v>
      </c>
      <c r="D354" s="5" t="str">
        <f>"蔡承俊"</f>
        <v>蔡承俊</v>
      </c>
      <c r="E354" s="5" t="str">
        <f>"男"</f>
        <v>男</v>
      </c>
    </row>
    <row r="355" spans="1:5" ht="30" customHeight="1">
      <c r="A355" s="4">
        <v>353</v>
      </c>
      <c r="B355" s="5" t="str">
        <f>"264420201009122119303"</f>
        <v>264420201009122119303</v>
      </c>
      <c r="C355" s="5" t="s">
        <v>12</v>
      </c>
      <c r="D355" s="5" t="str">
        <f>"孙琳"</f>
        <v>孙琳</v>
      </c>
      <c r="E355" s="5" t="str">
        <f>"女"</f>
        <v>女</v>
      </c>
    </row>
    <row r="356" spans="1:5" ht="30" customHeight="1">
      <c r="A356" s="4">
        <v>354</v>
      </c>
      <c r="B356" s="5" t="str">
        <f>"264420201009122132304"</f>
        <v>264420201009122132304</v>
      </c>
      <c r="C356" s="5" t="s">
        <v>12</v>
      </c>
      <c r="D356" s="5" t="str">
        <f>"潘孝皇"</f>
        <v>潘孝皇</v>
      </c>
      <c r="E356" s="5" t="str">
        <f>"男"</f>
        <v>男</v>
      </c>
    </row>
    <row r="357" spans="1:5" ht="30" customHeight="1">
      <c r="A357" s="4">
        <v>355</v>
      </c>
      <c r="B357" s="5" t="str">
        <f>"264420201009124419317"</f>
        <v>264420201009124419317</v>
      </c>
      <c r="C357" s="5" t="s">
        <v>12</v>
      </c>
      <c r="D357" s="5" t="str">
        <f>"吴小慧"</f>
        <v>吴小慧</v>
      </c>
      <c r="E357" s="5" t="str">
        <f>"女"</f>
        <v>女</v>
      </c>
    </row>
    <row r="358" spans="1:5" ht="30" customHeight="1">
      <c r="A358" s="4">
        <v>356</v>
      </c>
      <c r="B358" s="5" t="str">
        <f>"264420201009125445322"</f>
        <v>264420201009125445322</v>
      </c>
      <c r="C358" s="5" t="s">
        <v>12</v>
      </c>
      <c r="D358" s="5" t="str">
        <f>"陈怡巧"</f>
        <v>陈怡巧</v>
      </c>
      <c r="E358" s="5" t="str">
        <f>"女"</f>
        <v>女</v>
      </c>
    </row>
    <row r="359" spans="1:5" ht="30" customHeight="1">
      <c r="A359" s="4">
        <v>357</v>
      </c>
      <c r="B359" s="5" t="str">
        <f>"264420201009131825335"</f>
        <v>264420201009131825335</v>
      </c>
      <c r="C359" s="5" t="s">
        <v>12</v>
      </c>
      <c r="D359" s="5" t="str">
        <f>"朱媛"</f>
        <v>朱媛</v>
      </c>
      <c r="E359" s="5" t="str">
        <f>"女"</f>
        <v>女</v>
      </c>
    </row>
    <row r="360" spans="1:5" ht="30" customHeight="1">
      <c r="A360" s="4">
        <v>358</v>
      </c>
      <c r="B360" s="5" t="str">
        <f>"264420201009133916345"</f>
        <v>264420201009133916345</v>
      </c>
      <c r="C360" s="5" t="s">
        <v>12</v>
      </c>
      <c r="D360" s="5" t="str">
        <f>"陈巧蓓"</f>
        <v>陈巧蓓</v>
      </c>
      <c r="E360" s="5" t="str">
        <f>"女"</f>
        <v>女</v>
      </c>
    </row>
    <row r="361" spans="1:5" ht="30" customHeight="1">
      <c r="A361" s="4">
        <v>359</v>
      </c>
      <c r="B361" s="5" t="str">
        <f>"264420201009134405349"</f>
        <v>264420201009134405349</v>
      </c>
      <c r="C361" s="5" t="s">
        <v>12</v>
      </c>
      <c r="D361" s="5" t="str">
        <f>"王鼎"</f>
        <v>王鼎</v>
      </c>
      <c r="E361" s="5" t="str">
        <f>"男"</f>
        <v>男</v>
      </c>
    </row>
    <row r="362" spans="1:5" ht="30" customHeight="1">
      <c r="A362" s="4">
        <v>360</v>
      </c>
      <c r="B362" s="5" t="str">
        <f>"264420201009141206363"</f>
        <v>264420201009141206363</v>
      </c>
      <c r="C362" s="5" t="s">
        <v>12</v>
      </c>
      <c r="D362" s="5" t="str">
        <f>"吴小桐"</f>
        <v>吴小桐</v>
      </c>
      <c r="E362" s="5" t="str">
        <f>"女"</f>
        <v>女</v>
      </c>
    </row>
    <row r="363" spans="1:5" ht="30" customHeight="1">
      <c r="A363" s="4">
        <v>361</v>
      </c>
      <c r="B363" s="5" t="str">
        <f>"264420201009142209371"</f>
        <v>264420201009142209371</v>
      </c>
      <c r="C363" s="5" t="s">
        <v>12</v>
      </c>
      <c r="D363" s="5" t="str">
        <f>"谢晋聪"</f>
        <v>谢晋聪</v>
      </c>
      <c r="E363" s="5" t="str">
        <f>"男"</f>
        <v>男</v>
      </c>
    </row>
    <row r="364" spans="1:5" ht="30" customHeight="1">
      <c r="A364" s="4">
        <v>362</v>
      </c>
      <c r="B364" s="5" t="str">
        <f>"264420201009142933372"</f>
        <v>264420201009142933372</v>
      </c>
      <c r="C364" s="5" t="s">
        <v>12</v>
      </c>
      <c r="D364" s="5" t="str">
        <f>"苏静娴"</f>
        <v>苏静娴</v>
      </c>
      <c r="E364" s="5" t="str">
        <f>"女"</f>
        <v>女</v>
      </c>
    </row>
    <row r="365" spans="1:5" ht="30" customHeight="1">
      <c r="A365" s="4">
        <v>363</v>
      </c>
      <c r="B365" s="5" t="str">
        <f>"264420201009143139376"</f>
        <v>264420201009143139376</v>
      </c>
      <c r="C365" s="5" t="s">
        <v>12</v>
      </c>
      <c r="D365" s="5" t="str">
        <f>"郑曼娜"</f>
        <v>郑曼娜</v>
      </c>
      <c r="E365" s="5" t="str">
        <f>"女"</f>
        <v>女</v>
      </c>
    </row>
    <row r="366" spans="1:5" ht="30" customHeight="1">
      <c r="A366" s="4">
        <v>364</v>
      </c>
      <c r="B366" s="5" t="str">
        <f>"264420201009144132383"</f>
        <v>264420201009144132383</v>
      </c>
      <c r="C366" s="5" t="s">
        <v>12</v>
      </c>
      <c r="D366" s="5" t="str">
        <f>"云大坤"</f>
        <v>云大坤</v>
      </c>
      <c r="E366" s="5" t="str">
        <f>"男"</f>
        <v>男</v>
      </c>
    </row>
    <row r="367" spans="1:5" ht="30" customHeight="1">
      <c r="A367" s="4">
        <v>365</v>
      </c>
      <c r="B367" s="5" t="str">
        <f>"264420201009145638393"</f>
        <v>264420201009145638393</v>
      </c>
      <c r="C367" s="5" t="s">
        <v>12</v>
      </c>
      <c r="D367" s="5" t="str">
        <f>"于平"</f>
        <v>于平</v>
      </c>
      <c r="E367" s="5" t="str">
        <f aca="true" t="shared" si="12" ref="E367:E374">"女"</f>
        <v>女</v>
      </c>
    </row>
    <row r="368" spans="1:5" ht="30" customHeight="1">
      <c r="A368" s="4">
        <v>366</v>
      </c>
      <c r="B368" s="5" t="str">
        <f>"264420201009145759397"</f>
        <v>264420201009145759397</v>
      </c>
      <c r="C368" s="5" t="s">
        <v>12</v>
      </c>
      <c r="D368" s="5" t="str">
        <f>"王会慧"</f>
        <v>王会慧</v>
      </c>
      <c r="E368" s="5" t="str">
        <f t="shared" si="12"/>
        <v>女</v>
      </c>
    </row>
    <row r="369" spans="1:5" ht="30" customHeight="1">
      <c r="A369" s="4">
        <v>367</v>
      </c>
      <c r="B369" s="5" t="str">
        <f>"264420201009151036408"</f>
        <v>264420201009151036408</v>
      </c>
      <c r="C369" s="5" t="s">
        <v>12</v>
      </c>
      <c r="D369" s="5" t="str">
        <f>"吴慧玲"</f>
        <v>吴慧玲</v>
      </c>
      <c r="E369" s="5" t="str">
        <f t="shared" si="12"/>
        <v>女</v>
      </c>
    </row>
    <row r="370" spans="1:5" ht="30" customHeight="1">
      <c r="A370" s="4">
        <v>368</v>
      </c>
      <c r="B370" s="5" t="str">
        <f>"264420201009151259410"</f>
        <v>264420201009151259410</v>
      </c>
      <c r="C370" s="5" t="s">
        <v>12</v>
      </c>
      <c r="D370" s="5" t="str">
        <f>"许敏"</f>
        <v>许敏</v>
      </c>
      <c r="E370" s="5" t="str">
        <f t="shared" si="12"/>
        <v>女</v>
      </c>
    </row>
    <row r="371" spans="1:5" ht="30" customHeight="1">
      <c r="A371" s="4">
        <v>369</v>
      </c>
      <c r="B371" s="5" t="str">
        <f>"264420201009151707413"</f>
        <v>264420201009151707413</v>
      </c>
      <c r="C371" s="5" t="s">
        <v>12</v>
      </c>
      <c r="D371" s="5" t="str">
        <f>"符佳秀"</f>
        <v>符佳秀</v>
      </c>
      <c r="E371" s="5" t="str">
        <f t="shared" si="12"/>
        <v>女</v>
      </c>
    </row>
    <row r="372" spans="1:5" ht="30" customHeight="1">
      <c r="A372" s="4">
        <v>370</v>
      </c>
      <c r="B372" s="5" t="str">
        <f>"264420201009152631419"</f>
        <v>264420201009152631419</v>
      </c>
      <c r="C372" s="5" t="s">
        <v>12</v>
      </c>
      <c r="D372" s="5" t="str">
        <f>"钟尊静"</f>
        <v>钟尊静</v>
      </c>
      <c r="E372" s="5" t="str">
        <f t="shared" si="12"/>
        <v>女</v>
      </c>
    </row>
    <row r="373" spans="1:5" ht="30" customHeight="1">
      <c r="A373" s="4">
        <v>371</v>
      </c>
      <c r="B373" s="5" t="str">
        <f>"264420201009153039421"</f>
        <v>264420201009153039421</v>
      </c>
      <c r="C373" s="5" t="s">
        <v>12</v>
      </c>
      <c r="D373" s="5" t="str">
        <f>"方佶衣"</f>
        <v>方佶衣</v>
      </c>
      <c r="E373" s="5" t="str">
        <f t="shared" si="12"/>
        <v>女</v>
      </c>
    </row>
    <row r="374" spans="1:5" ht="30" customHeight="1">
      <c r="A374" s="4">
        <v>372</v>
      </c>
      <c r="B374" s="5" t="str">
        <f>"264420201009153229423"</f>
        <v>264420201009153229423</v>
      </c>
      <c r="C374" s="5" t="s">
        <v>12</v>
      </c>
      <c r="D374" s="5" t="str">
        <f>"罗子琳"</f>
        <v>罗子琳</v>
      </c>
      <c r="E374" s="5" t="str">
        <f t="shared" si="12"/>
        <v>女</v>
      </c>
    </row>
    <row r="375" spans="1:5" ht="30" customHeight="1">
      <c r="A375" s="4">
        <v>373</v>
      </c>
      <c r="B375" s="5" t="str">
        <f>"264420201009153329424"</f>
        <v>264420201009153329424</v>
      </c>
      <c r="C375" s="5" t="s">
        <v>12</v>
      </c>
      <c r="D375" s="5" t="str">
        <f>"吴敏豪"</f>
        <v>吴敏豪</v>
      </c>
      <c r="E375" s="5" t="str">
        <f>"男"</f>
        <v>男</v>
      </c>
    </row>
    <row r="376" spans="1:5" ht="30" customHeight="1">
      <c r="A376" s="4">
        <v>374</v>
      </c>
      <c r="B376" s="5" t="str">
        <f>"264420201009153915430"</f>
        <v>264420201009153915430</v>
      </c>
      <c r="C376" s="5" t="s">
        <v>12</v>
      </c>
      <c r="D376" s="5" t="str">
        <f>"牛伟健"</f>
        <v>牛伟健</v>
      </c>
      <c r="E376" s="5" t="str">
        <f>"女"</f>
        <v>女</v>
      </c>
    </row>
    <row r="377" spans="1:5" ht="30" customHeight="1">
      <c r="A377" s="4">
        <v>375</v>
      </c>
      <c r="B377" s="5" t="str">
        <f>"264420201009154210435"</f>
        <v>264420201009154210435</v>
      </c>
      <c r="C377" s="5" t="s">
        <v>12</v>
      </c>
      <c r="D377" s="5" t="str">
        <f>"陈永帅"</f>
        <v>陈永帅</v>
      </c>
      <c r="E377" s="5" t="str">
        <f>"男"</f>
        <v>男</v>
      </c>
    </row>
    <row r="378" spans="1:5" ht="30" customHeight="1">
      <c r="A378" s="4">
        <v>376</v>
      </c>
      <c r="B378" s="5" t="str">
        <f>"264420201009154347438"</f>
        <v>264420201009154347438</v>
      </c>
      <c r="C378" s="5" t="s">
        <v>12</v>
      </c>
      <c r="D378" s="5" t="str">
        <f>"陈玲"</f>
        <v>陈玲</v>
      </c>
      <c r="E378" s="5" t="str">
        <f>"女"</f>
        <v>女</v>
      </c>
    </row>
    <row r="379" spans="1:5" ht="30" customHeight="1">
      <c r="A379" s="4">
        <v>377</v>
      </c>
      <c r="B379" s="5" t="str">
        <f>"264420201009154426439"</f>
        <v>264420201009154426439</v>
      </c>
      <c r="C379" s="5" t="s">
        <v>12</v>
      </c>
      <c r="D379" s="5" t="str">
        <f>"吴明"</f>
        <v>吴明</v>
      </c>
      <c r="E379" s="5" t="str">
        <f>"女"</f>
        <v>女</v>
      </c>
    </row>
    <row r="380" spans="1:5" ht="30" customHeight="1">
      <c r="A380" s="4">
        <v>378</v>
      </c>
      <c r="B380" s="5" t="str">
        <f>"264420201009154555444"</f>
        <v>264420201009154555444</v>
      </c>
      <c r="C380" s="5" t="s">
        <v>12</v>
      </c>
      <c r="D380" s="5" t="str">
        <f>"张晓云"</f>
        <v>张晓云</v>
      </c>
      <c r="E380" s="5" t="str">
        <f>"女"</f>
        <v>女</v>
      </c>
    </row>
    <row r="381" spans="1:5" ht="30" customHeight="1">
      <c r="A381" s="4">
        <v>379</v>
      </c>
      <c r="B381" s="5" t="str">
        <f>"264420201009154751447"</f>
        <v>264420201009154751447</v>
      </c>
      <c r="C381" s="5" t="s">
        <v>12</v>
      </c>
      <c r="D381" s="5" t="str">
        <f>"符兆震"</f>
        <v>符兆震</v>
      </c>
      <c r="E381" s="5" t="str">
        <f>"男"</f>
        <v>男</v>
      </c>
    </row>
    <row r="382" spans="1:5" ht="30" customHeight="1">
      <c r="A382" s="4">
        <v>380</v>
      </c>
      <c r="B382" s="5" t="str">
        <f>"264420201009154809448"</f>
        <v>264420201009154809448</v>
      </c>
      <c r="C382" s="5" t="s">
        <v>12</v>
      </c>
      <c r="D382" s="5" t="str">
        <f>"陈转姑"</f>
        <v>陈转姑</v>
      </c>
      <c r="E382" s="5" t="str">
        <f>"女"</f>
        <v>女</v>
      </c>
    </row>
    <row r="383" spans="1:5" ht="30" customHeight="1">
      <c r="A383" s="4">
        <v>381</v>
      </c>
      <c r="B383" s="5" t="str">
        <f>"264420201009160548465"</f>
        <v>264420201009160548465</v>
      </c>
      <c r="C383" s="5" t="s">
        <v>12</v>
      </c>
      <c r="D383" s="5" t="str">
        <f>"罗琼欣"</f>
        <v>罗琼欣</v>
      </c>
      <c r="E383" s="5" t="str">
        <f>"女"</f>
        <v>女</v>
      </c>
    </row>
    <row r="384" spans="1:5" ht="30" customHeight="1">
      <c r="A384" s="4">
        <v>382</v>
      </c>
      <c r="B384" s="5" t="str">
        <f>"264420201009160608466"</f>
        <v>264420201009160608466</v>
      </c>
      <c r="C384" s="5" t="s">
        <v>12</v>
      </c>
      <c r="D384" s="5" t="str">
        <f>"尹文康"</f>
        <v>尹文康</v>
      </c>
      <c r="E384" s="5" t="str">
        <f>"男"</f>
        <v>男</v>
      </c>
    </row>
    <row r="385" spans="1:5" ht="30" customHeight="1">
      <c r="A385" s="4">
        <v>383</v>
      </c>
      <c r="B385" s="5" t="str">
        <f>"264420201009162121480"</f>
        <v>264420201009162121480</v>
      </c>
      <c r="C385" s="5" t="s">
        <v>12</v>
      </c>
      <c r="D385" s="5" t="str">
        <f>"郑大洲"</f>
        <v>郑大洲</v>
      </c>
      <c r="E385" s="5" t="str">
        <f>"男"</f>
        <v>男</v>
      </c>
    </row>
    <row r="386" spans="1:5" ht="30" customHeight="1">
      <c r="A386" s="4">
        <v>384</v>
      </c>
      <c r="B386" s="5" t="str">
        <f>"264420201009163101488"</f>
        <v>264420201009163101488</v>
      </c>
      <c r="C386" s="5" t="s">
        <v>12</v>
      </c>
      <c r="D386" s="5" t="str">
        <f>"祝英杰"</f>
        <v>祝英杰</v>
      </c>
      <c r="E386" s="5" t="str">
        <f>"男"</f>
        <v>男</v>
      </c>
    </row>
    <row r="387" spans="1:5" ht="30" customHeight="1">
      <c r="A387" s="4">
        <v>385</v>
      </c>
      <c r="B387" s="5" t="str">
        <f>"264420201009163223492"</f>
        <v>264420201009163223492</v>
      </c>
      <c r="C387" s="5" t="s">
        <v>12</v>
      </c>
      <c r="D387" s="5" t="str">
        <f>"王海威"</f>
        <v>王海威</v>
      </c>
      <c r="E387" s="5" t="str">
        <f>"男"</f>
        <v>男</v>
      </c>
    </row>
    <row r="388" spans="1:5" ht="30" customHeight="1">
      <c r="A388" s="4">
        <v>386</v>
      </c>
      <c r="B388" s="5" t="str">
        <f>"264420201009163506493"</f>
        <v>264420201009163506493</v>
      </c>
      <c r="C388" s="5" t="s">
        <v>12</v>
      </c>
      <c r="D388" s="5" t="str">
        <f>"任萧羽"</f>
        <v>任萧羽</v>
      </c>
      <c r="E388" s="5" t="str">
        <f>"女"</f>
        <v>女</v>
      </c>
    </row>
    <row r="389" spans="1:5" ht="30" customHeight="1">
      <c r="A389" s="4">
        <v>387</v>
      </c>
      <c r="B389" s="5" t="str">
        <f>"264420201009163637496"</f>
        <v>264420201009163637496</v>
      </c>
      <c r="C389" s="5" t="s">
        <v>12</v>
      </c>
      <c r="D389" s="5" t="str">
        <f>"邢君丽"</f>
        <v>邢君丽</v>
      </c>
      <c r="E389" s="5" t="str">
        <f>"女"</f>
        <v>女</v>
      </c>
    </row>
    <row r="390" spans="1:5" ht="30" customHeight="1">
      <c r="A390" s="4">
        <v>388</v>
      </c>
      <c r="B390" s="5" t="str">
        <f>"264420201009164037498"</f>
        <v>264420201009164037498</v>
      </c>
      <c r="C390" s="5" t="s">
        <v>12</v>
      </c>
      <c r="D390" s="5" t="str">
        <f>"邓梓晖"</f>
        <v>邓梓晖</v>
      </c>
      <c r="E390" s="5" t="str">
        <f>"男"</f>
        <v>男</v>
      </c>
    </row>
    <row r="391" spans="1:5" ht="30" customHeight="1">
      <c r="A391" s="4">
        <v>389</v>
      </c>
      <c r="B391" s="5" t="str">
        <f>"264420201009165128508"</f>
        <v>264420201009165128508</v>
      </c>
      <c r="C391" s="5" t="s">
        <v>12</v>
      </c>
      <c r="D391" s="5" t="str">
        <f>"谢堂茂"</f>
        <v>谢堂茂</v>
      </c>
      <c r="E391" s="5" t="str">
        <f>"男"</f>
        <v>男</v>
      </c>
    </row>
    <row r="392" spans="1:5" ht="30" customHeight="1">
      <c r="A392" s="4">
        <v>390</v>
      </c>
      <c r="B392" s="5" t="str">
        <f>"264420201009165505513"</f>
        <v>264420201009165505513</v>
      </c>
      <c r="C392" s="5" t="s">
        <v>12</v>
      </c>
      <c r="D392" s="5" t="str">
        <f>"曾令荞"</f>
        <v>曾令荞</v>
      </c>
      <c r="E392" s="5" t="str">
        <f>"男"</f>
        <v>男</v>
      </c>
    </row>
    <row r="393" spans="1:5" ht="30" customHeight="1">
      <c r="A393" s="4">
        <v>391</v>
      </c>
      <c r="B393" s="5" t="str">
        <f>"264420201009165833516"</f>
        <v>264420201009165833516</v>
      </c>
      <c r="C393" s="5" t="s">
        <v>12</v>
      </c>
      <c r="D393" s="5" t="str">
        <f>"胡冬艳"</f>
        <v>胡冬艳</v>
      </c>
      <c r="E393" s="5" t="str">
        <f>"女"</f>
        <v>女</v>
      </c>
    </row>
    <row r="394" spans="1:5" ht="30" customHeight="1">
      <c r="A394" s="4">
        <v>392</v>
      </c>
      <c r="B394" s="5" t="str">
        <f>"264420201009170158517"</f>
        <v>264420201009170158517</v>
      </c>
      <c r="C394" s="5" t="s">
        <v>12</v>
      </c>
      <c r="D394" s="5" t="str">
        <f>"周颂玉"</f>
        <v>周颂玉</v>
      </c>
      <c r="E394" s="5" t="str">
        <f>"女"</f>
        <v>女</v>
      </c>
    </row>
    <row r="395" spans="1:5" ht="30" customHeight="1">
      <c r="A395" s="4">
        <v>393</v>
      </c>
      <c r="B395" s="5" t="str">
        <f>"264420201009170354519"</f>
        <v>264420201009170354519</v>
      </c>
      <c r="C395" s="5" t="s">
        <v>12</v>
      </c>
      <c r="D395" s="5" t="str">
        <f>"郑轩媚"</f>
        <v>郑轩媚</v>
      </c>
      <c r="E395" s="5" t="str">
        <f>"女"</f>
        <v>女</v>
      </c>
    </row>
    <row r="396" spans="1:5" ht="30" customHeight="1">
      <c r="A396" s="4">
        <v>394</v>
      </c>
      <c r="B396" s="5" t="str">
        <f>"264420201009171200522"</f>
        <v>264420201009171200522</v>
      </c>
      <c r="C396" s="5" t="s">
        <v>12</v>
      </c>
      <c r="D396" s="5" t="str">
        <f>"冯藩耀"</f>
        <v>冯藩耀</v>
      </c>
      <c r="E396" s="5" t="str">
        <f>"男"</f>
        <v>男</v>
      </c>
    </row>
    <row r="397" spans="1:5" ht="30" customHeight="1">
      <c r="A397" s="4">
        <v>395</v>
      </c>
      <c r="B397" s="5" t="str">
        <f>"264420201009171926531"</f>
        <v>264420201009171926531</v>
      </c>
      <c r="C397" s="5" t="s">
        <v>12</v>
      </c>
      <c r="D397" s="5" t="str">
        <f>"李格"</f>
        <v>李格</v>
      </c>
      <c r="E397" s="5" t="str">
        <f>"女"</f>
        <v>女</v>
      </c>
    </row>
    <row r="398" spans="1:5" ht="30" customHeight="1">
      <c r="A398" s="4">
        <v>396</v>
      </c>
      <c r="B398" s="5" t="str">
        <f>"264420201009171959532"</f>
        <v>264420201009171959532</v>
      </c>
      <c r="C398" s="5" t="s">
        <v>12</v>
      </c>
      <c r="D398" s="5" t="str">
        <f>"王雪娜"</f>
        <v>王雪娜</v>
      </c>
      <c r="E398" s="5" t="str">
        <f>"女"</f>
        <v>女</v>
      </c>
    </row>
    <row r="399" spans="1:5" ht="30" customHeight="1">
      <c r="A399" s="4">
        <v>397</v>
      </c>
      <c r="B399" s="5" t="str">
        <f>"264420201009172145535"</f>
        <v>264420201009172145535</v>
      </c>
      <c r="C399" s="5" t="s">
        <v>12</v>
      </c>
      <c r="D399" s="5" t="str">
        <f>"张婕"</f>
        <v>张婕</v>
      </c>
      <c r="E399" s="5" t="str">
        <f>"女"</f>
        <v>女</v>
      </c>
    </row>
    <row r="400" spans="1:5" ht="30" customHeight="1">
      <c r="A400" s="4">
        <v>398</v>
      </c>
      <c r="B400" s="5" t="str">
        <f>"264420201009172211536"</f>
        <v>264420201009172211536</v>
      </c>
      <c r="C400" s="5" t="s">
        <v>12</v>
      </c>
      <c r="D400" s="5" t="str">
        <f>"邓雪桃"</f>
        <v>邓雪桃</v>
      </c>
      <c r="E400" s="5" t="str">
        <f>"女"</f>
        <v>女</v>
      </c>
    </row>
    <row r="401" spans="1:5" ht="30" customHeight="1">
      <c r="A401" s="4">
        <v>399</v>
      </c>
      <c r="B401" s="5" t="str">
        <f>"264420201009172848537"</f>
        <v>264420201009172848537</v>
      </c>
      <c r="C401" s="5" t="s">
        <v>12</v>
      </c>
      <c r="D401" s="5" t="str">
        <f>"张裕松"</f>
        <v>张裕松</v>
      </c>
      <c r="E401" s="5" t="str">
        <f>"男"</f>
        <v>男</v>
      </c>
    </row>
    <row r="402" spans="1:5" ht="30" customHeight="1">
      <c r="A402" s="4">
        <v>400</v>
      </c>
      <c r="B402" s="5" t="str">
        <f>"264420201009175035548"</f>
        <v>264420201009175035548</v>
      </c>
      <c r="C402" s="5" t="s">
        <v>12</v>
      </c>
      <c r="D402" s="5" t="str">
        <f>"张乘铚"</f>
        <v>张乘铚</v>
      </c>
      <c r="E402" s="5" t="str">
        <f>"男"</f>
        <v>男</v>
      </c>
    </row>
    <row r="403" spans="1:5" ht="30" customHeight="1">
      <c r="A403" s="4">
        <v>401</v>
      </c>
      <c r="B403" s="5" t="str">
        <f>"264420201009175641550"</f>
        <v>264420201009175641550</v>
      </c>
      <c r="C403" s="5" t="s">
        <v>12</v>
      </c>
      <c r="D403" s="5" t="str">
        <f>"邬必芬"</f>
        <v>邬必芬</v>
      </c>
      <c r="E403" s="5" t="str">
        <f>"女"</f>
        <v>女</v>
      </c>
    </row>
    <row r="404" spans="1:5" ht="30" customHeight="1">
      <c r="A404" s="4">
        <v>402</v>
      </c>
      <c r="B404" s="5" t="str">
        <f>"264420201009180630554"</f>
        <v>264420201009180630554</v>
      </c>
      <c r="C404" s="5" t="s">
        <v>12</v>
      </c>
      <c r="D404" s="5" t="str">
        <f>"薛海波"</f>
        <v>薛海波</v>
      </c>
      <c r="E404" s="5" t="str">
        <f>"男"</f>
        <v>男</v>
      </c>
    </row>
    <row r="405" spans="1:5" ht="30" customHeight="1">
      <c r="A405" s="4">
        <v>403</v>
      </c>
      <c r="B405" s="5" t="str">
        <f>"264420201009181612563"</f>
        <v>264420201009181612563</v>
      </c>
      <c r="C405" s="5" t="s">
        <v>12</v>
      </c>
      <c r="D405" s="5" t="str">
        <f>"郑茗心"</f>
        <v>郑茗心</v>
      </c>
      <c r="E405" s="5" t="str">
        <f>"女"</f>
        <v>女</v>
      </c>
    </row>
    <row r="406" spans="1:5" ht="30" customHeight="1">
      <c r="A406" s="4">
        <v>404</v>
      </c>
      <c r="B406" s="5" t="str">
        <f>"264420201009183844579"</f>
        <v>264420201009183844579</v>
      </c>
      <c r="C406" s="5" t="s">
        <v>12</v>
      </c>
      <c r="D406" s="5" t="str">
        <f>"陈冀威"</f>
        <v>陈冀威</v>
      </c>
      <c r="E406" s="5" t="str">
        <f>"男"</f>
        <v>男</v>
      </c>
    </row>
    <row r="407" spans="1:5" ht="30" customHeight="1">
      <c r="A407" s="4">
        <v>405</v>
      </c>
      <c r="B407" s="5" t="str">
        <f>"264420201009184325584"</f>
        <v>264420201009184325584</v>
      </c>
      <c r="C407" s="5" t="s">
        <v>12</v>
      </c>
      <c r="D407" s="5" t="str">
        <f>"张晓晴"</f>
        <v>张晓晴</v>
      </c>
      <c r="E407" s="5" t="str">
        <f>"女"</f>
        <v>女</v>
      </c>
    </row>
    <row r="408" spans="1:5" ht="30" customHeight="1">
      <c r="A408" s="4">
        <v>406</v>
      </c>
      <c r="B408" s="5" t="str">
        <f>"264420201009185204589"</f>
        <v>264420201009185204589</v>
      </c>
      <c r="C408" s="5" t="s">
        <v>12</v>
      </c>
      <c r="D408" s="5" t="str">
        <f>"阮鸣悦"</f>
        <v>阮鸣悦</v>
      </c>
      <c r="E408" s="5" t="str">
        <f>"女"</f>
        <v>女</v>
      </c>
    </row>
    <row r="409" spans="1:5" ht="30" customHeight="1">
      <c r="A409" s="4">
        <v>407</v>
      </c>
      <c r="B409" s="5" t="str">
        <f>"264420201009192034609"</f>
        <v>264420201009192034609</v>
      </c>
      <c r="C409" s="5" t="s">
        <v>12</v>
      </c>
      <c r="D409" s="5" t="str">
        <f>"王微"</f>
        <v>王微</v>
      </c>
      <c r="E409" s="5" t="str">
        <f>"女"</f>
        <v>女</v>
      </c>
    </row>
    <row r="410" spans="1:5" ht="30" customHeight="1">
      <c r="A410" s="4">
        <v>408</v>
      </c>
      <c r="B410" s="5" t="str">
        <f>"264420201009195722637"</f>
        <v>264420201009195722637</v>
      </c>
      <c r="C410" s="5" t="s">
        <v>12</v>
      </c>
      <c r="D410" s="5" t="str">
        <f>"黄文积"</f>
        <v>黄文积</v>
      </c>
      <c r="E410" s="5" t="str">
        <f>"男"</f>
        <v>男</v>
      </c>
    </row>
    <row r="411" spans="1:5" ht="30" customHeight="1">
      <c r="A411" s="4">
        <v>409</v>
      </c>
      <c r="B411" s="5" t="str">
        <f>"264420201009200417646"</f>
        <v>264420201009200417646</v>
      </c>
      <c r="C411" s="5" t="s">
        <v>12</v>
      </c>
      <c r="D411" s="5" t="str">
        <f>"曾文园"</f>
        <v>曾文园</v>
      </c>
      <c r="E411" s="5" t="str">
        <f>"女"</f>
        <v>女</v>
      </c>
    </row>
    <row r="412" spans="1:5" ht="30" customHeight="1">
      <c r="A412" s="4">
        <v>410</v>
      </c>
      <c r="B412" s="5" t="str">
        <f>"264420201009200450647"</f>
        <v>264420201009200450647</v>
      </c>
      <c r="C412" s="5" t="s">
        <v>12</v>
      </c>
      <c r="D412" s="5" t="str">
        <f>"何万豪"</f>
        <v>何万豪</v>
      </c>
      <c r="E412" s="5" t="str">
        <f>"男"</f>
        <v>男</v>
      </c>
    </row>
    <row r="413" spans="1:5" ht="30" customHeight="1">
      <c r="A413" s="4">
        <v>411</v>
      </c>
      <c r="B413" s="5" t="str">
        <f>"264420201009201451653"</f>
        <v>264420201009201451653</v>
      </c>
      <c r="C413" s="5" t="s">
        <v>12</v>
      </c>
      <c r="D413" s="5" t="str">
        <f>"陈清敏"</f>
        <v>陈清敏</v>
      </c>
      <c r="E413" s="5" t="str">
        <f>"男"</f>
        <v>男</v>
      </c>
    </row>
    <row r="414" spans="1:5" ht="30" customHeight="1">
      <c r="A414" s="4">
        <v>412</v>
      </c>
      <c r="B414" s="5" t="str">
        <f>"264420201009201528654"</f>
        <v>264420201009201528654</v>
      </c>
      <c r="C414" s="5" t="s">
        <v>12</v>
      </c>
      <c r="D414" s="5" t="str">
        <f>"曾侯萌"</f>
        <v>曾侯萌</v>
      </c>
      <c r="E414" s="5" t="str">
        <f>"女"</f>
        <v>女</v>
      </c>
    </row>
    <row r="415" spans="1:5" ht="30" customHeight="1">
      <c r="A415" s="4">
        <v>413</v>
      </c>
      <c r="B415" s="5" t="str">
        <f>"264420201009201644656"</f>
        <v>264420201009201644656</v>
      </c>
      <c r="C415" s="5" t="s">
        <v>12</v>
      </c>
      <c r="D415" s="5" t="str">
        <f>"王俊乔"</f>
        <v>王俊乔</v>
      </c>
      <c r="E415" s="5" t="str">
        <f>"男"</f>
        <v>男</v>
      </c>
    </row>
    <row r="416" spans="1:5" ht="30" customHeight="1">
      <c r="A416" s="4">
        <v>414</v>
      </c>
      <c r="B416" s="5" t="str">
        <f>"264420201009201731658"</f>
        <v>264420201009201731658</v>
      </c>
      <c r="C416" s="5" t="s">
        <v>12</v>
      </c>
      <c r="D416" s="5" t="str">
        <f>"陈驰"</f>
        <v>陈驰</v>
      </c>
      <c r="E416" s="5" t="str">
        <f>"女"</f>
        <v>女</v>
      </c>
    </row>
    <row r="417" spans="1:5" ht="30" customHeight="1">
      <c r="A417" s="4">
        <v>415</v>
      </c>
      <c r="B417" s="5" t="str">
        <f>"264420201009202328664"</f>
        <v>264420201009202328664</v>
      </c>
      <c r="C417" s="5" t="s">
        <v>12</v>
      </c>
      <c r="D417" s="5" t="str">
        <f>"杨文馨"</f>
        <v>杨文馨</v>
      </c>
      <c r="E417" s="5" t="str">
        <f>"女"</f>
        <v>女</v>
      </c>
    </row>
    <row r="418" spans="1:5" ht="30" customHeight="1">
      <c r="A418" s="4">
        <v>416</v>
      </c>
      <c r="B418" s="5" t="str">
        <f>"264420201009202913670"</f>
        <v>264420201009202913670</v>
      </c>
      <c r="C418" s="5" t="s">
        <v>12</v>
      </c>
      <c r="D418" s="5" t="str">
        <f>"王翔"</f>
        <v>王翔</v>
      </c>
      <c r="E418" s="5" t="str">
        <f>"男"</f>
        <v>男</v>
      </c>
    </row>
    <row r="419" spans="1:5" ht="30" customHeight="1">
      <c r="A419" s="4">
        <v>417</v>
      </c>
      <c r="B419" s="5" t="str">
        <f>"264420201009203148672"</f>
        <v>264420201009203148672</v>
      </c>
      <c r="C419" s="5" t="s">
        <v>12</v>
      </c>
      <c r="D419" s="5" t="str">
        <f>"张杰秀"</f>
        <v>张杰秀</v>
      </c>
      <c r="E419" s="5" t="str">
        <f>"女"</f>
        <v>女</v>
      </c>
    </row>
    <row r="420" spans="1:5" ht="30" customHeight="1">
      <c r="A420" s="4">
        <v>418</v>
      </c>
      <c r="B420" s="5" t="str">
        <f>"264420201009203350674"</f>
        <v>264420201009203350674</v>
      </c>
      <c r="C420" s="5" t="s">
        <v>12</v>
      </c>
      <c r="D420" s="5" t="str">
        <f>"李先松"</f>
        <v>李先松</v>
      </c>
      <c r="E420" s="5" t="str">
        <f>"男"</f>
        <v>男</v>
      </c>
    </row>
    <row r="421" spans="1:5" ht="30" customHeight="1">
      <c r="A421" s="4">
        <v>419</v>
      </c>
      <c r="B421" s="5" t="str">
        <f>"264420201009203456677"</f>
        <v>264420201009203456677</v>
      </c>
      <c r="C421" s="5" t="s">
        <v>12</v>
      </c>
      <c r="D421" s="5" t="str">
        <f>"吕燕婷"</f>
        <v>吕燕婷</v>
      </c>
      <c r="E421" s="5" t="str">
        <f>"女"</f>
        <v>女</v>
      </c>
    </row>
    <row r="422" spans="1:5" ht="30" customHeight="1">
      <c r="A422" s="4">
        <v>420</v>
      </c>
      <c r="B422" s="5" t="str">
        <f>"264420201009205937705"</f>
        <v>264420201009205937705</v>
      </c>
      <c r="C422" s="5" t="s">
        <v>12</v>
      </c>
      <c r="D422" s="5" t="str">
        <f>"刘芷琳"</f>
        <v>刘芷琳</v>
      </c>
      <c r="E422" s="5" t="str">
        <f>"女"</f>
        <v>女</v>
      </c>
    </row>
    <row r="423" spans="1:5" ht="30" customHeight="1">
      <c r="A423" s="4">
        <v>421</v>
      </c>
      <c r="B423" s="5" t="str">
        <f>"264420201009210657710"</f>
        <v>264420201009210657710</v>
      </c>
      <c r="C423" s="5" t="s">
        <v>12</v>
      </c>
      <c r="D423" s="5" t="str">
        <f>"赖明裕"</f>
        <v>赖明裕</v>
      </c>
      <c r="E423" s="5" t="str">
        <f>"男"</f>
        <v>男</v>
      </c>
    </row>
    <row r="424" spans="1:5" ht="30" customHeight="1">
      <c r="A424" s="4">
        <v>422</v>
      </c>
      <c r="B424" s="5" t="str">
        <f>"264420201009213514727"</f>
        <v>264420201009213514727</v>
      </c>
      <c r="C424" s="5" t="s">
        <v>12</v>
      </c>
      <c r="D424" s="5" t="str">
        <f>"王燕舞"</f>
        <v>王燕舞</v>
      </c>
      <c r="E424" s="5" t="str">
        <f>"女"</f>
        <v>女</v>
      </c>
    </row>
    <row r="425" spans="1:5" ht="30" customHeight="1">
      <c r="A425" s="4">
        <v>423</v>
      </c>
      <c r="B425" s="5" t="str">
        <f>"264420201009214358733"</f>
        <v>264420201009214358733</v>
      </c>
      <c r="C425" s="5" t="s">
        <v>12</v>
      </c>
      <c r="D425" s="5" t="str">
        <f>"陈明耘"</f>
        <v>陈明耘</v>
      </c>
      <c r="E425" s="5" t="str">
        <f>"男"</f>
        <v>男</v>
      </c>
    </row>
    <row r="426" spans="1:5" ht="30" customHeight="1">
      <c r="A426" s="4">
        <v>424</v>
      </c>
      <c r="B426" s="5" t="str">
        <f>"264420201009220109745"</f>
        <v>264420201009220109745</v>
      </c>
      <c r="C426" s="5" t="s">
        <v>12</v>
      </c>
      <c r="D426" s="5" t="str">
        <f>"严庆国"</f>
        <v>严庆国</v>
      </c>
      <c r="E426" s="5" t="str">
        <f>"男"</f>
        <v>男</v>
      </c>
    </row>
    <row r="427" spans="1:5" ht="30" customHeight="1">
      <c r="A427" s="4">
        <v>425</v>
      </c>
      <c r="B427" s="5" t="str">
        <f>"264420201009220550746"</f>
        <v>264420201009220550746</v>
      </c>
      <c r="C427" s="5" t="s">
        <v>12</v>
      </c>
      <c r="D427" s="5" t="str">
        <f>"熊奕奕"</f>
        <v>熊奕奕</v>
      </c>
      <c r="E427" s="5" t="str">
        <f>"女"</f>
        <v>女</v>
      </c>
    </row>
    <row r="428" spans="1:5" ht="30" customHeight="1">
      <c r="A428" s="4">
        <v>426</v>
      </c>
      <c r="B428" s="5" t="str">
        <f>"264420201009220846750"</f>
        <v>264420201009220846750</v>
      </c>
      <c r="C428" s="5" t="s">
        <v>12</v>
      </c>
      <c r="D428" s="5" t="str">
        <f>"朱妙甜"</f>
        <v>朱妙甜</v>
      </c>
      <c r="E428" s="5" t="str">
        <f>"女"</f>
        <v>女</v>
      </c>
    </row>
    <row r="429" spans="1:5" ht="30" customHeight="1">
      <c r="A429" s="4">
        <v>427</v>
      </c>
      <c r="B429" s="5" t="str">
        <f>"264420201009221615757"</f>
        <v>264420201009221615757</v>
      </c>
      <c r="C429" s="5" t="s">
        <v>12</v>
      </c>
      <c r="D429" s="5" t="str">
        <f>"许雪娇"</f>
        <v>许雪娇</v>
      </c>
      <c r="E429" s="5" t="str">
        <f>"女"</f>
        <v>女</v>
      </c>
    </row>
    <row r="430" spans="1:5" ht="30" customHeight="1">
      <c r="A430" s="4">
        <v>428</v>
      </c>
      <c r="B430" s="5" t="str">
        <f>"264420201009224333770"</f>
        <v>264420201009224333770</v>
      </c>
      <c r="C430" s="5" t="s">
        <v>12</v>
      </c>
      <c r="D430" s="5" t="str">
        <f>"龙敏"</f>
        <v>龙敏</v>
      </c>
      <c r="E430" s="5" t="str">
        <f>"女"</f>
        <v>女</v>
      </c>
    </row>
    <row r="431" spans="1:5" ht="30" customHeight="1">
      <c r="A431" s="4">
        <v>429</v>
      </c>
      <c r="B431" s="5" t="str">
        <f>"264420201009224725775"</f>
        <v>264420201009224725775</v>
      </c>
      <c r="C431" s="5" t="s">
        <v>12</v>
      </c>
      <c r="D431" s="5" t="str">
        <f>"潘孝贵"</f>
        <v>潘孝贵</v>
      </c>
      <c r="E431" s="5" t="str">
        <f>"男"</f>
        <v>男</v>
      </c>
    </row>
    <row r="432" spans="1:5" ht="30" customHeight="1">
      <c r="A432" s="4">
        <v>430</v>
      </c>
      <c r="B432" s="5" t="str">
        <f>"264420201009224839776"</f>
        <v>264420201009224839776</v>
      </c>
      <c r="C432" s="5" t="s">
        <v>12</v>
      </c>
      <c r="D432" s="5" t="str">
        <f>"谢桂金"</f>
        <v>谢桂金</v>
      </c>
      <c r="E432" s="5" t="str">
        <f>"女"</f>
        <v>女</v>
      </c>
    </row>
    <row r="433" spans="1:5" ht="30" customHeight="1">
      <c r="A433" s="4">
        <v>431</v>
      </c>
      <c r="B433" s="5" t="str">
        <f>"264420201009225441778"</f>
        <v>264420201009225441778</v>
      </c>
      <c r="C433" s="5" t="s">
        <v>12</v>
      </c>
      <c r="D433" s="5" t="str">
        <f>"符芮"</f>
        <v>符芮</v>
      </c>
      <c r="E433" s="5" t="str">
        <f>"女"</f>
        <v>女</v>
      </c>
    </row>
    <row r="434" spans="1:5" ht="30" customHeight="1">
      <c r="A434" s="4">
        <v>432</v>
      </c>
      <c r="B434" s="5" t="str">
        <f>"264420201009230116782"</f>
        <v>264420201009230116782</v>
      </c>
      <c r="C434" s="5" t="s">
        <v>12</v>
      </c>
      <c r="D434" s="5" t="str">
        <f>"王顺"</f>
        <v>王顺</v>
      </c>
      <c r="E434" s="5" t="str">
        <f>"男"</f>
        <v>男</v>
      </c>
    </row>
    <row r="435" spans="1:5" ht="30" customHeight="1">
      <c r="A435" s="4">
        <v>433</v>
      </c>
      <c r="B435" s="5" t="str">
        <f>"264420201009231432787"</f>
        <v>264420201009231432787</v>
      </c>
      <c r="C435" s="5" t="s">
        <v>12</v>
      </c>
      <c r="D435" s="5" t="str">
        <f>"翁苏琳"</f>
        <v>翁苏琳</v>
      </c>
      <c r="E435" s="5" t="str">
        <f>"女"</f>
        <v>女</v>
      </c>
    </row>
    <row r="436" spans="1:5" ht="30" customHeight="1">
      <c r="A436" s="4">
        <v>434</v>
      </c>
      <c r="B436" s="5" t="str">
        <f>"264420201009233702795"</f>
        <v>264420201009233702795</v>
      </c>
      <c r="C436" s="5" t="s">
        <v>12</v>
      </c>
      <c r="D436" s="5" t="str">
        <f>"凌立燕"</f>
        <v>凌立燕</v>
      </c>
      <c r="E436" s="5" t="str">
        <f>"女"</f>
        <v>女</v>
      </c>
    </row>
    <row r="437" spans="1:5" ht="30" customHeight="1">
      <c r="A437" s="4">
        <v>435</v>
      </c>
      <c r="B437" s="5" t="str">
        <f>"264420201010025123810"</f>
        <v>264420201010025123810</v>
      </c>
      <c r="C437" s="5" t="s">
        <v>12</v>
      </c>
      <c r="D437" s="5" t="str">
        <f>"赵开典"</f>
        <v>赵开典</v>
      </c>
      <c r="E437" s="5" t="str">
        <f>"男"</f>
        <v>男</v>
      </c>
    </row>
    <row r="438" spans="1:5" ht="30" customHeight="1">
      <c r="A438" s="4">
        <v>436</v>
      </c>
      <c r="B438" s="5" t="str">
        <f>"264420201010075521813"</f>
        <v>264420201010075521813</v>
      </c>
      <c r="C438" s="5" t="s">
        <v>12</v>
      </c>
      <c r="D438" s="5" t="str">
        <f>"张彩姨"</f>
        <v>张彩姨</v>
      </c>
      <c r="E438" s="5" t="str">
        <f>"女"</f>
        <v>女</v>
      </c>
    </row>
    <row r="439" spans="1:5" ht="30" customHeight="1">
      <c r="A439" s="4">
        <v>437</v>
      </c>
      <c r="B439" s="5" t="str">
        <f>"264420201010084932827"</f>
        <v>264420201010084932827</v>
      </c>
      <c r="C439" s="5" t="s">
        <v>12</v>
      </c>
      <c r="D439" s="5" t="str">
        <f>"史儒松"</f>
        <v>史儒松</v>
      </c>
      <c r="E439" s="5" t="str">
        <f>"男"</f>
        <v>男</v>
      </c>
    </row>
    <row r="440" spans="1:5" ht="30" customHeight="1">
      <c r="A440" s="4">
        <v>438</v>
      </c>
      <c r="B440" s="5" t="str">
        <f>"264420201010085713835"</f>
        <v>264420201010085713835</v>
      </c>
      <c r="C440" s="5" t="s">
        <v>12</v>
      </c>
      <c r="D440" s="5" t="str">
        <f>"闵晶晶"</f>
        <v>闵晶晶</v>
      </c>
      <c r="E440" s="5" t="str">
        <f>"女"</f>
        <v>女</v>
      </c>
    </row>
    <row r="441" spans="1:5" ht="30" customHeight="1">
      <c r="A441" s="4">
        <v>439</v>
      </c>
      <c r="B441" s="5" t="str">
        <f>"264420201010095108863"</f>
        <v>264420201010095108863</v>
      </c>
      <c r="C441" s="5" t="s">
        <v>12</v>
      </c>
      <c r="D441" s="5" t="str">
        <f>"王杰"</f>
        <v>王杰</v>
      </c>
      <c r="E441" s="5" t="str">
        <f>"男"</f>
        <v>男</v>
      </c>
    </row>
    <row r="442" spans="1:5" ht="30" customHeight="1">
      <c r="A442" s="4">
        <v>440</v>
      </c>
      <c r="B442" s="5" t="str">
        <f>"264420201010102346885"</f>
        <v>264420201010102346885</v>
      </c>
      <c r="C442" s="5" t="s">
        <v>12</v>
      </c>
      <c r="D442" s="5" t="str">
        <f>"吴淑香"</f>
        <v>吴淑香</v>
      </c>
      <c r="E442" s="5" t="str">
        <f aca="true" t="shared" si="13" ref="E442:E449">"女"</f>
        <v>女</v>
      </c>
    </row>
    <row r="443" spans="1:5" ht="30" customHeight="1">
      <c r="A443" s="4">
        <v>441</v>
      </c>
      <c r="B443" s="5" t="str">
        <f>"264420201010103015888"</f>
        <v>264420201010103015888</v>
      </c>
      <c r="C443" s="5" t="s">
        <v>12</v>
      </c>
      <c r="D443" s="5" t="str">
        <f>"陈丽莹"</f>
        <v>陈丽莹</v>
      </c>
      <c r="E443" s="5" t="str">
        <f t="shared" si="13"/>
        <v>女</v>
      </c>
    </row>
    <row r="444" spans="1:5" ht="30" customHeight="1">
      <c r="A444" s="4">
        <v>442</v>
      </c>
      <c r="B444" s="5" t="str">
        <f>"264420201010104948897"</f>
        <v>264420201010104948897</v>
      </c>
      <c r="C444" s="5" t="s">
        <v>12</v>
      </c>
      <c r="D444" s="5" t="str">
        <f>"张敏慧"</f>
        <v>张敏慧</v>
      </c>
      <c r="E444" s="5" t="str">
        <f t="shared" si="13"/>
        <v>女</v>
      </c>
    </row>
    <row r="445" spans="1:5" ht="30" customHeight="1">
      <c r="A445" s="4">
        <v>443</v>
      </c>
      <c r="B445" s="5" t="str">
        <f>"264420201010110030902"</f>
        <v>264420201010110030902</v>
      </c>
      <c r="C445" s="5" t="s">
        <v>12</v>
      </c>
      <c r="D445" s="5" t="str">
        <f>"陈凯弟"</f>
        <v>陈凯弟</v>
      </c>
      <c r="E445" s="5" t="str">
        <f t="shared" si="13"/>
        <v>女</v>
      </c>
    </row>
    <row r="446" spans="1:5" ht="30" customHeight="1">
      <c r="A446" s="4">
        <v>444</v>
      </c>
      <c r="B446" s="5" t="str">
        <f>"264420201010112047913"</f>
        <v>264420201010112047913</v>
      </c>
      <c r="C446" s="5" t="s">
        <v>12</v>
      </c>
      <c r="D446" s="5" t="str">
        <f>"周嘉欣"</f>
        <v>周嘉欣</v>
      </c>
      <c r="E446" s="5" t="str">
        <f t="shared" si="13"/>
        <v>女</v>
      </c>
    </row>
    <row r="447" spans="1:5" ht="30" customHeight="1">
      <c r="A447" s="4">
        <v>445</v>
      </c>
      <c r="B447" s="5" t="str">
        <f>"264420201010122211942"</f>
        <v>264420201010122211942</v>
      </c>
      <c r="C447" s="5" t="s">
        <v>12</v>
      </c>
      <c r="D447" s="5" t="str">
        <f>"欧娇娜"</f>
        <v>欧娇娜</v>
      </c>
      <c r="E447" s="5" t="str">
        <f t="shared" si="13"/>
        <v>女</v>
      </c>
    </row>
    <row r="448" spans="1:5" ht="30" customHeight="1">
      <c r="A448" s="4">
        <v>446</v>
      </c>
      <c r="B448" s="5" t="str">
        <f>"264420201010123447950"</f>
        <v>264420201010123447950</v>
      </c>
      <c r="C448" s="5" t="s">
        <v>12</v>
      </c>
      <c r="D448" s="5" t="str">
        <f>"杨静"</f>
        <v>杨静</v>
      </c>
      <c r="E448" s="5" t="str">
        <f t="shared" si="13"/>
        <v>女</v>
      </c>
    </row>
    <row r="449" spans="1:5" ht="30" customHeight="1">
      <c r="A449" s="4">
        <v>447</v>
      </c>
      <c r="B449" s="5" t="str">
        <f>"264420201010131020961"</f>
        <v>264420201010131020961</v>
      </c>
      <c r="C449" s="5" t="s">
        <v>12</v>
      </c>
      <c r="D449" s="5" t="str">
        <f>"林鑫诺"</f>
        <v>林鑫诺</v>
      </c>
      <c r="E449" s="5" t="str">
        <f t="shared" si="13"/>
        <v>女</v>
      </c>
    </row>
    <row r="450" spans="1:5" ht="30" customHeight="1">
      <c r="A450" s="4">
        <v>448</v>
      </c>
      <c r="B450" s="5" t="str">
        <f>"264420201010134840972"</f>
        <v>264420201010134840972</v>
      </c>
      <c r="C450" s="5" t="s">
        <v>12</v>
      </c>
      <c r="D450" s="5" t="str">
        <f>"庄永栋"</f>
        <v>庄永栋</v>
      </c>
      <c r="E450" s="5" t="str">
        <f>"男"</f>
        <v>男</v>
      </c>
    </row>
    <row r="451" spans="1:5" ht="30" customHeight="1">
      <c r="A451" s="4">
        <v>449</v>
      </c>
      <c r="B451" s="5" t="str">
        <f>"264420201010134855973"</f>
        <v>264420201010134855973</v>
      </c>
      <c r="C451" s="5" t="s">
        <v>12</v>
      </c>
      <c r="D451" s="5" t="str">
        <f>"朱深真"</f>
        <v>朱深真</v>
      </c>
      <c r="E451" s="5" t="str">
        <f>"男"</f>
        <v>男</v>
      </c>
    </row>
    <row r="452" spans="1:5" ht="30" customHeight="1">
      <c r="A452" s="4">
        <v>450</v>
      </c>
      <c r="B452" s="5" t="str">
        <f>"264420201010144921988"</f>
        <v>264420201010144921988</v>
      </c>
      <c r="C452" s="5" t="s">
        <v>12</v>
      </c>
      <c r="D452" s="5" t="str">
        <f>"林青"</f>
        <v>林青</v>
      </c>
      <c r="E452" s="5" t="str">
        <f>"女"</f>
        <v>女</v>
      </c>
    </row>
    <row r="453" spans="1:5" ht="30" customHeight="1">
      <c r="A453" s="4">
        <v>451</v>
      </c>
      <c r="B453" s="5" t="str">
        <f>"2644202010101541231013"</f>
        <v>2644202010101541231013</v>
      </c>
      <c r="C453" s="5" t="s">
        <v>12</v>
      </c>
      <c r="D453" s="5" t="str">
        <f>"黄奕伟"</f>
        <v>黄奕伟</v>
      </c>
      <c r="E453" s="5" t="str">
        <f>"男"</f>
        <v>男</v>
      </c>
    </row>
    <row r="454" spans="1:5" ht="30" customHeight="1">
      <c r="A454" s="4">
        <v>452</v>
      </c>
      <c r="B454" s="5" t="str">
        <f>"2644202010101609481023"</f>
        <v>2644202010101609481023</v>
      </c>
      <c r="C454" s="5" t="s">
        <v>12</v>
      </c>
      <c r="D454" s="5" t="str">
        <f>"刘琳琳"</f>
        <v>刘琳琳</v>
      </c>
      <c r="E454" s="5" t="str">
        <f>"女"</f>
        <v>女</v>
      </c>
    </row>
    <row r="455" spans="1:5" ht="30" customHeight="1">
      <c r="A455" s="4">
        <v>453</v>
      </c>
      <c r="B455" s="5" t="str">
        <f>"2644202010101620561026"</f>
        <v>2644202010101620561026</v>
      </c>
      <c r="C455" s="5" t="s">
        <v>12</v>
      </c>
      <c r="D455" s="5" t="str">
        <f>"王心如"</f>
        <v>王心如</v>
      </c>
      <c r="E455" s="5" t="str">
        <f>"女"</f>
        <v>女</v>
      </c>
    </row>
    <row r="456" spans="1:5" ht="30" customHeight="1">
      <c r="A456" s="4">
        <v>454</v>
      </c>
      <c r="B456" s="5" t="str">
        <f>"2644202010101641551037"</f>
        <v>2644202010101641551037</v>
      </c>
      <c r="C456" s="5" t="s">
        <v>12</v>
      </c>
      <c r="D456" s="5" t="str">
        <f>"陈华阳"</f>
        <v>陈华阳</v>
      </c>
      <c r="E456" s="5" t="str">
        <f>"男"</f>
        <v>男</v>
      </c>
    </row>
    <row r="457" spans="1:5" ht="30" customHeight="1">
      <c r="A457" s="4">
        <v>455</v>
      </c>
      <c r="B457" s="5" t="str">
        <f>"2644202010101645381039"</f>
        <v>2644202010101645381039</v>
      </c>
      <c r="C457" s="5" t="s">
        <v>12</v>
      </c>
      <c r="D457" s="5" t="str">
        <f>"苏紫康"</f>
        <v>苏紫康</v>
      </c>
      <c r="E457" s="5" t="str">
        <f>"男"</f>
        <v>男</v>
      </c>
    </row>
    <row r="458" spans="1:5" ht="30" customHeight="1">
      <c r="A458" s="4">
        <v>456</v>
      </c>
      <c r="B458" s="5" t="str">
        <f>"2644202010101645541040"</f>
        <v>2644202010101645541040</v>
      </c>
      <c r="C458" s="5" t="s">
        <v>12</v>
      </c>
      <c r="D458" s="5" t="str">
        <f>"吴小惠"</f>
        <v>吴小惠</v>
      </c>
      <c r="E458" s="5" t="str">
        <f>"女"</f>
        <v>女</v>
      </c>
    </row>
    <row r="459" spans="1:5" ht="30" customHeight="1">
      <c r="A459" s="4">
        <v>457</v>
      </c>
      <c r="B459" s="5" t="str">
        <f>"2644202010101656011044"</f>
        <v>2644202010101656011044</v>
      </c>
      <c r="C459" s="5" t="s">
        <v>12</v>
      </c>
      <c r="D459" s="5" t="str">
        <f>"黄庆丽"</f>
        <v>黄庆丽</v>
      </c>
      <c r="E459" s="5" t="str">
        <f>"女"</f>
        <v>女</v>
      </c>
    </row>
    <row r="460" spans="1:5" ht="30" customHeight="1">
      <c r="A460" s="4">
        <v>458</v>
      </c>
      <c r="B460" s="5" t="str">
        <f>"2644202010101712301050"</f>
        <v>2644202010101712301050</v>
      </c>
      <c r="C460" s="5" t="s">
        <v>12</v>
      </c>
      <c r="D460" s="5" t="str">
        <f>"何佳怡"</f>
        <v>何佳怡</v>
      </c>
      <c r="E460" s="5" t="str">
        <f>"女"</f>
        <v>女</v>
      </c>
    </row>
    <row r="461" spans="1:5" ht="30" customHeight="1">
      <c r="A461" s="4">
        <v>459</v>
      </c>
      <c r="B461" s="5" t="str">
        <f>"2644202010101715491053"</f>
        <v>2644202010101715491053</v>
      </c>
      <c r="C461" s="5" t="s">
        <v>12</v>
      </c>
      <c r="D461" s="5" t="str">
        <f>"郑欣欣"</f>
        <v>郑欣欣</v>
      </c>
      <c r="E461" s="5" t="str">
        <f>"女"</f>
        <v>女</v>
      </c>
    </row>
    <row r="462" spans="1:5" ht="30" customHeight="1">
      <c r="A462" s="4">
        <v>460</v>
      </c>
      <c r="B462" s="5" t="str">
        <f>"2644202010101725271057"</f>
        <v>2644202010101725271057</v>
      </c>
      <c r="C462" s="5" t="s">
        <v>12</v>
      </c>
      <c r="D462" s="5" t="str">
        <f>"蔡於旺"</f>
        <v>蔡於旺</v>
      </c>
      <c r="E462" s="5" t="str">
        <f>"男"</f>
        <v>男</v>
      </c>
    </row>
    <row r="463" spans="1:5" ht="30" customHeight="1">
      <c r="A463" s="4">
        <v>461</v>
      </c>
      <c r="B463" s="5" t="str">
        <f>"2644202010101752461065"</f>
        <v>2644202010101752461065</v>
      </c>
      <c r="C463" s="5" t="s">
        <v>12</v>
      </c>
      <c r="D463" s="5" t="str">
        <f>"李嘉婧"</f>
        <v>李嘉婧</v>
      </c>
      <c r="E463" s="5" t="str">
        <f>"女"</f>
        <v>女</v>
      </c>
    </row>
    <row r="464" spans="1:5" ht="30" customHeight="1">
      <c r="A464" s="4">
        <v>462</v>
      </c>
      <c r="B464" s="5" t="str">
        <f>"2644202010101758341067"</f>
        <v>2644202010101758341067</v>
      </c>
      <c r="C464" s="5" t="s">
        <v>12</v>
      </c>
      <c r="D464" s="5" t="str">
        <f>"周添秀"</f>
        <v>周添秀</v>
      </c>
      <c r="E464" s="5" t="str">
        <f>"男"</f>
        <v>男</v>
      </c>
    </row>
    <row r="465" spans="1:5" ht="30" customHeight="1">
      <c r="A465" s="4">
        <v>463</v>
      </c>
      <c r="B465" s="5" t="str">
        <f>"2644202010101759441069"</f>
        <v>2644202010101759441069</v>
      </c>
      <c r="C465" s="5" t="s">
        <v>12</v>
      </c>
      <c r="D465" s="5" t="str">
        <f>"陈琳慧"</f>
        <v>陈琳慧</v>
      </c>
      <c r="E465" s="5" t="str">
        <f>"女"</f>
        <v>女</v>
      </c>
    </row>
    <row r="466" spans="1:5" ht="30" customHeight="1">
      <c r="A466" s="4">
        <v>464</v>
      </c>
      <c r="B466" s="5" t="str">
        <f>"2644202010101808021070"</f>
        <v>2644202010101808021070</v>
      </c>
      <c r="C466" s="5" t="s">
        <v>12</v>
      </c>
      <c r="D466" s="5" t="str">
        <f>"刘楚童"</f>
        <v>刘楚童</v>
      </c>
      <c r="E466" s="5" t="str">
        <f>"女"</f>
        <v>女</v>
      </c>
    </row>
    <row r="467" spans="1:5" ht="30" customHeight="1">
      <c r="A467" s="4">
        <v>465</v>
      </c>
      <c r="B467" s="5" t="str">
        <f>"2644202010101937311092"</f>
        <v>2644202010101937311092</v>
      </c>
      <c r="C467" s="5" t="s">
        <v>12</v>
      </c>
      <c r="D467" s="5" t="str">
        <f>"谭玥"</f>
        <v>谭玥</v>
      </c>
      <c r="E467" s="5" t="str">
        <f>"女"</f>
        <v>女</v>
      </c>
    </row>
    <row r="468" spans="1:5" ht="30" customHeight="1">
      <c r="A468" s="4">
        <v>466</v>
      </c>
      <c r="B468" s="5" t="str">
        <f>"2644202010101957071097"</f>
        <v>2644202010101957071097</v>
      </c>
      <c r="C468" s="5" t="s">
        <v>12</v>
      </c>
      <c r="D468" s="5" t="str">
        <f>"韩敏"</f>
        <v>韩敏</v>
      </c>
      <c r="E468" s="5" t="str">
        <f>"女"</f>
        <v>女</v>
      </c>
    </row>
    <row r="469" spans="1:5" ht="30" customHeight="1">
      <c r="A469" s="4">
        <v>467</v>
      </c>
      <c r="B469" s="5" t="str">
        <f>"2644202010102113241121"</f>
        <v>2644202010102113241121</v>
      </c>
      <c r="C469" s="5" t="s">
        <v>12</v>
      </c>
      <c r="D469" s="5" t="str">
        <f>"苏祥鹏"</f>
        <v>苏祥鹏</v>
      </c>
      <c r="E469" s="5" t="str">
        <f>"男"</f>
        <v>男</v>
      </c>
    </row>
    <row r="470" spans="1:5" ht="30" customHeight="1">
      <c r="A470" s="4">
        <v>468</v>
      </c>
      <c r="B470" s="5" t="str">
        <f>"2644202010102118031123"</f>
        <v>2644202010102118031123</v>
      </c>
      <c r="C470" s="5" t="s">
        <v>12</v>
      </c>
      <c r="D470" s="5" t="str">
        <f>"刘文艳"</f>
        <v>刘文艳</v>
      </c>
      <c r="E470" s="5" t="str">
        <f aca="true" t="shared" si="14" ref="E470:E484">"女"</f>
        <v>女</v>
      </c>
    </row>
    <row r="471" spans="1:5" ht="30" customHeight="1">
      <c r="A471" s="4">
        <v>469</v>
      </c>
      <c r="B471" s="5" t="str">
        <f>"2644202010102145291136"</f>
        <v>2644202010102145291136</v>
      </c>
      <c r="C471" s="5" t="s">
        <v>12</v>
      </c>
      <c r="D471" s="5" t="str">
        <f>"许鑫"</f>
        <v>许鑫</v>
      </c>
      <c r="E471" s="5" t="str">
        <f t="shared" si="14"/>
        <v>女</v>
      </c>
    </row>
    <row r="472" spans="1:5" ht="30" customHeight="1">
      <c r="A472" s="4">
        <v>470</v>
      </c>
      <c r="B472" s="5" t="str">
        <f>"2644202010102216021146"</f>
        <v>2644202010102216021146</v>
      </c>
      <c r="C472" s="5" t="s">
        <v>12</v>
      </c>
      <c r="D472" s="5" t="str">
        <f>"吴欣怡"</f>
        <v>吴欣怡</v>
      </c>
      <c r="E472" s="5" t="str">
        <f t="shared" si="14"/>
        <v>女</v>
      </c>
    </row>
    <row r="473" spans="1:5" ht="30" customHeight="1">
      <c r="A473" s="4">
        <v>471</v>
      </c>
      <c r="B473" s="5" t="str">
        <f>"2644202010102232501150"</f>
        <v>2644202010102232501150</v>
      </c>
      <c r="C473" s="5" t="s">
        <v>12</v>
      </c>
      <c r="D473" s="5" t="str">
        <f>"秦伟红"</f>
        <v>秦伟红</v>
      </c>
      <c r="E473" s="5" t="str">
        <f t="shared" si="14"/>
        <v>女</v>
      </c>
    </row>
    <row r="474" spans="1:5" ht="30" customHeight="1">
      <c r="A474" s="4">
        <v>472</v>
      </c>
      <c r="B474" s="5" t="str">
        <f>"2644202010102254151154"</f>
        <v>2644202010102254151154</v>
      </c>
      <c r="C474" s="5" t="s">
        <v>12</v>
      </c>
      <c r="D474" s="5" t="str">
        <f>"胡严莉"</f>
        <v>胡严莉</v>
      </c>
      <c r="E474" s="5" t="str">
        <f t="shared" si="14"/>
        <v>女</v>
      </c>
    </row>
    <row r="475" spans="1:5" ht="30" customHeight="1">
      <c r="A475" s="4">
        <v>473</v>
      </c>
      <c r="B475" s="5" t="str">
        <f>"2644202010102325411158"</f>
        <v>2644202010102325411158</v>
      </c>
      <c r="C475" s="5" t="s">
        <v>12</v>
      </c>
      <c r="D475" s="5" t="str">
        <f>"邢维阳"</f>
        <v>邢维阳</v>
      </c>
      <c r="E475" s="5" t="str">
        <f t="shared" si="14"/>
        <v>女</v>
      </c>
    </row>
    <row r="476" spans="1:5" ht="30" customHeight="1">
      <c r="A476" s="4">
        <v>474</v>
      </c>
      <c r="B476" s="5" t="str">
        <f>"2644202010102327551159"</f>
        <v>2644202010102327551159</v>
      </c>
      <c r="C476" s="5" t="s">
        <v>12</v>
      </c>
      <c r="D476" s="5" t="str">
        <f>"吉卓朗"</f>
        <v>吉卓朗</v>
      </c>
      <c r="E476" s="5" t="str">
        <f t="shared" si="14"/>
        <v>女</v>
      </c>
    </row>
    <row r="477" spans="1:5" ht="30" customHeight="1">
      <c r="A477" s="4">
        <v>475</v>
      </c>
      <c r="B477" s="5" t="str">
        <f>"2644202010110129101172"</f>
        <v>2644202010110129101172</v>
      </c>
      <c r="C477" s="5" t="s">
        <v>12</v>
      </c>
      <c r="D477" s="5" t="str">
        <f>"潘宜慧"</f>
        <v>潘宜慧</v>
      </c>
      <c r="E477" s="5" t="str">
        <f t="shared" si="14"/>
        <v>女</v>
      </c>
    </row>
    <row r="478" spans="1:5" ht="30" customHeight="1">
      <c r="A478" s="4">
        <v>476</v>
      </c>
      <c r="B478" s="5" t="str">
        <f>"2644202010110216181175"</f>
        <v>2644202010110216181175</v>
      </c>
      <c r="C478" s="5" t="s">
        <v>12</v>
      </c>
      <c r="D478" s="5" t="str">
        <f>"肖明燕"</f>
        <v>肖明燕</v>
      </c>
      <c r="E478" s="5" t="str">
        <f t="shared" si="14"/>
        <v>女</v>
      </c>
    </row>
    <row r="479" spans="1:5" ht="30" customHeight="1">
      <c r="A479" s="4">
        <v>477</v>
      </c>
      <c r="B479" s="5" t="str">
        <f>"2644202010110309581176"</f>
        <v>2644202010110309581176</v>
      </c>
      <c r="C479" s="5" t="s">
        <v>12</v>
      </c>
      <c r="D479" s="5" t="str">
        <f>"周幸臻"</f>
        <v>周幸臻</v>
      </c>
      <c r="E479" s="5" t="str">
        <f t="shared" si="14"/>
        <v>女</v>
      </c>
    </row>
    <row r="480" spans="1:5" ht="30" customHeight="1">
      <c r="A480" s="4">
        <v>478</v>
      </c>
      <c r="B480" s="5" t="str">
        <f>"2644202010110826151183"</f>
        <v>2644202010110826151183</v>
      </c>
      <c r="C480" s="5" t="s">
        <v>12</v>
      </c>
      <c r="D480" s="5" t="str">
        <f>"朱庆庆"</f>
        <v>朱庆庆</v>
      </c>
      <c r="E480" s="5" t="str">
        <f t="shared" si="14"/>
        <v>女</v>
      </c>
    </row>
    <row r="481" spans="1:5" ht="30" customHeight="1">
      <c r="A481" s="4">
        <v>479</v>
      </c>
      <c r="B481" s="5" t="str">
        <f>"2644202010110924331194"</f>
        <v>2644202010110924331194</v>
      </c>
      <c r="C481" s="5" t="s">
        <v>12</v>
      </c>
      <c r="D481" s="5" t="str">
        <f>"李冰冰"</f>
        <v>李冰冰</v>
      </c>
      <c r="E481" s="5" t="str">
        <f t="shared" si="14"/>
        <v>女</v>
      </c>
    </row>
    <row r="482" spans="1:5" ht="30" customHeight="1">
      <c r="A482" s="4">
        <v>480</v>
      </c>
      <c r="B482" s="5" t="str">
        <f>"2644202010111023271208"</f>
        <v>2644202010111023271208</v>
      </c>
      <c r="C482" s="5" t="s">
        <v>12</v>
      </c>
      <c r="D482" s="5" t="str">
        <f>"陈晖"</f>
        <v>陈晖</v>
      </c>
      <c r="E482" s="5" t="str">
        <f t="shared" si="14"/>
        <v>女</v>
      </c>
    </row>
    <row r="483" spans="1:5" ht="30" customHeight="1">
      <c r="A483" s="4">
        <v>481</v>
      </c>
      <c r="B483" s="5" t="str">
        <f>"2644202010111107191221"</f>
        <v>2644202010111107191221</v>
      </c>
      <c r="C483" s="5" t="s">
        <v>12</v>
      </c>
      <c r="D483" s="5" t="str">
        <f>"王景春"</f>
        <v>王景春</v>
      </c>
      <c r="E483" s="5" t="str">
        <f t="shared" si="14"/>
        <v>女</v>
      </c>
    </row>
    <row r="484" spans="1:5" ht="30" customHeight="1">
      <c r="A484" s="4">
        <v>482</v>
      </c>
      <c r="B484" s="5" t="str">
        <f>"2644202010111118101225"</f>
        <v>2644202010111118101225</v>
      </c>
      <c r="C484" s="5" t="s">
        <v>12</v>
      </c>
      <c r="D484" s="5" t="str">
        <f>"程财英"</f>
        <v>程财英</v>
      </c>
      <c r="E484" s="5" t="str">
        <f t="shared" si="14"/>
        <v>女</v>
      </c>
    </row>
    <row r="485" spans="1:5" ht="30" customHeight="1">
      <c r="A485" s="4">
        <v>483</v>
      </c>
      <c r="B485" s="5" t="str">
        <f>"2644202010111131291228"</f>
        <v>2644202010111131291228</v>
      </c>
      <c r="C485" s="5" t="s">
        <v>12</v>
      </c>
      <c r="D485" s="5" t="str">
        <f>"赖亚迪"</f>
        <v>赖亚迪</v>
      </c>
      <c r="E485" s="5" t="str">
        <f>"男"</f>
        <v>男</v>
      </c>
    </row>
    <row r="486" spans="1:5" ht="30" customHeight="1">
      <c r="A486" s="4">
        <v>484</v>
      </c>
      <c r="B486" s="5" t="str">
        <f>"2644202010111137031230"</f>
        <v>2644202010111137031230</v>
      </c>
      <c r="C486" s="5" t="s">
        <v>12</v>
      </c>
      <c r="D486" s="5" t="str">
        <f>"王媛"</f>
        <v>王媛</v>
      </c>
      <c r="E486" s="5" t="str">
        <f>"女"</f>
        <v>女</v>
      </c>
    </row>
    <row r="487" spans="1:5" ht="30" customHeight="1">
      <c r="A487" s="4">
        <v>485</v>
      </c>
      <c r="B487" s="5" t="str">
        <f>"2644202010111202351236"</f>
        <v>2644202010111202351236</v>
      </c>
      <c r="C487" s="5" t="s">
        <v>12</v>
      </c>
      <c r="D487" s="5" t="str">
        <f>"陈玉娇"</f>
        <v>陈玉娇</v>
      </c>
      <c r="E487" s="5" t="str">
        <f>"女"</f>
        <v>女</v>
      </c>
    </row>
    <row r="488" spans="1:5" ht="30" customHeight="1">
      <c r="A488" s="4">
        <v>486</v>
      </c>
      <c r="B488" s="5" t="str">
        <f>"2644202010111222171245"</f>
        <v>2644202010111222171245</v>
      </c>
      <c r="C488" s="5" t="s">
        <v>12</v>
      </c>
      <c r="D488" s="5" t="str">
        <f>"周朝阳"</f>
        <v>周朝阳</v>
      </c>
      <c r="E488" s="5" t="str">
        <f>"女"</f>
        <v>女</v>
      </c>
    </row>
    <row r="489" spans="1:5" ht="30" customHeight="1">
      <c r="A489" s="4">
        <v>487</v>
      </c>
      <c r="B489" s="5" t="str">
        <f>"2644202010111245131252"</f>
        <v>2644202010111245131252</v>
      </c>
      <c r="C489" s="5" t="s">
        <v>12</v>
      </c>
      <c r="D489" s="5" t="str">
        <f>"杨云倩"</f>
        <v>杨云倩</v>
      </c>
      <c r="E489" s="5" t="str">
        <f>"女"</f>
        <v>女</v>
      </c>
    </row>
    <row r="490" spans="1:5" ht="30" customHeight="1">
      <c r="A490" s="4">
        <v>488</v>
      </c>
      <c r="B490" s="5" t="str">
        <f>"2644202010111400521271"</f>
        <v>2644202010111400521271</v>
      </c>
      <c r="C490" s="5" t="s">
        <v>12</v>
      </c>
      <c r="D490" s="5" t="str">
        <f>"冯梦如"</f>
        <v>冯梦如</v>
      </c>
      <c r="E490" s="5" t="str">
        <f>"女"</f>
        <v>女</v>
      </c>
    </row>
    <row r="491" spans="1:5" ht="30" customHeight="1">
      <c r="A491" s="4">
        <v>489</v>
      </c>
      <c r="B491" s="5" t="str">
        <f>"2644202010111457361289"</f>
        <v>2644202010111457361289</v>
      </c>
      <c r="C491" s="5" t="s">
        <v>12</v>
      </c>
      <c r="D491" s="5" t="str">
        <f>"陈健"</f>
        <v>陈健</v>
      </c>
      <c r="E491" s="5" t="str">
        <f>"男"</f>
        <v>男</v>
      </c>
    </row>
    <row r="492" spans="1:5" ht="30" customHeight="1">
      <c r="A492" s="4">
        <v>490</v>
      </c>
      <c r="B492" s="5" t="str">
        <f>"2644202010111545241302"</f>
        <v>2644202010111545241302</v>
      </c>
      <c r="C492" s="5" t="s">
        <v>12</v>
      </c>
      <c r="D492" s="5" t="str">
        <f>"张静"</f>
        <v>张静</v>
      </c>
      <c r="E492" s="5" t="str">
        <f>"女"</f>
        <v>女</v>
      </c>
    </row>
    <row r="493" spans="1:5" ht="30" customHeight="1">
      <c r="A493" s="4">
        <v>491</v>
      </c>
      <c r="B493" s="5" t="str">
        <f>"2644202010111601501306"</f>
        <v>2644202010111601501306</v>
      </c>
      <c r="C493" s="5" t="s">
        <v>12</v>
      </c>
      <c r="D493" s="5" t="str">
        <f>"庄扬纯"</f>
        <v>庄扬纯</v>
      </c>
      <c r="E493" s="5" t="str">
        <f>"女"</f>
        <v>女</v>
      </c>
    </row>
    <row r="494" spans="1:5" ht="30" customHeight="1">
      <c r="A494" s="4">
        <v>492</v>
      </c>
      <c r="B494" s="5" t="str">
        <f>"2644202010111626071315"</f>
        <v>2644202010111626071315</v>
      </c>
      <c r="C494" s="5" t="s">
        <v>12</v>
      </c>
      <c r="D494" s="5" t="str">
        <f>"连英如"</f>
        <v>连英如</v>
      </c>
      <c r="E494" s="5" t="str">
        <f>"女"</f>
        <v>女</v>
      </c>
    </row>
    <row r="495" spans="1:5" ht="30" customHeight="1">
      <c r="A495" s="4">
        <v>493</v>
      </c>
      <c r="B495" s="5" t="str">
        <f>"2644202010111626571316"</f>
        <v>2644202010111626571316</v>
      </c>
      <c r="C495" s="5" t="s">
        <v>12</v>
      </c>
      <c r="D495" s="5" t="str">
        <f>"梁晓灵"</f>
        <v>梁晓灵</v>
      </c>
      <c r="E495" s="5" t="str">
        <f>"女"</f>
        <v>女</v>
      </c>
    </row>
    <row r="496" spans="1:5" ht="30" customHeight="1">
      <c r="A496" s="4">
        <v>494</v>
      </c>
      <c r="B496" s="5" t="str">
        <f>"2644202010111629581317"</f>
        <v>2644202010111629581317</v>
      </c>
      <c r="C496" s="5" t="s">
        <v>12</v>
      </c>
      <c r="D496" s="5" t="str">
        <f>"杨泽栋"</f>
        <v>杨泽栋</v>
      </c>
      <c r="E496" s="5" t="str">
        <f>"男"</f>
        <v>男</v>
      </c>
    </row>
    <row r="497" spans="1:5" ht="30" customHeight="1">
      <c r="A497" s="4">
        <v>495</v>
      </c>
      <c r="B497" s="5" t="str">
        <f>"2644202010111644371325"</f>
        <v>2644202010111644371325</v>
      </c>
      <c r="C497" s="5" t="s">
        <v>12</v>
      </c>
      <c r="D497" s="5" t="str">
        <f>"王华丽"</f>
        <v>王华丽</v>
      </c>
      <c r="E497" s="5" t="str">
        <f aca="true" t="shared" si="15" ref="E497:E502">"女"</f>
        <v>女</v>
      </c>
    </row>
    <row r="498" spans="1:5" ht="30" customHeight="1">
      <c r="A498" s="4">
        <v>496</v>
      </c>
      <c r="B498" s="5" t="str">
        <f>"2644202010111717571338"</f>
        <v>2644202010111717571338</v>
      </c>
      <c r="C498" s="5" t="s">
        <v>12</v>
      </c>
      <c r="D498" s="5" t="str">
        <f>"黄玺"</f>
        <v>黄玺</v>
      </c>
      <c r="E498" s="5" t="str">
        <f t="shared" si="15"/>
        <v>女</v>
      </c>
    </row>
    <row r="499" spans="1:5" ht="30" customHeight="1">
      <c r="A499" s="4">
        <v>497</v>
      </c>
      <c r="B499" s="5" t="str">
        <f>"2644202010111724401342"</f>
        <v>2644202010111724401342</v>
      </c>
      <c r="C499" s="5" t="s">
        <v>12</v>
      </c>
      <c r="D499" s="5" t="str">
        <f>"何学秀"</f>
        <v>何学秀</v>
      </c>
      <c r="E499" s="5" t="str">
        <f t="shared" si="15"/>
        <v>女</v>
      </c>
    </row>
    <row r="500" spans="1:5" ht="30" customHeight="1">
      <c r="A500" s="4">
        <v>498</v>
      </c>
      <c r="B500" s="5" t="str">
        <f>"2644202010111831581355"</f>
        <v>2644202010111831581355</v>
      </c>
      <c r="C500" s="5" t="s">
        <v>12</v>
      </c>
      <c r="D500" s="5" t="str">
        <f>"陈更新"</f>
        <v>陈更新</v>
      </c>
      <c r="E500" s="5" t="str">
        <f t="shared" si="15"/>
        <v>女</v>
      </c>
    </row>
    <row r="501" spans="1:5" ht="30" customHeight="1">
      <c r="A501" s="4">
        <v>499</v>
      </c>
      <c r="B501" s="5" t="str">
        <f>"2644202010111848411361"</f>
        <v>2644202010111848411361</v>
      </c>
      <c r="C501" s="5" t="s">
        <v>12</v>
      </c>
      <c r="D501" s="5" t="str">
        <f>"陈积婷"</f>
        <v>陈积婷</v>
      </c>
      <c r="E501" s="5" t="str">
        <f t="shared" si="15"/>
        <v>女</v>
      </c>
    </row>
    <row r="502" spans="1:5" ht="30" customHeight="1">
      <c r="A502" s="4">
        <v>500</v>
      </c>
      <c r="B502" s="5" t="str">
        <f>"2644202010111855191363"</f>
        <v>2644202010111855191363</v>
      </c>
      <c r="C502" s="5" t="s">
        <v>12</v>
      </c>
      <c r="D502" s="5" t="str">
        <f>"吴玉姑"</f>
        <v>吴玉姑</v>
      </c>
      <c r="E502" s="5" t="str">
        <f t="shared" si="15"/>
        <v>女</v>
      </c>
    </row>
    <row r="503" spans="1:5" ht="30" customHeight="1">
      <c r="A503" s="4">
        <v>501</v>
      </c>
      <c r="B503" s="5" t="str">
        <f>"2644202010111925561371"</f>
        <v>2644202010111925561371</v>
      </c>
      <c r="C503" s="5" t="s">
        <v>12</v>
      </c>
      <c r="D503" s="5" t="str">
        <f>"王咸弟"</f>
        <v>王咸弟</v>
      </c>
      <c r="E503" s="5" t="str">
        <f>"男"</f>
        <v>男</v>
      </c>
    </row>
    <row r="504" spans="1:5" ht="30" customHeight="1">
      <c r="A504" s="4">
        <v>502</v>
      </c>
      <c r="B504" s="5" t="str">
        <f>"2644202010112006331387"</f>
        <v>2644202010112006331387</v>
      </c>
      <c r="C504" s="5" t="s">
        <v>12</v>
      </c>
      <c r="D504" s="5" t="str">
        <f>"郑霖刚"</f>
        <v>郑霖刚</v>
      </c>
      <c r="E504" s="5" t="str">
        <f>"男"</f>
        <v>男</v>
      </c>
    </row>
    <row r="505" spans="1:5" ht="30" customHeight="1">
      <c r="A505" s="4">
        <v>503</v>
      </c>
      <c r="B505" s="5" t="str">
        <f>"2644202010112027241394"</f>
        <v>2644202010112027241394</v>
      </c>
      <c r="C505" s="5" t="s">
        <v>12</v>
      </c>
      <c r="D505" s="5" t="str">
        <f>"符森"</f>
        <v>符森</v>
      </c>
      <c r="E505" s="5" t="str">
        <f>"男"</f>
        <v>男</v>
      </c>
    </row>
    <row r="506" spans="1:5" ht="30" customHeight="1">
      <c r="A506" s="4">
        <v>504</v>
      </c>
      <c r="B506" s="5" t="str">
        <f>"2644202010112036461397"</f>
        <v>2644202010112036461397</v>
      </c>
      <c r="C506" s="5" t="s">
        <v>12</v>
      </c>
      <c r="D506" s="5" t="str">
        <f>"朱典兰"</f>
        <v>朱典兰</v>
      </c>
      <c r="E506" s="5" t="str">
        <f>"女"</f>
        <v>女</v>
      </c>
    </row>
    <row r="507" spans="1:5" ht="30" customHeight="1">
      <c r="A507" s="4">
        <v>505</v>
      </c>
      <c r="B507" s="5" t="str">
        <f>"2644202010112047491402"</f>
        <v>2644202010112047491402</v>
      </c>
      <c r="C507" s="5" t="s">
        <v>12</v>
      </c>
      <c r="D507" s="5" t="str">
        <f>"李佳烨"</f>
        <v>李佳烨</v>
      </c>
      <c r="E507" s="5" t="str">
        <f>"女"</f>
        <v>女</v>
      </c>
    </row>
    <row r="508" spans="1:5" ht="30" customHeight="1">
      <c r="A508" s="4">
        <v>506</v>
      </c>
      <c r="B508" s="5" t="str">
        <f>"2644202010112129421418"</f>
        <v>2644202010112129421418</v>
      </c>
      <c r="C508" s="5" t="s">
        <v>12</v>
      </c>
      <c r="D508" s="5" t="str">
        <f>"翁鑫彬"</f>
        <v>翁鑫彬</v>
      </c>
      <c r="E508" s="5" t="str">
        <f>"男"</f>
        <v>男</v>
      </c>
    </row>
    <row r="509" spans="1:5" ht="30" customHeight="1">
      <c r="A509" s="4">
        <v>507</v>
      </c>
      <c r="B509" s="5" t="str">
        <f>"2644202010112140541420"</f>
        <v>2644202010112140541420</v>
      </c>
      <c r="C509" s="5" t="s">
        <v>12</v>
      </c>
      <c r="D509" s="5" t="str">
        <f>"陈彩凤"</f>
        <v>陈彩凤</v>
      </c>
      <c r="E509" s="5" t="str">
        <f aca="true" t="shared" si="16" ref="E509:E515">"女"</f>
        <v>女</v>
      </c>
    </row>
    <row r="510" spans="1:5" ht="30" customHeight="1">
      <c r="A510" s="4">
        <v>508</v>
      </c>
      <c r="B510" s="5" t="str">
        <f>"2644202010112214291430"</f>
        <v>2644202010112214291430</v>
      </c>
      <c r="C510" s="5" t="s">
        <v>12</v>
      </c>
      <c r="D510" s="5" t="str">
        <f>"陈娇"</f>
        <v>陈娇</v>
      </c>
      <c r="E510" s="5" t="str">
        <f t="shared" si="16"/>
        <v>女</v>
      </c>
    </row>
    <row r="511" spans="1:5" ht="30" customHeight="1">
      <c r="A511" s="4">
        <v>509</v>
      </c>
      <c r="B511" s="5" t="str">
        <f>"2644202010112222051432"</f>
        <v>2644202010112222051432</v>
      </c>
      <c r="C511" s="5" t="s">
        <v>12</v>
      </c>
      <c r="D511" s="5" t="str">
        <f>"伍燕敏"</f>
        <v>伍燕敏</v>
      </c>
      <c r="E511" s="5" t="str">
        <f t="shared" si="16"/>
        <v>女</v>
      </c>
    </row>
    <row r="512" spans="1:5" ht="30" customHeight="1">
      <c r="A512" s="4">
        <v>510</v>
      </c>
      <c r="B512" s="5" t="str">
        <f>"2644202010112312281442"</f>
        <v>2644202010112312281442</v>
      </c>
      <c r="C512" s="5" t="s">
        <v>12</v>
      </c>
      <c r="D512" s="5" t="str">
        <f>"朱剑丽"</f>
        <v>朱剑丽</v>
      </c>
      <c r="E512" s="5" t="str">
        <f t="shared" si="16"/>
        <v>女</v>
      </c>
    </row>
    <row r="513" spans="1:5" ht="30" customHeight="1">
      <c r="A513" s="4">
        <v>511</v>
      </c>
      <c r="B513" s="5" t="str">
        <f>"2644202010112316441445"</f>
        <v>2644202010112316441445</v>
      </c>
      <c r="C513" s="5" t="s">
        <v>12</v>
      </c>
      <c r="D513" s="5" t="str">
        <f>"黄慧玲"</f>
        <v>黄慧玲</v>
      </c>
      <c r="E513" s="5" t="str">
        <f t="shared" si="16"/>
        <v>女</v>
      </c>
    </row>
    <row r="514" spans="1:5" ht="30" customHeight="1">
      <c r="A514" s="4">
        <v>512</v>
      </c>
      <c r="B514" s="5" t="str">
        <f>"2644202010112325211449"</f>
        <v>2644202010112325211449</v>
      </c>
      <c r="C514" s="5" t="s">
        <v>12</v>
      </c>
      <c r="D514" s="5" t="str">
        <f>"黄凯慧"</f>
        <v>黄凯慧</v>
      </c>
      <c r="E514" s="5" t="str">
        <f t="shared" si="16"/>
        <v>女</v>
      </c>
    </row>
    <row r="515" spans="1:5" ht="30" customHeight="1">
      <c r="A515" s="4">
        <v>513</v>
      </c>
      <c r="B515" s="5" t="str">
        <f>"2644202010120050351457"</f>
        <v>2644202010120050351457</v>
      </c>
      <c r="C515" s="5" t="s">
        <v>12</v>
      </c>
      <c r="D515" s="5" t="str">
        <f>"羊艳妹"</f>
        <v>羊艳妹</v>
      </c>
      <c r="E515" s="5" t="str">
        <f t="shared" si="16"/>
        <v>女</v>
      </c>
    </row>
    <row r="516" spans="1:5" ht="30" customHeight="1">
      <c r="A516" s="4">
        <v>514</v>
      </c>
      <c r="B516" s="5" t="str">
        <f>"2644202010120851431469"</f>
        <v>2644202010120851431469</v>
      </c>
      <c r="C516" s="5" t="s">
        <v>12</v>
      </c>
      <c r="D516" s="5" t="str">
        <f>"吴昌钊"</f>
        <v>吴昌钊</v>
      </c>
      <c r="E516" s="5" t="str">
        <f>"男"</f>
        <v>男</v>
      </c>
    </row>
    <row r="517" spans="1:5" ht="30" customHeight="1">
      <c r="A517" s="4">
        <v>515</v>
      </c>
      <c r="B517" s="5" t="str">
        <f>"2644202010120922201479"</f>
        <v>2644202010120922201479</v>
      </c>
      <c r="C517" s="5" t="s">
        <v>12</v>
      </c>
      <c r="D517" s="5" t="str">
        <f>"李步韬"</f>
        <v>李步韬</v>
      </c>
      <c r="E517" s="5" t="str">
        <f>"男"</f>
        <v>男</v>
      </c>
    </row>
    <row r="518" spans="1:5" ht="30" customHeight="1">
      <c r="A518" s="4">
        <v>516</v>
      </c>
      <c r="B518" s="5" t="str">
        <f>"2644202010120924001481"</f>
        <v>2644202010120924001481</v>
      </c>
      <c r="C518" s="5" t="s">
        <v>12</v>
      </c>
      <c r="D518" s="5" t="str">
        <f>"蒙亚妹"</f>
        <v>蒙亚妹</v>
      </c>
      <c r="E518" s="5" t="str">
        <f aca="true" t="shared" si="17" ref="E518:E526">"女"</f>
        <v>女</v>
      </c>
    </row>
    <row r="519" spans="1:5" ht="30" customHeight="1">
      <c r="A519" s="4">
        <v>517</v>
      </c>
      <c r="B519" s="5" t="str">
        <f>"2644202010120948111492"</f>
        <v>2644202010120948111492</v>
      </c>
      <c r="C519" s="5" t="s">
        <v>12</v>
      </c>
      <c r="D519" s="5" t="str">
        <f>"赵曦"</f>
        <v>赵曦</v>
      </c>
      <c r="E519" s="5" t="str">
        <f t="shared" si="17"/>
        <v>女</v>
      </c>
    </row>
    <row r="520" spans="1:5" ht="30" customHeight="1">
      <c r="A520" s="4">
        <v>518</v>
      </c>
      <c r="B520" s="5" t="str">
        <f>"2644202010121008481500"</f>
        <v>2644202010121008481500</v>
      </c>
      <c r="C520" s="5" t="s">
        <v>12</v>
      </c>
      <c r="D520" s="5" t="str">
        <f>"王东晨"</f>
        <v>王东晨</v>
      </c>
      <c r="E520" s="5" t="str">
        <f t="shared" si="17"/>
        <v>女</v>
      </c>
    </row>
    <row r="521" spans="1:5" ht="30" customHeight="1">
      <c r="A521" s="4">
        <v>519</v>
      </c>
      <c r="B521" s="5" t="str">
        <f>"2644202010121027161507"</f>
        <v>2644202010121027161507</v>
      </c>
      <c r="C521" s="5" t="s">
        <v>12</v>
      </c>
      <c r="D521" s="5" t="str">
        <f>"王晓平"</f>
        <v>王晓平</v>
      </c>
      <c r="E521" s="5" t="str">
        <f t="shared" si="17"/>
        <v>女</v>
      </c>
    </row>
    <row r="522" spans="1:5" ht="30" customHeight="1">
      <c r="A522" s="4">
        <v>520</v>
      </c>
      <c r="B522" s="5" t="str">
        <f>"2644202010121055121515"</f>
        <v>2644202010121055121515</v>
      </c>
      <c r="C522" s="5" t="s">
        <v>12</v>
      </c>
      <c r="D522" s="5" t="str">
        <f>"周美荣"</f>
        <v>周美荣</v>
      </c>
      <c r="E522" s="5" t="str">
        <f t="shared" si="17"/>
        <v>女</v>
      </c>
    </row>
    <row r="523" spans="1:5" ht="30" customHeight="1">
      <c r="A523" s="4">
        <v>521</v>
      </c>
      <c r="B523" s="5" t="str">
        <f>"2644202010121056311516"</f>
        <v>2644202010121056311516</v>
      </c>
      <c r="C523" s="5" t="s">
        <v>12</v>
      </c>
      <c r="D523" s="5" t="str">
        <f>"方少玉"</f>
        <v>方少玉</v>
      </c>
      <c r="E523" s="5" t="str">
        <f t="shared" si="17"/>
        <v>女</v>
      </c>
    </row>
    <row r="524" spans="1:5" ht="30" customHeight="1">
      <c r="A524" s="4">
        <v>522</v>
      </c>
      <c r="B524" s="5" t="str">
        <f>"2644202010121100411520"</f>
        <v>2644202010121100411520</v>
      </c>
      <c r="C524" s="5" t="s">
        <v>12</v>
      </c>
      <c r="D524" s="5" t="str">
        <f>"高建玉"</f>
        <v>高建玉</v>
      </c>
      <c r="E524" s="5" t="str">
        <f t="shared" si="17"/>
        <v>女</v>
      </c>
    </row>
    <row r="525" spans="1:5" ht="30" customHeight="1">
      <c r="A525" s="4">
        <v>523</v>
      </c>
      <c r="B525" s="5" t="str">
        <f>"2644202010121101521521"</f>
        <v>2644202010121101521521</v>
      </c>
      <c r="C525" s="5" t="s">
        <v>12</v>
      </c>
      <c r="D525" s="5" t="str">
        <f>"陈薇夷"</f>
        <v>陈薇夷</v>
      </c>
      <c r="E525" s="5" t="str">
        <f t="shared" si="17"/>
        <v>女</v>
      </c>
    </row>
    <row r="526" spans="1:5" ht="30" customHeight="1">
      <c r="A526" s="4">
        <v>524</v>
      </c>
      <c r="B526" s="5" t="str">
        <f>"2644202010121133371537"</f>
        <v>2644202010121133371537</v>
      </c>
      <c r="C526" s="5" t="s">
        <v>12</v>
      </c>
      <c r="D526" s="5" t="str">
        <f>"翁书妙"</f>
        <v>翁书妙</v>
      </c>
      <c r="E526" s="5" t="str">
        <f t="shared" si="17"/>
        <v>女</v>
      </c>
    </row>
    <row r="527" spans="1:5" ht="30" customHeight="1">
      <c r="A527" s="4">
        <v>525</v>
      </c>
      <c r="B527" s="5" t="str">
        <f>"2644202010121207371553"</f>
        <v>2644202010121207371553</v>
      </c>
      <c r="C527" s="5" t="s">
        <v>12</v>
      </c>
      <c r="D527" s="5" t="str">
        <f>"陈国丰"</f>
        <v>陈国丰</v>
      </c>
      <c r="E527" s="5" t="str">
        <f>"男"</f>
        <v>男</v>
      </c>
    </row>
    <row r="528" spans="1:5" ht="30" customHeight="1">
      <c r="A528" s="4">
        <v>526</v>
      </c>
      <c r="B528" s="5" t="str">
        <f>"2644202010121241411558"</f>
        <v>2644202010121241411558</v>
      </c>
      <c r="C528" s="5" t="s">
        <v>12</v>
      </c>
      <c r="D528" s="5" t="str">
        <f>"胡芯"</f>
        <v>胡芯</v>
      </c>
      <c r="E528" s="5" t="str">
        <f aca="true" t="shared" si="18" ref="E528:E535">"女"</f>
        <v>女</v>
      </c>
    </row>
    <row r="529" spans="1:5" ht="30" customHeight="1">
      <c r="A529" s="4">
        <v>527</v>
      </c>
      <c r="B529" s="5" t="str">
        <f>"2644202010121245471559"</f>
        <v>2644202010121245471559</v>
      </c>
      <c r="C529" s="5" t="s">
        <v>12</v>
      </c>
      <c r="D529" s="5" t="str">
        <f>"洪月娇"</f>
        <v>洪月娇</v>
      </c>
      <c r="E529" s="5" t="str">
        <f t="shared" si="18"/>
        <v>女</v>
      </c>
    </row>
    <row r="530" spans="1:5" ht="30" customHeight="1">
      <c r="A530" s="4">
        <v>528</v>
      </c>
      <c r="B530" s="5" t="str">
        <f>"2644202010121338051570"</f>
        <v>2644202010121338051570</v>
      </c>
      <c r="C530" s="5" t="s">
        <v>12</v>
      </c>
      <c r="D530" s="5" t="str">
        <f>"张瀚玉"</f>
        <v>张瀚玉</v>
      </c>
      <c r="E530" s="5" t="str">
        <f t="shared" si="18"/>
        <v>女</v>
      </c>
    </row>
    <row r="531" spans="1:5" ht="30" customHeight="1">
      <c r="A531" s="4">
        <v>529</v>
      </c>
      <c r="B531" s="5" t="str">
        <f>"2644202010121339551571"</f>
        <v>2644202010121339551571</v>
      </c>
      <c r="C531" s="5" t="s">
        <v>12</v>
      </c>
      <c r="D531" s="5" t="str">
        <f>"林香元"</f>
        <v>林香元</v>
      </c>
      <c r="E531" s="5" t="str">
        <f t="shared" si="18"/>
        <v>女</v>
      </c>
    </row>
    <row r="532" spans="1:5" ht="30" customHeight="1">
      <c r="A532" s="4">
        <v>530</v>
      </c>
      <c r="B532" s="5" t="str">
        <f>"2644202010121359221575"</f>
        <v>2644202010121359221575</v>
      </c>
      <c r="C532" s="5" t="s">
        <v>12</v>
      </c>
      <c r="D532" s="5" t="str">
        <f>"李宛如"</f>
        <v>李宛如</v>
      </c>
      <c r="E532" s="5" t="str">
        <f t="shared" si="18"/>
        <v>女</v>
      </c>
    </row>
    <row r="533" spans="1:5" ht="30" customHeight="1">
      <c r="A533" s="4">
        <v>531</v>
      </c>
      <c r="B533" s="5" t="str">
        <f>"2644202010121459251597"</f>
        <v>2644202010121459251597</v>
      </c>
      <c r="C533" s="5" t="s">
        <v>12</v>
      </c>
      <c r="D533" s="5" t="str">
        <f>"张巧灵"</f>
        <v>张巧灵</v>
      </c>
      <c r="E533" s="5" t="str">
        <f t="shared" si="18"/>
        <v>女</v>
      </c>
    </row>
    <row r="534" spans="1:5" ht="30" customHeight="1">
      <c r="A534" s="4">
        <v>532</v>
      </c>
      <c r="B534" s="5" t="str">
        <f>"2644202010121459391598"</f>
        <v>2644202010121459391598</v>
      </c>
      <c r="C534" s="5" t="s">
        <v>12</v>
      </c>
      <c r="D534" s="5" t="str">
        <f>"王桃蕊"</f>
        <v>王桃蕊</v>
      </c>
      <c r="E534" s="5" t="str">
        <f t="shared" si="18"/>
        <v>女</v>
      </c>
    </row>
    <row r="535" spans="1:5" ht="30" customHeight="1">
      <c r="A535" s="4">
        <v>533</v>
      </c>
      <c r="B535" s="5" t="str">
        <f>"2644202010121509481602"</f>
        <v>2644202010121509481602</v>
      </c>
      <c r="C535" s="5" t="s">
        <v>12</v>
      </c>
      <c r="D535" s="5" t="str">
        <f>"黄明慧"</f>
        <v>黄明慧</v>
      </c>
      <c r="E535" s="5" t="str">
        <f t="shared" si="18"/>
        <v>女</v>
      </c>
    </row>
    <row r="536" spans="1:5" ht="30" customHeight="1">
      <c r="A536" s="4">
        <v>534</v>
      </c>
      <c r="B536" s="5" t="str">
        <f>"2644202010121525371614"</f>
        <v>2644202010121525371614</v>
      </c>
      <c r="C536" s="5" t="s">
        <v>12</v>
      </c>
      <c r="D536" s="5" t="str">
        <f>"林成运"</f>
        <v>林成运</v>
      </c>
      <c r="E536" s="5" t="str">
        <f>"男"</f>
        <v>男</v>
      </c>
    </row>
    <row r="537" spans="1:5" ht="30" customHeight="1">
      <c r="A537" s="4">
        <v>535</v>
      </c>
      <c r="B537" s="5" t="str">
        <f>"2644202010121541221622"</f>
        <v>2644202010121541221622</v>
      </c>
      <c r="C537" s="5" t="s">
        <v>12</v>
      </c>
      <c r="D537" s="5" t="str">
        <f>"刘乐曦"</f>
        <v>刘乐曦</v>
      </c>
      <c r="E537" s="5" t="str">
        <f aca="true" t="shared" si="19" ref="E537:E542">"女"</f>
        <v>女</v>
      </c>
    </row>
    <row r="538" spans="1:5" ht="30" customHeight="1">
      <c r="A538" s="4">
        <v>536</v>
      </c>
      <c r="B538" s="5" t="str">
        <f>"2644202010121546531624"</f>
        <v>2644202010121546531624</v>
      </c>
      <c r="C538" s="5" t="s">
        <v>12</v>
      </c>
      <c r="D538" s="5" t="str">
        <f>"李儒娟"</f>
        <v>李儒娟</v>
      </c>
      <c r="E538" s="5" t="str">
        <f t="shared" si="19"/>
        <v>女</v>
      </c>
    </row>
    <row r="539" spans="1:5" ht="30" customHeight="1">
      <c r="A539" s="4">
        <v>537</v>
      </c>
      <c r="B539" s="5" t="str">
        <f>"2644202010121556221631"</f>
        <v>2644202010121556221631</v>
      </c>
      <c r="C539" s="5" t="s">
        <v>12</v>
      </c>
      <c r="D539" s="5" t="str">
        <f>"何爱玉"</f>
        <v>何爱玉</v>
      </c>
      <c r="E539" s="5" t="str">
        <f t="shared" si="19"/>
        <v>女</v>
      </c>
    </row>
    <row r="540" spans="1:5" ht="30" customHeight="1">
      <c r="A540" s="4">
        <v>538</v>
      </c>
      <c r="B540" s="5" t="str">
        <f>"2644202010121600011634"</f>
        <v>2644202010121600011634</v>
      </c>
      <c r="C540" s="5" t="s">
        <v>12</v>
      </c>
      <c r="D540" s="5" t="str">
        <f>"王瑞珍"</f>
        <v>王瑞珍</v>
      </c>
      <c r="E540" s="5" t="str">
        <f t="shared" si="19"/>
        <v>女</v>
      </c>
    </row>
    <row r="541" spans="1:5" ht="30" customHeight="1">
      <c r="A541" s="4">
        <v>539</v>
      </c>
      <c r="B541" s="5" t="str">
        <f>"2644202010121609401638"</f>
        <v>2644202010121609401638</v>
      </c>
      <c r="C541" s="5" t="s">
        <v>12</v>
      </c>
      <c r="D541" s="5" t="str">
        <f>"陈红宇"</f>
        <v>陈红宇</v>
      </c>
      <c r="E541" s="5" t="str">
        <f t="shared" si="19"/>
        <v>女</v>
      </c>
    </row>
    <row r="542" spans="1:5" ht="30" customHeight="1">
      <c r="A542" s="4">
        <v>540</v>
      </c>
      <c r="B542" s="5" t="str">
        <f>"2644202010121628281645"</f>
        <v>2644202010121628281645</v>
      </c>
      <c r="C542" s="5" t="s">
        <v>12</v>
      </c>
      <c r="D542" s="5" t="str">
        <f>"林子月"</f>
        <v>林子月</v>
      </c>
      <c r="E542" s="5" t="str">
        <f t="shared" si="19"/>
        <v>女</v>
      </c>
    </row>
    <row r="543" spans="1:5" ht="30" customHeight="1">
      <c r="A543" s="4">
        <v>541</v>
      </c>
      <c r="B543" s="5" t="str">
        <f>"2644202010121647581647"</f>
        <v>2644202010121647581647</v>
      </c>
      <c r="C543" s="5" t="s">
        <v>12</v>
      </c>
      <c r="D543" s="5" t="str">
        <f>"刘亚之"</f>
        <v>刘亚之</v>
      </c>
      <c r="E543" s="5" t="str">
        <f>"男"</f>
        <v>男</v>
      </c>
    </row>
    <row r="544" spans="1:5" ht="30" customHeight="1">
      <c r="A544" s="4">
        <v>542</v>
      </c>
      <c r="B544" s="5" t="str">
        <f>"2644202010121649571649"</f>
        <v>2644202010121649571649</v>
      </c>
      <c r="C544" s="5" t="s">
        <v>12</v>
      </c>
      <c r="D544" s="5" t="str">
        <f>"尹政斌"</f>
        <v>尹政斌</v>
      </c>
      <c r="E544" s="5" t="str">
        <f>"男"</f>
        <v>男</v>
      </c>
    </row>
    <row r="545" spans="1:5" ht="30" customHeight="1">
      <c r="A545" s="4">
        <v>543</v>
      </c>
      <c r="B545" s="5" t="str">
        <f>"2644202010121729351660"</f>
        <v>2644202010121729351660</v>
      </c>
      <c r="C545" s="5" t="s">
        <v>12</v>
      </c>
      <c r="D545" s="5" t="str">
        <f>"陈晓珺"</f>
        <v>陈晓珺</v>
      </c>
      <c r="E545" s="5" t="str">
        <f>"女"</f>
        <v>女</v>
      </c>
    </row>
    <row r="546" spans="1:5" ht="30" customHeight="1">
      <c r="A546" s="4">
        <v>544</v>
      </c>
      <c r="B546" s="5" t="str">
        <f>"2644202010121943191689"</f>
        <v>2644202010121943191689</v>
      </c>
      <c r="C546" s="5" t="s">
        <v>12</v>
      </c>
      <c r="D546" s="5" t="str">
        <f>"郑祝冠"</f>
        <v>郑祝冠</v>
      </c>
      <c r="E546" s="5" t="str">
        <f>"男"</f>
        <v>男</v>
      </c>
    </row>
    <row r="547" spans="1:5" ht="30" customHeight="1">
      <c r="A547" s="4">
        <v>545</v>
      </c>
      <c r="B547" s="5" t="str">
        <f>"2644202010121959321693"</f>
        <v>2644202010121959321693</v>
      </c>
      <c r="C547" s="5" t="s">
        <v>12</v>
      </c>
      <c r="D547" s="5" t="str">
        <f>"崔耘铭"</f>
        <v>崔耘铭</v>
      </c>
      <c r="E547" s="5" t="str">
        <f>"男"</f>
        <v>男</v>
      </c>
    </row>
    <row r="548" spans="1:5" ht="30" customHeight="1">
      <c r="A548" s="4">
        <v>546</v>
      </c>
      <c r="B548" s="5" t="str">
        <f>"2644202010122133261722"</f>
        <v>2644202010122133261722</v>
      </c>
      <c r="C548" s="5" t="s">
        <v>12</v>
      </c>
      <c r="D548" s="5" t="str">
        <f>"龙妍妍"</f>
        <v>龙妍妍</v>
      </c>
      <c r="E548" s="5" t="str">
        <f>"女"</f>
        <v>女</v>
      </c>
    </row>
    <row r="549" spans="1:5" ht="30" customHeight="1">
      <c r="A549" s="4">
        <v>547</v>
      </c>
      <c r="B549" s="5" t="str">
        <f>"2644202010122139421723"</f>
        <v>2644202010122139421723</v>
      </c>
      <c r="C549" s="5" t="s">
        <v>12</v>
      </c>
      <c r="D549" s="5" t="str">
        <f>"徐丽娜"</f>
        <v>徐丽娜</v>
      </c>
      <c r="E549" s="5" t="str">
        <f>"女"</f>
        <v>女</v>
      </c>
    </row>
    <row r="550" spans="1:5" ht="30" customHeight="1">
      <c r="A550" s="4">
        <v>548</v>
      </c>
      <c r="B550" s="5" t="str">
        <f>"2644202010122209151731"</f>
        <v>2644202010122209151731</v>
      </c>
      <c r="C550" s="5" t="s">
        <v>12</v>
      </c>
      <c r="D550" s="5" t="str">
        <f>"吴清富"</f>
        <v>吴清富</v>
      </c>
      <c r="E550" s="5" t="str">
        <f>"男"</f>
        <v>男</v>
      </c>
    </row>
    <row r="551" spans="1:5" ht="30" customHeight="1">
      <c r="A551" s="4">
        <v>549</v>
      </c>
      <c r="B551" s="5" t="str">
        <f>"2644202010122228051736"</f>
        <v>2644202010122228051736</v>
      </c>
      <c r="C551" s="5" t="s">
        <v>12</v>
      </c>
      <c r="D551" s="5" t="str">
        <f>"符之理"</f>
        <v>符之理</v>
      </c>
      <c r="E551" s="5" t="str">
        <f>"男"</f>
        <v>男</v>
      </c>
    </row>
    <row r="552" spans="1:5" ht="30" customHeight="1">
      <c r="A552" s="4">
        <v>550</v>
      </c>
      <c r="B552" s="5" t="str">
        <f>"2644202010122243521740"</f>
        <v>2644202010122243521740</v>
      </c>
      <c r="C552" s="5" t="s">
        <v>12</v>
      </c>
      <c r="D552" s="5" t="str">
        <f>"李海丽"</f>
        <v>李海丽</v>
      </c>
      <c r="E552" s="5" t="str">
        <f>"女"</f>
        <v>女</v>
      </c>
    </row>
    <row r="553" spans="1:5" ht="30" customHeight="1">
      <c r="A553" s="4">
        <v>551</v>
      </c>
      <c r="B553" s="5" t="str">
        <f>"2644202010130033081757"</f>
        <v>2644202010130033081757</v>
      </c>
      <c r="C553" s="5" t="s">
        <v>12</v>
      </c>
      <c r="D553" s="5" t="str">
        <f>"卢芳泽"</f>
        <v>卢芳泽</v>
      </c>
      <c r="E553" s="5" t="str">
        <f>"男"</f>
        <v>男</v>
      </c>
    </row>
    <row r="554" spans="1:5" ht="30" customHeight="1">
      <c r="A554" s="4">
        <v>552</v>
      </c>
      <c r="B554" s="5" t="str">
        <f>"2644202010130101561759"</f>
        <v>2644202010130101561759</v>
      </c>
      <c r="C554" s="5" t="s">
        <v>12</v>
      </c>
      <c r="D554" s="5" t="str">
        <f>"林小文"</f>
        <v>林小文</v>
      </c>
      <c r="E554" s="5" t="str">
        <f>"男"</f>
        <v>男</v>
      </c>
    </row>
    <row r="555" spans="1:5" ht="30" customHeight="1">
      <c r="A555" s="4">
        <v>553</v>
      </c>
      <c r="B555" s="5" t="str">
        <f>"2644202010130322041760"</f>
        <v>2644202010130322041760</v>
      </c>
      <c r="C555" s="5" t="s">
        <v>12</v>
      </c>
      <c r="D555" s="5" t="str">
        <f>"范馨键"</f>
        <v>范馨键</v>
      </c>
      <c r="E555" s="5" t="str">
        <f aca="true" t="shared" si="20" ref="E555:E560">"女"</f>
        <v>女</v>
      </c>
    </row>
    <row r="556" spans="1:5" ht="30" customHeight="1">
      <c r="A556" s="4">
        <v>554</v>
      </c>
      <c r="B556" s="5" t="str">
        <f>"2644202010130855271769"</f>
        <v>2644202010130855271769</v>
      </c>
      <c r="C556" s="5" t="s">
        <v>12</v>
      </c>
      <c r="D556" s="5" t="str">
        <f>"陈东缘"</f>
        <v>陈东缘</v>
      </c>
      <c r="E556" s="5" t="str">
        <f t="shared" si="20"/>
        <v>女</v>
      </c>
    </row>
    <row r="557" spans="1:5" ht="30" customHeight="1">
      <c r="A557" s="4">
        <v>555</v>
      </c>
      <c r="B557" s="5" t="str">
        <f>"2644202010130900331771"</f>
        <v>2644202010130900331771</v>
      </c>
      <c r="C557" s="5" t="s">
        <v>12</v>
      </c>
      <c r="D557" s="5" t="str">
        <f>"许小芳"</f>
        <v>许小芳</v>
      </c>
      <c r="E557" s="5" t="str">
        <f t="shared" si="20"/>
        <v>女</v>
      </c>
    </row>
    <row r="558" spans="1:5" ht="30" customHeight="1">
      <c r="A558" s="4">
        <v>556</v>
      </c>
      <c r="B558" s="5" t="str">
        <f>"2644202010130919181779"</f>
        <v>2644202010130919181779</v>
      </c>
      <c r="C558" s="5" t="s">
        <v>12</v>
      </c>
      <c r="D558" s="5" t="str">
        <f>"姜秋宏"</f>
        <v>姜秋宏</v>
      </c>
      <c r="E558" s="5" t="str">
        <f t="shared" si="20"/>
        <v>女</v>
      </c>
    </row>
    <row r="559" spans="1:5" ht="30" customHeight="1">
      <c r="A559" s="4">
        <v>557</v>
      </c>
      <c r="B559" s="5" t="str">
        <f>"2644202010130924371782"</f>
        <v>2644202010130924371782</v>
      </c>
      <c r="C559" s="5" t="s">
        <v>12</v>
      </c>
      <c r="D559" s="5" t="str">
        <f>"林秋霞"</f>
        <v>林秋霞</v>
      </c>
      <c r="E559" s="5" t="str">
        <f t="shared" si="20"/>
        <v>女</v>
      </c>
    </row>
    <row r="560" spans="1:5" ht="30" customHeight="1">
      <c r="A560" s="4">
        <v>558</v>
      </c>
      <c r="B560" s="5" t="str">
        <f>"2644202010130948361790"</f>
        <v>2644202010130948361790</v>
      </c>
      <c r="C560" s="5" t="s">
        <v>12</v>
      </c>
      <c r="D560" s="5" t="str">
        <f>"王冬冬"</f>
        <v>王冬冬</v>
      </c>
      <c r="E560" s="5" t="str">
        <f t="shared" si="20"/>
        <v>女</v>
      </c>
    </row>
    <row r="561" spans="1:5" ht="30" customHeight="1">
      <c r="A561" s="4">
        <v>559</v>
      </c>
      <c r="B561" s="5" t="str">
        <f>"2644202010130959311795"</f>
        <v>2644202010130959311795</v>
      </c>
      <c r="C561" s="5" t="s">
        <v>12</v>
      </c>
      <c r="D561" s="5" t="str">
        <f>"黄朝军"</f>
        <v>黄朝军</v>
      </c>
      <c r="E561" s="5" t="str">
        <f>"男"</f>
        <v>男</v>
      </c>
    </row>
    <row r="562" spans="1:5" ht="30" customHeight="1">
      <c r="A562" s="4">
        <v>560</v>
      </c>
      <c r="B562" s="5" t="str">
        <f>"2644202010131057251818"</f>
        <v>2644202010131057251818</v>
      </c>
      <c r="C562" s="5" t="s">
        <v>12</v>
      </c>
      <c r="D562" s="5" t="str">
        <f>"牛建敏"</f>
        <v>牛建敏</v>
      </c>
      <c r="E562" s="5" t="str">
        <f>"女"</f>
        <v>女</v>
      </c>
    </row>
    <row r="563" spans="1:5" ht="30" customHeight="1">
      <c r="A563" s="4">
        <v>561</v>
      </c>
      <c r="B563" s="5" t="str">
        <f>"2644202010131058511819"</f>
        <v>2644202010131058511819</v>
      </c>
      <c r="C563" s="5" t="s">
        <v>12</v>
      </c>
      <c r="D563" s="5" t="str">
        <f>"周天良"</f>
        <v>周天良</v>
      </c>
      <c r="E563" s="5" t="str">
        <f>"男"</f>
        <v>男</v>
      </c>
    </row>
    <row r="564" spans="1:5" ht="30" customHeight="1">
      <c r="A564" s="4">
        <v>562</v>
      </c>
      <c r="B564" s="5" t="str">
        <f>"2644202010131110201826"</f>
        <v>2644202010131110201826</v>
      </c>
      <c r="C564" s="5" t="s">
        <v>12</v>
      </c>
      <c r="D564" s="5" t="str">
        <f>"符博洋"</f>
        <v>符博洋</v>
      </c>
      <c r="E564" s="5" t="str">
        <f>"男"</f>
        <v>男</v>
      </c>
    </row>
    <row r="565" spans="1:5" ht="30" customHeight="1">
      <c r="A565" s="4">
        <v>563</v>
      </c>
      <c r="B565" s="5" t="str">
        <f>"2644202010131119461830"</f>
        <v>2644202010131119461830</v>
      </c>
      <c r="C565" s="5" t="s">
        <v>12</v>
      </c>
      <c r="D565" s="5" t="str">
        <f>"黄思思"</f>
        <v>黄思思</v>
      </c>
      <c r="E565" s="5" t="str">
        <f aca="true" t="shared" si="21" ref="E565:E573">"女"</f>
        <v>女</v>
      </c>
    </row>
    <row r="566" spans="1:5" ht="30" customHeight="1">
      <c r="A566" s="4">
        <v>564</v>
      </c>
      <c r="B566" s="5" t="str">
        <f>"2644202010131134411834"</f>
        <v>2644202010131134411834</v>
      </c>
      <c r="C566" s="5" t="s">
        <v>12</v>
      </c>
      <c r="D566" s="5" t="str">
        <f>"陈金玉"</f>
        <v>陈金玉</v>
      </c>
      <c r="E566" s="5" t="str">
        <f t="shared" si="21"/>
        <v>女</v>
      </c>
    </row>
    <row r="567" spans="1:5" ht="30" customHeight="1">
      <c r="A567" s="4">
        <v>565</v>
      </c>
      <c r="B567" s="5" t="str">
        <f>"2644202010131135371835"</f>
        <v>2644202010131135371835</v>
      </c>
      <c r="C567" s="5" t="s">
        <v>12</v>
      </c>
      <c r="D567" s="5" t="str">
        <f>"符畅"</f>
        <v>符畅</v>
      </c>
      <c r="E567" s="5" t="str">
        <f t="shared" si="21"/>
        <v>女</v>
      </c>
    </row>
    <row r="568" spans="1:5" ht="30" customHeight="1">
      <c r="A568" s="4">
        <v>566</v>
      </c>
      <c r="B568" s="5" t="str">
        <f>"2644202010131149251837"</f>
        <v>2644202010131149251837</v>
      </c>
      <c r="C568" s="5" t="s">
        <v>12</v>
      </c>
      <c r="D568" s="5" t="str">
        <f>"王婕妤"</f>
        <v>王婕妤</v>
      </c>
      <c r="E568" s="5" t="str">
        <f t="shared" si="21"/>
        <v>女</v>
      </c>
    </row>
    <row r="569" spans="1:5" ht="30" customHeight="1">
      <c r="A569" s="4">
        <v>567</v>
      </c>
      <c r="B569" s="5" t="str">
        <f>"2644202010131158391840"</f>
        <v>2644202010131158391840</v>
      </c>
      <c r="C569" s="5" t="s">
        <v>12</v>
      </c>
      <c r="D569" s="5" t="str">
        <f>"吴颖"</f>
        <v>吴颖</v>
      </c>
      <c r="E569" s="5" t="str">
        <f t="shared" si="21"/>
        <v>女</v>
      </c>
    </row>
    <row r="570" spans="1:5" ht="30" customHeight="1">
      <c r="A570" s="4">
        <v>568</v>
      </c>
      <c r="B570" s="5" t="str">
        <f>"2644202010131226111845"</f>
        <v>2644202010131226111845</v>
      </c>
      <c r="C570" s="5" t="s">
        <v>12</v>
      </c>
      <c r="D570" s="5" t="str">
        <f>"张翠"</f>
        <v>张翠</v>
      </c>
      <c r="E570" s="5" t="str">
        <f t="shared" si="21"/>
        <v>女</v>
      </c>
    </row>
    <row r="571" spans="1:5" ht="30" customHeight="1">
      <c r="A571" s="4">
        <v>569</v>
      </c>
      <c r="B571" s="5" t="str">
        <f>"2644202010131227331846"</f>
        <v>2644202010131227331846</v>
      </c>
      <c r="C571" s="5" t="s">
        <v>12</v>
      </c>
      <c r="D571" s="5" t="str">
        <f>"陈惠莲"</f>
        <v>陈惠莲</v>
      </c>
      <c r="E571" s="5" t="str">
        <f t="shared" si="21"/>
        <v>女</v>
      </c>
    </row>
    <row r="572" spans="1:5" ht="30" customHeight="1">
      <c r="A572" s="4">
        <v>570</v>
      </c>
      <c r="B572" s="5" t="str">
        <f>"2644202010131237341851"</f>
        <v>2644202010131237341851</v>
      </c>
      <c r="C572" s="5" t="s">
        <v>12</v>
      </c>
      <c r="D572" s="5" t="str">
        <f>"王丹"</f>
        <v>王丹</v>
      </c>
      <c r="E572" s="5" t="str">
        <f t="shared" si="21"/>
        <v>女</v>
      </c>
    </row>
    <row r="573" spans="1:5" ht="30" customHeight="1">
      <c r="A573" s="4">
        <v>571</v>
      </c>
      <c r="B573" s="5" t="str">
        <f>"2644202010131307591856"</f>
        <v>2644202010131307591856</v>
      </c>
      <c r="C573" s="5" t="s">
        <v>12</v>
      </c>
      <c r="D573" s="5" t="str">
        <f>"方思莹"</f>
        <v>方思莹</v>
      </c>
      <c r="E573" s="5" t="str">
        <f t="shared" si="21"/>
        <v>女</v>
      </c>
    </row>
    <row r="574" spans="1:5" ht="30" customHeight="1">
      <c r="A574" s="4">
        <v>572</v>
      </c>
      <c r="B574" s="5" t="str">
        <f>"2644202010131342171863"</f>
        <v>2644202010131342171863</v>
      </c>
      <c r="C574" s="5" t="s">
        <v>12</v>
      </c>
      <c r="D574" s="5" t="str">
        <f>"谢廷健"</f>
        <v>谢廷健</v>
      </c>
      <c r="E574" s="5" t="str">
        <f>"男"</f>
        <v>男</v>
      </c>
    </row>
    <row r="575" spans="1:5" ht="30" customHeight="1">
      <c r="A575" s="4">
        <v>573</v>
      </c>
      <c r="B575" s="5" t="str">
        <f>"2644202010131418001868"</f>
        <v>2644202010131418001868</v>
      </c>
      <c r="C575" s="5" t="s">
        <v>12</v>
      </c>
      <c r="D575" s="5" t="str">
        <f>"陈樾昆"</f>
        <v>陈樾昆</v>
      </c>
      <c r="E575" s="5" t="str">
        <f>"男"</f>
        <v>男</v>
      </c>
    </row>
    <row r="576" spans="1:5" ht="30" customHeight="1">
      <c r="A576" s="4">
        <v>574</v>
      </c>
      <c r="B576" s="5" t="str">
        <f>"2644202010131431211872"</f>
        <v>2644202010131431211872</v>
      </c>
      <c r="C576" s="5" t="s">
        <v>12</v>
      </c>
      <c r="D576" s="5" t="str">
        <f>"包玙"</f>
        <v>包玙</v>
      </c>
      <c r="E576" s="5" t="str">
        <f aca="true" t="shared" si="22" ref="E576:E585">"女"</f>
        <v>女</v>
      </c>
    </row>
    <row r="577" spans="1:5" ht="30" customHeight="1">
      <c r="A577" s="4">
        <v>575</v>
      </c>
      <c r="B577" s="5" t="str">
        <f>"2644202010131451251881"</f>
        <v>2644202010131451251881</v>
      </c>
      <c r="C577" s="5" t="s">
        <v>12</v>
      </c>
      <c r="D577" s="5" t="str">
        <f>"王芬"</f>
        <v>王芬</v>
      </c>
      <c r="E577" s="5" t="str">
        <f t="shared" si="22"/>
        <v>女</v>
      </c>
    </row>
    <row r="578" spans="1:5" ht="30" customHeight="1">
      <c r="A578" s="4">
        <v>576</v>
      </c>
      <c r="B578" s="5" t="str">
        <f>"2644202010131504211883"</f>
        <v>2644202010131504211883</v>
      </c>
      <c r="C578" s="5" t="s">
        <v>12</v>
      </c>
      <c r="D578" s="5" t="str">
        <f>"陈淑金"</f>
        <v>陈淑金</v>
      </c>
      <c r="E578" s="5" t="str">
        <f t="shared" si="22"/>
        <v>女</v>
      </c>
    </row>
    <row r="579" spans="1:5" ht="30" customHeight="1">
      <c r="A579" s="4">
        <v>577</v>
      </c>
      <c r="B579" s="5" t="str">
        <f>"2644202010131711191922"</f>
        <v>2644202010131711191922</v>
      </c>
      <c r="C579" s="5" t="s">
        <v>12</v>
      </c>
      <c r="D579" s="5" t="str">
        <f>"黄晓欢"</f>
        <v>黄晓欢</v>
      </c>
      <c r="E579" s="5" t="str">
        <f t="shared" si="22"/>
        <v>女</v>
      </c>
    </row>
    <row r="580" spans="1:5" ht="30" customHeight="1">
      <c r="A580" s="4">
        <v>578</v>
      </c>
      <c r="B580" s="5" t="str">
        <f>"2644202010131718131927"</f>
        <v>2644202010131718131927</v>
      </c>
      <c r="C580" s="5" t="s">
        <v>12</v>
      </c>
      <c r="D580" s="5" t="str">
        <f>"王子雯"</f>
        <v>王子雯</v>
      </c>
      <c r="E580" s="5" t="str">
        <f t="shared" si="22"/>
        <v>女</v>
      </c>
    </row>
    <row r="581" spans="1:5" ht="30" customHeight="1">
      <c r="A581" s="4">
        <v>579</v>
      </c>
      <c r="B581" s="5" t="str">
        <f>"2644202010131749051929"</f>
        <v>2644202010131749051929</v>
      </c>
      <c r="C581" s="5" t="s">
        <v>12</v>
      </c>
      <c r="D581" s="5" t="str">
        <f>"王婉婷"</f>
        <v>王婉婷</v>
      </c>
      <c r="E581" s="5" t="str">
        <f t="shared" si="22"/>
        <v>女</v>
      </c>
    </row>
    <row r="582" spans="1:5" ht="30" customHeight="1">
      <c r="A582" s="4">
        <v>580</v>
      </c>
      <c r="B582" s="5" t="str">
        <f>"2644202010131759301934"</f>
        <v>2644202010131759301934</v>
      </c>
      <c r="C582" s="5" t="s">
        <v>12</v>
      </c>
      <c r="D582" s="5" t="str">
        <f>"林馨悦"</f>
        <v>林馨悦</v>
      </c>
      <c r="E582" s="5" t="str">
        <f t="shared" si="22"/>
        <v>女</v>
      </c>
    </row>
    <row r="583" spans="1:5" ht="30" customHeight="1">
      <c r="A583" s="4">
        <v>581</v>
      </c>
      <c r="B583" s="5" t="str">
        <f>"2644202010131838331940"</f>
        <v>2644202010131838331940</v>
      </c>
      <c r="C583" s="5" t="s">
        <v>12</v>
      </c>
      <c r="D583" s="5" t="str">
        <f>"王慧庆"</f>
        <v>王慧庆</v>
      </c>
      <c r="E583" s="5" t="str">
        <f t="shared" si="22"/>
        <v>女</v>
      </c>
    </row>
    <row r="584" spans="1:5" ht="30" customHeight="1">
      <c r="A584" s="4">
        <v>582</v>
      </c>
      <c r="B584" s="5" t="str">
        <f>"2644202010131904011945"</f>
        <v>2644202010131904011945</v>
      </c>
      <c r="C584" s="5" t="s">
        <v>12</v>
      </c>
      <c r="D584" s="5" t="str">
        <f>"林静怡"</f>
        <v>林静怡</v>
      </c>
      <c r="E584" s="5" t="str">
        <f t="shared" si="22"/>
        <v>女</v>
      </c>
    </row>
    <row r="585" spans="1:5" ht="30" customHeight="1">
      <c r="A585" s="4">
        <v>583</v>
      </c>
      <c r="B585" s="5" t="str">
        <f>"2644202010132020161958"</f>
        <v>2644202010132020161958</v>
      </c>
      <c r="C585" s="5" t="s">
        <v>12</v>
      </c>
      <c r="D585" s="5" t="str">
        <f>"陈晓芸"</f>
        <v>陈晓芸</v>
      </c>
      <c r="E585" s="5" t="str">
        <f t="shared" si="22"/>
        <v>女</v>
      </c>
    </row>
    <row r="586" spans="1:5" ht="30" customHeight="1">
      <c r="A586" s="4">
        <v>584</v>
      </c>
      <c r="B586" s="5" t="str">
        <f>"2644202010132056581968"</f>
        <v>2644202010132056581968</v>
      </c>
      <c r="C586" s="5" t="s">
        <v>12</v>
      </c>
      <c r="D586" s="5" t="str">
        <f>"王传凯"</f>
        <v>王传凯</v>
      </c>
      <c r="E586" s="5" t="str">
        <f>"男"</f>
        <v>男</v>
      </c>
    </row>
    <row r="587" spans="1:5" ht="30" customHeight="1">
      <c r="A587" s="4">
        <v>585</v>
      </c>
      <c r="B587" s="5" t="str">
        <f>"2644202010132220131996"</f>
        <v>2644202010132220131996</v>
      </c>
      <c r="C587" s="5" t="s">
        <v>12</v>
      </c>
      <c r="D587" s="5" t="str">
        <f>"李易龙"</f>
        <v>李易龙</v>
      </c>
      <c r="E587" s="5" t="str">
        <f>"男"</f>
        <v>男</v>
      </c>
    </row>
    <row r="588" spans="1:5" ht="30" customHeight="1">
      <c r="A588" s="4">
        <v>586</v>
      </c>
      <c r="B588" s="5" t="str">
        <f>"2644202010132221561997"</f>
        <v>2644202010132221561997</v>
      </c>
      <c r="C588" s="5" t="s">
        <v>12</v>
      </c>
      <c r="D588" s="5" t="str">
        <f>"林又良"</f>
        <v>林又良</v>
      </c>
      <c r="E588" s="5" t="str">
        <f>"男"</f>
        <v>男</v>
      </c>
    </row>
    <row r="589" spans="1:5" ht="30" customHeight="1">
      <c r="A589" s="4">
        <v>587</v>
      </c>
      <c r="B589" s="5" t="str">
        <f>"2644202010132255232004"</f>
        <v>2644202010132255232004</v>
      </c>
      <c r="C589" s="5" t="s">
        <v>12</v>
      </c>
      <c r="D589" s="5" t="str">
        <f>"邓竣文"</f>
        <v>邓竣文</v>
      </c>
      <c r="E589" s="5" t="str">
        <f>"男"</f>
        <v>男</v>
      </c>
    </row>
    <row r="590" spans="1:5" ht="30" customHeight="1">
      <c r="A590" s="4">
        <v>588</v>
      </c>
      <c r="B590" s="5" t="str">
        <f>"2644202010132310412010"</f>
        <v>2644202010132310412010</v>
      </c>
      <c r="C590" s="5" t="s">
        <v>12</v>
      </c>
      <c r="D590" s="5" t="str">
        <f>"许开翔"</f>
        <v>许开翔</v>
      </c>
      <c r="E590" s="5" t="str">
        <f>"男"</f>
        <v>男</v>
      </c>
    </row>
    <row r="591" spans="1:5" ht="30" customHeight="1">
      <c r="A591" s="4">
        <v>589</v>
      </c>
      <c r="B591" s="5" t="str">
        <f>"2644202010132321452012"</f>
        <v>2644202010132321452012</v>
      </c>
      <c r="C591" s="5" t="s">
        <v>12</v>
      </c>
      <c r="D591" s="5" t="str">
        <f>"李海珠"</f>
        <v>李海珠</v>
      </c>
      <c r="E591" s="5" t="str">
        <f>"女"</f>
        <v>女</v>
      </c>
    </row>
    <row r="592" spans="1:5" ht="30" customHeight="1">
      <c r="A592" s="4">
        <v>590</v>
      </c>
      <c r="B592" s="5" t="str">
        <f>"2644202010132347102015"</f>
        <v>2644202010132347102015</v>
      </c>
      <c r="C592" s="5" t="s">
        <v>12</v>
      </c>
      <c r="D592" s="5" t="str">
        <f>"王达熙"</f>
        <v>王达熙</v>
      </c>
      <c r="E592" s="5" t="str">
        <f>"男"</f>
        <v>男</v>
      </c>
    </row>
    <row r="593" spans="1:5" ht="30" customHeight="1">
      <c r="A593" s="4">
        <v>591</v>
      </c>
      <c r="B593" s="5" t="str">
        <f>"2644202010140947302039"</f>
        <v>2644202010140947302039</v>
      </c>
      <c r="C593" s="5" t="s">
        <v>12</v>
      </c>
      <c r="D593" s="5" t="str">
        <f>"韩林桃"</f>
        <v>韩林桃</v>
      </c>
      <c r="E593" s="5" t="str">
        <f aca="true" t="shared" si="23" ref="E593:E601">"女"</f>
        <v>女</v>
      </c>
    </row>
    <row r="594" spans="1:5" ht="30" customHeight="1">
      <c r="A594" s="4">
        <v>592</v>
      </c>
      <c r="B594" s="5" t="str">
        <f>"2644202010141001172045"</f>
        <v>2644202010141001172045</v>
      </c>
      <c r="C594" s="5" t="s">
        <v>12</v>
      </c>
      <c r="D594" s="5" t="str">
        <f>"李青莎"</f>
        <v>李青莎</v>
      </c>
      <c r="E594" s="5" t="str">
        <f t="shared" si="23"/>
        <v>女</v>
      </c>
    </row>
    <row r="595" spans="1:5" ht="30" customHeight="1">
      <c r="A595" s="4">
        <v>593</v>
      </c>
      <c r="B595" s="5" t="str">
        <f>"2644202010141030542053"</f>
        <v>2644202010141030542053</v>
      </c>
      <c r="C595" s="5" t="s">
        <v>12</v>
      </c>
      <c r="D595" s="5" t="str">
        <f>"苏玉翠"</f>
        <v>苏玉翠</v>
      </c>
      <c r="E595" s="5" t="str">
        <f t="shared" si="23"/>
        <v>女</v>
      </c>
    </row>
    <row r="596" spans="1:5" ht="30" customHeight="1">
      <c r="A596" s="4">
        <v>594</v>
      </c>
      <c r="B596" s="5" t="str">
        <f>"2644202010141032322054"</f>
        <v>2644202010141032322054</v>
      </c>
      <c r="C596" s="5" t="s">
        <v>12</v>
      </c>
      <c r="D596" s="5" t="str">
        <f>"郑精娥"</f>
        <v>郑精娥</v>
      </c>
      <c r="E596" s="5" t="str">
        <f t="shared" si="23"/>
        <v>女</v>
      </c>
    </row>
    <row r="597" spans="1:5" ht="30" customHeight="1">
      <c r="A597" s="4">
        <v>595</v>
      </c>
      <c r="B597" s="5" t="str">
        <f>"2644202010141226252085"</f>
        <v>2644202010141226252085</v>
      </c>
      <c r="C597" s="5" t="s">
        <v>12</v>
      </c>
      <c r="D597" s="5" t="str">
        <f>"符琳翊"</f>
        <v>符琳翊</v>
      </c>
      <c r="E597" s="5" t="str">
        <f t="shared" si="23"/>
        <v>女</v>
      </c>
    </row>
    <row r="598" spans="1:5" ht="30" customHeight="1">
      <c r="A598" s="4">
        <v>596</v>
      </c>
      <c r="B598" s="5" t="str">
        <f>"2644202010141246372090"</f>
        <v>2644202010141246372090</v>
      </c>
      <c r="C598" s="5" t="s">
        <v>12</v>
      </c>
      <c r="D598" s="5" t="str">
        <f>"钟虹蕾"</f>
        <v>钟虹蕾</v>
      </c>
      <c r="E598" s="5" t="str">
        <f t="shared" si="23"/>
        <v>女</v>
      </c>
    </row>
    <row r="599" spans="1:5" ht="30" customHeight="1">
      <c r="A599" s="4">
        <v>597</v>
      </c>
      <c r="B599" s="5" t="str">
        <f>"2644202010141350032099"</f>
        <v>2644202010141350032099</v>
      </c>
      <c r="C599" s="5" t="s">
        <v>12</v>
      </c>
      <c r="D599" s="5" t="str">
        <f>"涂圆圆"</f>
        <v>涂圆圆</v>
      </c>
      <c r="E599" s="5" t="str">
        <f t="shared" si="23"/>
        <v>女</v>
      </c>
    </row>
    <row r="600" spans="1:5" ht="30" customHeight="1">
      <c r="A600" s="4">
        <v>598</v>
      </c>
      <c r="B600" s="5" t="str">
        <f>"2644202010141410382105"</f>
        <v>2644202010141410382105</v>
      </c>
      <c r="C600" s="5" t="s">
        <v>12</v>
      </c>
      <c r="D600" s="5" t="str">
        <f>"王紫蕾"</f>
        <v>王紫蕾</v>
      </c>
      <c r="E600" s="5" t="str">
        <f t="shared" si="23"/>
        <v>女</v>
      </c>
    </row>
    <row r="601" spans="1:5" ht="30" customHeight="1">
      <c r="A601" s="4">
        <v>599</v>
      </c>
      <c r="B601" s="5" t="str">
        <f>"2644202010141440582115"</f>
        <v>2644202010141440582115</v>
      </c>
      <c r="C601" s="5" t="s">
        <v>12</v>
      </c>
      <c r="D601" s="5" t="str">
        <f>"黄华娟"</f>
        <v>黄华娟</v>
      </c>
      <c r="E601" s="5" t="str">
        <f t="shared" si="23"/>
        <v>女</v>
      </c>
    </row>
    <row r="602" spans="1:5" ht="30" customHeight="1">
      <c r="A602" s="4">
        <v>600</v>
      </c>
      <c r="B602" s="5" t="str">
        <f>"2644202010141527552129"</f>
        <v>2644202010141527552129</v>
      </c>
      <c r="C602" s="5" t="s">
        <v>12</v>
      </c>
      <c r="D602" s="5" t="str">
        <f>"卢裕然"</f>
        <v>卢裕然</v>
      </c>
      <c r="E602" s="5" t="str">
        <f>"男"</f>
        <v>男</v>
      </c>
    </row>
    <row r="603" spans="1:5" ht="30" customHeight="1">
      <c r="A603" s="4">
        <v>601</v>
      </c>
      <c r="B603" s="5" t="str">
        <f>"2644202010141551332134"</f>
        <v>2644202010141551332134</v>
      </c>
      <c r="C603" s="5" t="s">
        <v>12</v>
      </c>
      <c r="D603" s="5" t="str">
        <f>"蒙乔丹"</f>
        <v>蒙乔丹</v>
      </c>
      <c r="E603" s="5" t="str">
        <f>"女"</f>
        <v>女</v>
      </c>
    </row>
    <row r="604" spans="1:5" ht="30" customHeight="1">
      <c r="A604" s="4">
        <v>602</v>
      </c>
      <c r="B604" s="5" t="str">
        <f>"2644202010141553322137"</f>
        <v>2644202010141553322137</v>
      </c>
      <c r="C604" s="5" t="s">
        <v>12</v>
      </c>
      <c r="D604" s="5" t="str">
        <f>"王韵惠"</f>
        <v>王韵惠</v>
      </c>
      <c r="E604" s="5" t="str">
        <f>"女"</f>
        <v>女</v>
      </c>
    </row>
    <row r="605" spans="1:5" ht="30" customHeight="1">
      <c r="A605" s="4">
        <v>603</v>
      </c>
      <c r="B605" s="5" t="str">
        <f>"2644202010141557552141"</f>
        <v>2644202010141557552141</v>
      </c>
      <c r="C605" s="5" t="s">
        <v>12</v>
      </c>
      <c r="D605" s="5" t="str">
        <f>"黄童"</f>
        <v>黄童</v>
      </c>
      <c r="E605" s="5" t="str">
        <f>"男"</f>
        <v>男</v>
      </c>
    </row>
    <row r="606" spans="1:5" ht="30" customHeight="1">
      <c r="A606" s="4">
        <v>604</v>
      </c>
      <c r="B606" s="5" t="str">
        <f>"2644202010141603062142"</f>
        <v>2644202010141603062142</v>
      </c>
      <c r="C606" s="5" t="s">
        <v>12</v>
      </c>
      <c r="D606" s="5" t="str">
        <f>"林来玉"</f>
        <v>林来玉</v>
      </c>
      <c r="E606" s="5" t="str">
        <f>"女"</f>
        <v>女</v>
      </c>
    </row>
    <row r="607" spans="1:5" ht="30" customHeight="1">
      <c r="A607" s="4">
        <v>605</v>
      </c>
      <c r="B607" s="5" t="str">
        <f>"2644202010141608582145"</f>
        <v>2644202010141608582145</v>
      </c>
      <c r="C607" s="5" t="s">
        <v>12</v>
      </c>
      <c r="D607" s="5" t="str">
        <f>"王健勇"</f>
        <v>王健勇</v>
      </c>
      <c r="E607" s="5" t="str">
        <f>"男"</f>
        <v>男</v>
      </c>
    </row>
    <row r="608" spans="1:5" ht="30" customHeight="1">
      <c r="A608" s="4">
        <v>606</v>
      </c>
      <c r="B608" s="5" t="str">
        <f>"2644202010141617432149"</f>
        <v>2644202010141617432149</v>
      </c>
      <c r="C608" s="5" t="s">
        <v>12</v>
      </c>
      <c r="D608" s="5" t="str">
        <f>"孙宇欣"</f>
        <v>孙宇欣</v>
      </c>
      <c r="E608" s="5" t="str">
        <f>"女"</f>
        <v>女</v>
      </c>
    </row>
    <row r="609" spans="1:5" ht="30" customHeight="1">
      <c r="A609" s="4">
        <v>607</v>
      </c>
      <c r="B609" s="5" t="str">
        <f>"2644202010141634542161"</f>
        <v>2644202010141634542161</v>
      </c>
      <c r="C609" s="5" t="s">
        <v>12</v>
      </c>
      <c r="D609" s="5" t="str">
        <f>"马晓宇"</f>
        <v>马晓宇</v>
      </c>
      <c r="E609" s="5" t="str">
        <f>"女"</f>
        <v>女</v>
      </c>
    </row>
    <row r="610" spans="1:5" ht="30" customHeight="1">
      <c r="A610" s="4">
        <v>608</v>
      </c>
      <c r="B610" s="5" t="str">
        <f>"2644202010141730112176"</f>
        <v>2644202010141730112176</v>
      </c>
      <c r="C610" s="5" t="s">
        <v>12</v>
      </c>
      <c r="D610" s="5" t="str">
        <f>"谢芳妹"</f>
        <v>谢芳妹</v>
      </c>
      <c r="E610" s="5" t="str">
        <f>"女"</f>
        <v>女</v>
      </c>
    </row>
    <row r="611" spans="1:5" ht="30" customHeight="1">
      <c r="A611" s="4">
        <v>609</v>
      </c>
      <c r="B611" s="5" t="str">
        <f>"2644202010141803372183"</f>
        <v>2644202010141803372183</v>
      </c>
      <c r="C611" s="5" t="s">
        <v>12</v>
      </c>
      <c r="D611" s="5" t="str">
        <f>"钟馨"</f>
        <v>钟馨</v>
      </c>
      <c r="E611" s="5" t="str">
        <f>"女"</f>
        <v>女</v>
      </c>
    </row>
    <row r="612" spans="1:5" ht="30" customHeight="1">
      <c r="A612" s="4">
        <v>610</v>
      </c>
      <c r="B612" s="5" t="str">
        <f>"2644202010141835402192"</f>
        <v>2644202010141835402192</v>
      </c>
      <c r="C612" s="5" t="s">
        <v>12</v>
      </c>
      <c r="D612" s="5" t="str">
        <f>"梁嘉玮"</f>
        <v>梁嘉玮</v>
      </c>
      <c r="E612" s="5" t="str">
        <f>"男"</f>
        <v>男</v>
      </c>
    </row>
    <row r="613" spans="1:5" ht="30" customHeight="1">
      <c r="A613" s="4">
        <v>611</v>
      </c>
      <c r="B613" s="5" t="str">
        <f>"2644202010142011572222"</f>
        <v>2644202010142011572222</v>
      </c>
      <c r="C613" s="5" t="s">
        <v>12</v>
      </c>
      <c r="D613" s="5" t="str">
        <f>"王丹媚"</f>
        <v>王丹媚</v>
      </c>
      <c r="E613" s="5" t="str">
        <f>"女"</f>
        <v>女</v>
      </c>
    </row>
    <row r="614" spans="1:5" ht="30" customHeight="1">
      <c r="A614" s="4">
        <v>612</v>
      </c>
      <c r="B614" s="5" t="str">
        <f>"2644202010142028122228"</f>
        <v>2644202010142028122228</v>
      </c>
      <c r="C614" s="5" t="s">
        <v>12</v>
      </c>
      <c r="D614" s="5" t="str">
        <f>"黄良培"</f>
        <v>黄良培</v>
      </c>
      <c r="E614" s="5" t="str">
        <f>"男"</f>
        <v>男</v>
      </c>
    </row>
    <row r="615" spans="1:5" ht="30" customHeight="1">
      <c r="A615" s="4">
        <v>613</v>
      </c>
      <c r="B615" s="5" t="str">
        <f>"2644202010142046322235"</f>
        <v>2644202010142046322235</v>
      </c>
      <c r="C615" s="5" t="s">
        <v>12</v>
      </c>
      <c r="D615" s="5" t="str">
        <f>"梁峻玮"</f>
        <v>梁峻玮</v>
      </c>
      <c r="E615" s="5" t="str">
        <f>"男"</f>
        <v>男</v>
      </c>
    </row>
    <row r="616" spans="1:5" ht="30" customHeight="1">
      <c r="A616" s="4">
        <v>614</v>
      </c>
      <c r="B616" s="5" t="str">
        <f>"2644202010142119192244"</f>
        <v>2644202010142119192244</v>
      </c>
      <c r="C616" s="5" t="s">
        <v>12</v>
      </c>
      <c r="D616" s="5" t="str">
        <f>"梁又丹"</f>
        <v>梁又丹</v>
      </c>
      <c r="E616" s="5" t="str">
        <f>"女"</f>
        <v>女</v>
      </c>
    </row>
    <row r="617" spans="1:5" ht="30" customHeight="1">
      <c r="A617" s="4">
        <v>615</v>
      </c>
      <c r="B617" s="5" t="str">
        <f>"2644202010142153482257"</f>
        <v>2644202010142153482257</v>
      </c>
      <c r="C617" s="5" t="s">
        <v>12</v>
      </c>
      <c r="D617" s="5" t="str">
        <f>"李满丽"</f>
        <v>李满丽</v>
      </c>
      <c r="E617" s="5" t="str">
        <f>"女"</f>
        <v>女</v>
      </c>
    </row>
    <row r="618" spans="1:5" ht="30" customHeight="1">
      <c r="A618" s="4">
        <v>616</v>
      </c>
      <c r="B618" s="5" t="str">
        <f>"2644202010142153522258"</f>
        <v>2644202010142153522258</v>
      </c>
      <c r="C618" s="5" t="s">
        <v>12</v>
      </c>
      <c r="D618" s="5" t="str">
        <f>"符抒静"</f>
        <v>符抒静</v>
      </c>
      <c r="E618" s="5" t="str">
        <f>"女"</f>
        <v>女</v>
      </c>
    </row>
    <row r="619" spans="1:5" ht="30" customHeight="1">
      <c r="A619" s="4">
        <v>617</v>
      </c>
      <c r="B619" s="5" t="str">
        <f>"2644202010142235252271"</f>
        <v>2644202010142235252271</v>
      </c>
      <c r="C619" s="5" t="s">
        <v>12</v>
      </c>
      <c r="D619" s="5" t="str">
        <f>"符芳艳"</f>
        <v>符芳艳</v>
      </c>
      <c r="E619" s="5" t="str">
        <f>"女"</f>
        <v>女</v>
      </c>
    </row>
    <row r="620" spans="1:5" ht="30" customHeight="1">
      <c r="A620" s="4">
        <v>618</v>
      </c>
      <c r="B620" s="5" t="str">
        <f>"2644202010142243122273"</f>
        <v>2644202010142243122273</v>
      </c>
      <c r="C620" s="5" t="s">
        <v>12</v>
      </c>
      <c r="D620" s="5" t="str">
        <f>"陈柠"</f>
        <v>陈柠</v>
      </c>
      <c r="E620" s="5" t="str">
        <f>"女"</f>
        <v>女</v>
      </c>
    </row>
    <row r="621" spans="1:5" ht="30" customHeight="1">
      <c r="A621" s="4">
        <v>619</v>
      </c>
      <c r="B621" s="5" t="str">
        <f>"2644202010142255132281"</f>
        <v>2644202010142255132281</v>
      </c>
      <c r="C621" s="5" t="s">
        <v>12</v>
      </c>
      <c r="D621" s="5" t="str">
        <f>"陈运"</f>
        <v>陈运</v>
      </c>
      <c r="E621" s="5" t="str">
        <f>"男"</f>
        <v>男</v>
      </c>
    </row>
    <row r="622" spans="1:5" ht="30" customHeight="1">
      <c r="A622" s="4">
        <v>620</v>
      </c>
      <c r="B622" s="5" t="str">
        <f>"2644202010142310312286"</f>
        <v>2644202010142310312286</v>
      </c>
      <c r="C622" s="5" t="s">
        <v>12</v>
      </c>
      <c r="D622" s="5" t="str">
        <f>"吴清华"</f>
        <v>吴清华</v>
      </c>
      <c r="E622" s="5" t="str">
        <f>"男"</f>
        <v>男</v>
      </c>
    </row>
    <row r="623" spans="1:5" ht="30" customHeight="1">
      <c r="A623" s="4">
        <v>621</v>
      </c>
      <c r="B623" s="5" t="str">
        <f>"2644202010142340412294"</f>
        <v>2644202010142340412294</v>
      </c>
      <c r="C623" s="5" t="s">
        <v>12</v>
      </c>
      <c r="D623" s="5" t="str">
        <f>"林立昌"</f>
        <v>林立昌</v>
      </c>
      <c r="E623" s="5" t="str">
        <f>"男"</f>
        <v>男</v>
      </c>
    </row>
    <row r="624" spans="1:5" ht="30" customHeight="1">
      <c r="A624" s="4">
        <v>622</v>
      </c>
      <c r="B624" s="5" t="str">
        <f>"2644202010150020422305"</f>
        <v>2644202010150020422305</v>
      </c>
      <c r="C624" s="5" t="s">
        <v>12</v>
      </c>
      <c r="D624" s="5" t="str">
        <f>"陈日苗"</f>
        <v>陈日苗</v>
      </c>
      <c r="E624" s="5" t="str">
        <f>"女"</f>
        <v>女</v>
      </c>
    </row>
    <row r="625" spans="1:5" ht="30" customHeight="1">
      <c r="A625" s="4">
        <v>623</v>
      </c>
      <c r="B625" s="5" t="str">
        <f>"2644202010150034252308"</f>
        <v>2644202010150034252308</v>
      </c>
      <c r="C625" s="5" t="s">
        <v>12</v>
      </c>
      <c r="D625" s="5" t="str">
        <f>"郭泽辉"</f>
        <v>郭泽辉</v>
      </c>
      <c r="E625" s="5" t="str">
        <f>"男"</f>
        <v>男</v>
      </c>
    </row>
    <row r="626" spans="1:5" ht="30" customHeight="1">
      <c r="A626" s="4">
        <v>624</v>
      </c>
      <c r="B626" s="5" t="str">
        <f>"2644202010150053362311"</f>
        <v>2644202010150053362311</v>
      </c>
      <c r="C626" s="5" t="s">
        <v>12</v>
      </c>
      <c r="D626" s="5" t="str">
        <f>"李佳馨"</f>
        <v>李佳馨</v>
      </c>
      <c r="E626" s="5" t="str">
        <f aca="true" t="shared" si="24" ref="E626:E633">"女"</f>
        <v>女</v>
      </c>
    </row>
    <row r="627" spans="1:5" ht="30" customHeight="1">
      <c r="A627" s="4">
        <v>625</v>
      </c>
      <c r="B627" s="5" t="str">
        <f>"2644202010150100232313"</f>
        <v>2644202010150100232313</v>
      </c>
      <c r="C627" s="5" t="s">
        <v>12</v>
      </c>
      <c r="D627" s="5" t="str">
        <f>"余彩娟"</f>
        <v>余彩娟</v>
      </c>
      <c r="E627" s="5" t="str">
        <f t="shared" si="24"/>
        <v>女</v>
      </c>
    </row>
    <row r="628" spans="1:5" ht="30" customHeight="1">
      <c r="A628" s="4">
        <v>626</v>
      </c>
      <c r="B628" s="5" t="str">
        <f>"2644202010150814092323"</f>
        <v>2644202010150814092323</v>
      </c>
      <c r="C628" s="5" t="s">
        <v>12</v>
      </c>
      <c r="D628" s="5" t="str">
        <f>"陈芳燕"</f>
        <v>陈芳燕</v>
      </c>
      <c r="E628" s="5" t="str">
        <f t="shared" si="24"/>
        <v>女</v>
      </c>
    </row>
    <row r="629" spans="1:5" ht="30" customHeight="1">
      <c r="A629" s="4">
        <v>627</v>
      </c>
      <c r="B629" s="5" t="str">
        <f>"2644202010150848392333"</f>
        <v>2644202010150848392333</v>
      </c>
      <c r="C629" s="5" t="s">
        <v>12</v>
      </c>
      <c r="D629" s="5" t="str">
        <f>"符钰雪"</f>
        <v>符钰雪</v>
      </c>
      <c r="E629" s="5" t="str">
        <f t="shared" si="24"/>
        <v>女</v>
      </c>
    </row>
    <row r="630" spans="1:5" ht="30" customHeight="1">
      <c r="A630" s="4">
        <v>628</v>
      </c>
      <c r="B630" s="5" t="str">
        <f>"2644202010150851462337"</f>
        <v>2644202010150851462337</v>
      </c>
      <c r="C630" s="5" t="s">
        <v>12</v>
      </c>
      <c r="D630" s="5" t="str">
        <f>"陈妃"</f>
        <v>陈妃</v>
      </c>
      <c r="E630" s="5" t="str">
        <f t="shared" si="24"/>
        <v>女</v>
      </c>
    </row>
    <row r="631" spans="1:5" ht="30" customHeight="1">
      <c r="A631" s="4">
        <v>629</v>
      </c>
      <c r="B631" s="5" t="str">
        <f>"2644202010150857432340"</f>
        <v>2644202010150857432340</v>
      </c>
      <c r="C631" s="5" t="s">
        <v>12</v>
      </c>
      <c r="D631" s="5" t="str">
        <f>"韩惠妃"</f>
        <v>韩惠妃</v>
      </c>
      <c r="E631" s="5" t="str">
        <f t="shared" si="24"/>
        <v>女</v>
      </c>
    </row>
    <row r="632" spans="1:5" ht="30" customHeight="1">
      <c r="A632" s="4">
        <v>630</v>
      </c>
      <c r="B632" s="5" t="str">
        <f>"2644202010150936392352"</f>
        <v>2644202010150936392352</v>
      </c>
      <c r="C632" s="5" t="s">
        <v>12</v>
      </c>
      <c r="D632" s="5" t="str">
        <f>"宇仁格"</f>
        <v>宇仁格</v>
      </c>
      <c r="E632" s="5" t="str">
        <f t="shared" si="24"/>
        <v>女</v>
      </c>
    </row>
    <row r="633" spans="1:5" ht="30" customHeight="1">
      <c r="A633" s="4">
        <v>631</v>
      </c>
      <c r="B633" s="5" t="str">
        <f>"2644202010151336052403"</f>
        <v>2644202010151336052403</v>
      </c>
      <c r="C633" s="5" t="s">
        <v>12</v>
      </c>
      <c r="D633" s="5" t="str">
        <f>"周珊妃"</f>
        <v>周珊妃</v>
      </c>
      <c r="E633" s="5" t="str">
        <f t="shared" si="24"/>
        <v>女</v>
      </c>
    </row>
    <row r="634" spans="1:5" ht="30" customHeight="1">
      <c r="A634" s="4">
        <v>632</v>
      </c>
      <c r="B634" s="5" t="str">
        <f>"2644202010151408392411"</f>
        <v>2644202010151408392411</v>
      </c>
      <c r="C634" s="5" t="s">
        <v>12</v>
      </c>
      <c r="D634" s="5" t="str">
        <f>"谢于谋"</f>
        <v>谢于谋</v>
      </c>
      <c r="E634" s="5" t="str">
        <f>"男"</f>
        <v>男</v>
      </c>
    </row>
    <row r="635" spans="1:5" ht="30" customHeight="1">
      <c r="A635" s="4">
        <v>633</v>
      </c>
      <c r="B635" s="5" t="str">
        <f>"2644202010151443472419"</f>
        <v>2644202010151443472419</v>
      </c>
      <c r="C635" s="5" t="s">
        <v>12</v>
      </c>
      <c r="D635" s="5" t="str">
        <f>"李琳"</f>
        <v>李琳</v>
      </c>
      <c r="E635" s="5" t="str">
        <f>"女"</f>
        <v>女</v>
      </c>
    </row>
    <row r="636" spans="1:5" ht="30" customHeight="1">
      <c r="A636" s="4">
        <v>634</v>
      </c>
      <c r="B636" s="5" t="str">
        <f>"2644202010151519532432"</f>
        <v>2644202010151519532432</v>
      </c>
      <c r="C636" s="5" t="s">
        <v>12</v>
      </c>
      <c r="D636" s="5" t="str">
        <f>"叶秋香"</f>
        <v>叶秋香</v>
      </c>
      <c r="E636" s="5" t="str">
        <f>"女"</f>
        <v>女</v>
      </c>
    </row>
    <row r="637" spans="1:5" ht="30" customHeight="1">
      <c r="A637" s="4">
        <v>635</v>
      </c>
      <c r="B637" s="5" t="str">
        <f>"2644202010151534332437"</f>
        <v>2644202010151534332437</v>
      </c>
      <c r="C637" s="5" t="s">
        <v>12</v>
      </c>
      <c r="D637" s="5" t="str">
        <f>"谢汉友"</f>
        <v>谢汉友</v>
      </c>
      <c r="E637" s="5" t="str">
        <f>"男"</f>
        <v>男</v>
      </c>
    </row>
    <row r="638" spans="1:5" ht="30" customHeight="1">
      <c r="A638" s="4">
        <v>636</v>
      </c>
      <c r="B638" s="5" t="str">
        <f>"2644202010151538532438"</f>
        <v>2644202010151538532438</v>
      </c>
      <c r="C638" s="5" t="s">
        <v>12</v>
      </c>
      <c r="D638" s="5" t="str">
        <f>"张宇"</f>
        <v>张宇</v>
      </c>
      <c r="E638" s="5" t="str">
        <f>"女"</f>
        <v>女</v>
      </c>
    </row>
    <row r="639" spans="1:5" ht="30" customHeight="1">
      <c r="A639" s="4">
        <v>637</v>
      </c>
      <c r="B639" s="5" t="str">
        <f>"2644202010151611452455"</f>
        <v>2644202010151611452455</v>
      </c>
      <c r="C639" s="5" t="s">
        <v>12</v>
      </c>
      <c r="D639" s="5" t="str">
        <f>"曾灿灿"</f>
        <v>曾灿灿</v>
      </c>
      <c r="E639" s="5" t="str">
        <f>"女"</f>
        <v>女</v>
      </c>
    </row>
    <row r="640" spans="1:5" ht="30" customHeight="1">
      <c r="A640" s="4">
        <v>638</v>
      </c>
      <c r="B640" s="5" t="str">
        <f>"26442020100908360111"</f>
        <v>26442020100908360111</v>
      </c>
      <c r="C640" s="5" t="s">
        <v>13</v>
      </c>
      <c r="D640" s="5" t="str">
        <f>"李培锦"</f>
        <v>李培锦</v>
      </c>
      <c r="E640" s="5" t="str">
        <f>"男"</f>
        <v>男</v>
      </c>
    </row>
    <row r="641" spans="1:5" ht="30" customHeight="1">
      <c r="A641" s="4">
        <v>639</v>
      </c>
      <c r="B641" s="5" t="str">
        <f>"26442020100908424523"</f>
        <v>26442020100908424523</v>
      </c>
      <c r="C641" s="5" t="s">
        <v>13</v>
      </c>
      <c r="D641" s="5" t="str">
        <f>"周萃诗"</f>
        <v>周萃诗</v>
      </c>
      <c r="E641" s="5" t="str">
        <f>"男"</f>
        <v>男</v>
      </c>
    </row>
    <row r="642" spans="1:5" ht="30" customHeight="1">
      <c r="A642" s="4">
        <v>640</v>
      </c>
      <c r="B642" s="5" t="str">
        <f>"26442020100908470432"</f>
        <v>26442020100908470432</v>
      </c>
      <c r="C642" s="5" t="s">
        <v>13</v>
      </c>
      <c r="D642" s="5" t="str">
        <f>"黎锦衡"</f>
        <v>黎锦衡</v>
      </c>
      <c r="E642" s="5" t="str">
        <f>"男"</f>
        <v>男</v>
      </c>
    </row>
    <row r="643" spans="1:5" ht="30" customHeight="1">
      <c r="A643" s="4">
        <v>641</v>
      </c>
      <c r="B643" s="5" t="str">
        <f>"26442020100908512236"</f>
        <v>26442020100908512236</v>
      </c>
      <c r="C643" s="5" t="s">
        <v>13</v>
      </c>
      <c r="D643" s="5" t="str">
        <f>"李运顺"</f>
        <v>李运顺</v>
      </c>
      <c r="E643" s="5" t="str">
        <f>"男"</f>
        <v>男</v>
      </c>
    </row>
    <row r="644" spans="1:5" ht="30" customHeight="1">
      <c r="A644" s="4">
        <v>642</v>
      </c>
      <c r="B644" s="5" t="str">
        <f>"26442020100908520540"</f>
        <v>26442020100908520540</v>
      </c>
      <c r="C644" s="5" t="s">
        <v>13</v>
      </c>
      <c r="D644" s="5" t="str">
        <f>"徐晓明"</f>
        <v>徐晓明</v>
      </c>
      <c r="E644" s="5" t="str">
        <f>"女"</f>
        <v>女</v>
      </c>
    </row>
    <row r="645" spans="1:5" ht="30" customHeight="1">
      <c r="A645" s="4">
        <v>643</v>
      </c>
      <c r="B645" s="5" t="str">
        <f>"26442020100908550244"</f>
        <v>26442020100908550244</v>
      </c>
      <c r="C645" s="5" t="s">
        <v>13</v>
      </c>
      <c r="D645" s="5" t="str">
        <f>"金峰"</f>
        <v>金峰</v>
      </c>
      <c r="E645" s="5" t="str">
        <f>"男"</f>
        <v>男</v>
      </c>
    </row>
    <row r="646" spans="1:5" ht="30" customHeight="1">
      <c r="A646" s="4">
        <v>644</v>
      </c>
      <c r="B646" s="5" t="str">
        <f>"26442020100908580545"</f>
        <v>26442020100908580545</v>
      </c>
      <c r="C646" s="5" t="s">
        <v>13</v>
      </c>
      <c r="D646" s="5" t="str">
        <f>"黄云波"</f>
        <v>黄云波</v>
      </c>
      <c r="E646" s="5" t="str">
        <f>"男"</f>
        <v>男</v>
      </c>
    </row>
    <row r="647" spans="1:5" ht="30" customHeight="1">
      <c r="A647" s="4">
        <v>645</v>
      </c>
      <c r="B647" s="5" t="str">
        <f>"26442020100909000747"</f>
        <v>26442020100909000747</v>
      </c>
      <c r="C647" s="5" t="s">
        <v>13</v>
      </c>
      <c r="D647" s="5" t="str">
        <f>"吴挺涛"</f>
        <v>吴挺涛</v>
      </c>
      <c r="E647" s="5" t="str">
        <f>"男"</f>
        <v>男</v>
      </c>
    </row>
    <row r="648" spans="1:5" ht="30" customHeight="1">
      <c r="A648" s="4">
        <v>646</v>
      </c>
      <c r="B648" s="5" t="str">
        <f>"26442020100909194375"</f>
        <v>26442020100909194375</v>
      </c>
      <c r="C648" s="5" t="s">
        <v>13</v>
      </c>
      <c r="D648" s="5" t="str">
        <f>"史婷婷"</f>
        <v>史婷婷</v>
      </c>
      <c r="E648" s="5" t="str">
        <f>"女"</f>
        <v>女</v>
      </c>
    </row>
    <row r="649" spans="1:5" ht="30" customHeight="1">
      <c r="A649" s="4">
        <v>647</v>
      </c>
      <c r="B649" s="5" t="str">
        <f>"26442020100909221678"</f>
        <v>26442020100909221678</v>
      </c>
      <c r="C649" s="5" t="s">
        <v>13</v>
      </c>
      <c r="D649" s="5" t="str">
        <f>"刘禄顺"</f>
        <v>刘禄顺</v>
      </c>
      <c r="E649" s="5" t="str">
        <f>"男"</f>
        <v>男</v>
      </c>
    </row>
    <row r="650" spans="1:5" ht="30" customHeight="1">
      <c r="A650" s="4">
        <v>648</v>
      </c>
      <c r="B650" s="5" t="str">
        <f>"26442020100909284490"</f>
        <v>26442020100909284490</v>
      </c>
      <c r="C650" s="5" t="s">
        <v>13</v>
      </c>
      <c r="D650" s="5" t="str">
        <f>"蔡树娇"</f>
        <v>蔡树娇</v>
      </c>
      <c r="E650" s="5" t="str">
        <f>"女"</f>
        <v>女</v>
      </c>
    </row>
    <row r="651" spans="1:5" ht="30" customHeight="1">
      <c r="A651" s="4">
        <v>649</v>
      </c>
      <c r="B651" s="5" t="str">
        <f>"26442020100909343696"</f>
        <v>26442020100909343696</v>
      </c>
      <c r="C651" s="5" t="s">
        <v>13</v>
      </c>
      <c r="D651" s="5" t="str">
        <f>"黄小航"</f>
        <v>黄小航</v>
      </c>
      <c r="E651" s="5" t="str">
        <f>"男"</f>
        <v>男</v>
      </c>
    </row>
    <row r="652" spans="1:5" ht="30" customHeight="1">
      <c r="A652" s="4">
        <v>650</v>
      </c>
      <c r="B652" s="5" t="str">
        <f>"26442020100909362497"</f>
        <v>26442020100909362497</v>
      </c>
      <c r="C652" s="5" t="s">
        <v>13</v>
      </c>
      <c r="D652" s="5" t="str">
        <f>"林鸿斌"</f>
        <v>林鸿斌</v>
      </c>
      <c r="E652" s="5" t="str">
        <f>"男"</f>
        <v>男</v>
      </c>
    </row>
    <row r="653" spans="1:5" ht="30" customHeight="1">
      <c r="A653" s="4">
        <v>651</v>
      </c>
      <c r="B653" s="5" t="str">
        <f>"26442020100909371899"</f>
        <v>26442020100909371899</v>
      </c>
      <c r="C653" s="5" t="s">
        <v>13</v>
      </c>
      <c r="D653" s="5" t="str">
        <f>"马文蕾"</f>
        <v>马文蕾</v>
      </c>
      <c r="E653" s="5" t="str">
        <f>"女"</f>
        <v>女</v>
      </c>
    </row>
    <row r="654" spans="1:5" ht="30" customHeight="1">
      <c r="A654" s="4">
        <v>652</v>
      </c>
      <c r="B654" s="5" t="str">
        <f>"264420201009093743100"</f>
        <v>264420201009093743100</v>
      </c>
      <c r="C654" s="5" t="s">
        <v>13</v>
      </c>
      <c r="D654" s="5" t="str">
        <f>"邱佳玲"</f>
        <v>邱佳玲</v>
      </c>
      <c r="E654" s="5" t="str">
        <f>"女"</f>
        <v>女</v>
      </c>
    </row>
    <row r="655" spans="1:5" ht="30" customHeight="1">
      <c r="A655" s="4">
        <v>653</v>
      </c>
      <c r="B655" s="5" t="str">
        <f>"264420201009094016104"</f>
        <v>264420201009094016104</v>
      </c>
      <c r="C655" s="5" t="s">
        <v>13</v>
      </c>
      <c r="D655" s="5" t="str">
        <f>"王泽农"</f>
        <v>王泽农</v>
      </c>
      <c r="E655" s="5" t="str">
        <f>"男"</f>
        <v>男</v>
      </c>
    </row>
    <row r="656" spans="1:5" ht="30" customHeight="1">
      <c r="A656" s="4">
        <v>654</v>
      </c>
      <c r="B656" s="5" t="str">
        <f>"264420201009095527124"</f>
        <v>264420201009095527124</v>
      </c>
      <c r="C656" s="5" t="s">
        <v>13</v>
      </c>
      <c r="D656" s="5" t="str">
        <f>"吴月红"</f>
        <v>吴月红</v>
      </c>
      <c r="E656" s="5" t="str">
        <f>"女"</f>
        <v>女</v>
      </c>
    </row>
    <row r="657" spans="1:5" ht="30" customHeight="1">
      <c r="A657" s="4">
        <v>655</v>
      </c>
      <c r="B657" s="5" t="str">
        <f>"264420201009100413133"</f>
        <v>264420201009100413133</v>
      </c>
      <c r="C657" s="5" t="s">
        <v>13</v>
      </c>
      <c r="D657" s="5" t="str">
        <f>"陈英和"</f>
        <v>陈英和</v>
      </c>
      <c r="E657" s="5" t="str">
        <f>"男"</f>
        <v>男</v>
      </c>
    </row>
    <row r="658" spans="1:5" ht="30" customHeight="1">
      <c r="A658" s="4">
        <v>656</v>
      </c>
      <c r="B658" s="5" t="str">
        <f>"264420201009101242140"</f>
        <v>264420201009101242140</v>
      </c>
      <c r="C658" s="5" t="s">
        <v>13</v>
      </c>
      <c r="D658" s="5" t="str">
        <f>"赵皓文"</f>
        <v>赵皓文</v>
      </c>
      <c r="E658" s="5" t="str">
        <f>"女"</f>
        <v>女</v>
      </c>
    </row>
    <row r="659" spans="1:5" ht="30" customHeight="1">
      <c r="A659" s="4">
        <v>657</v>
      </c>
      <c r="B659" s="5" t="str">
        <f>"264420201009102214154"</f>
        <v>264420201009102214154</v>
      </c>
      <c r="C659" s="5" t="s">
        <v>13</v>
      </c>
      <c r="D659" s="5" t="str">
        <f>"周小春"</f>
        <v>周小春</v>
      </c>
      <c r="E659" s="5" t="str">
        <f>"女"</f>
        <v>女</v>
      </c>
    </row>
    <row r="660" spans="1:5" ht="30" customHeight="1">
      <c r="A660" s="4">
        <v>658</v>
      </c>
      <c r="B660" s="5" t="str">
        <f>"264420201009102244157"</f>
        <v>264420201009102244157</v>
      </c>
      <c r="C660" s="5" t="s">
        <v>13</v>
      </c>
      <c r="D660" s="5" t="str">
        <f>"廖苓杏"</f>
        <v>廖苓杏</v>
      </c>
      <c r="E660" s="5" t="str">
        <f>"女"</f>
        <v>女</v>
      </c>
    </row>
    <row r="661" spans="1:5" ht="30" customHeight="1">
      <c r="A661" s="4">
        <v>659</v>
      </c>
      <c r="B661" s="5" t="str">
        <f>"264420201009103045171"</f>
        <v>264420201009103045171</v>
      </c>
      <c r="C661" s="5" t="s">
        <v>13</v>
      </c>
      <c r="D661" s="5" t="str">
        <f>"陈太夫"</f>
        <v>陈太夫</v>
      </c>
      <c r="E661" s="5" t="str">
        <f>"男"</f>
        <v>男</v>
      </c>
    </row>
    <row r="662" spans="1:5" ht="30" customHeight="1">
      <c r="A662" s="4">
        <v>660</v>
      </c>
      <c r="B662" s="5" t="str">
        <f>"264420201009103345175"</f>
        <v>264420201009103345175</v>
      </c>
      <c r="C662" s="5" t="s">
        <v>13</v>
      </c>
      <c r="D662" s="5" t="str">
        <f>"苏菊"</f>
        <v>苏菊</v>
      </c>
      <c r="E662" s="5" t="str">
        <f>"女"</f>
        <v>女</v>
      </c>
    </row>
    <row r="663" spans="1:5" ht="30" customHeight="1">
      <c r="A663" s="4">
        <v>661</v>
      </c>
      <c r="B663" s="5" t="str">
        <f>"264420201009103649180"</f>
        <v>264420201009103649180</v>
      </c>
      <c r="C663" s="5" t="s">
        <v>13</v>
      </c>
      <c r="D663" s="5" t="str">
        <f>"曹瀚"</f>
        <v>曹瀚</v>
      </c>
      <c r="E663" s="5" t="str">
        <f>"男"</f>
        <v>男</v>
      </c>
    </row>
    <row r="664" spans="1:5" ht="30" customHeight="1">
      <c r="A664" s="4">
        <v>662</v>
      </c>
      <c r="B664" s="5" t="str">
        <f>"264420201009103723182"</f>
        <v>264420201009103723182</v>
      </c>
      <c r="C664" s="5" t="s">
        <v>13</v>
      </c>
      <c r="D664" s="5" t="str">
        <f>"黄竟然"</f>
        <v>黄竟然</v>
      </c>
      <c r="E664" s="5" t="str">
        <f>"女"</f>
        <v>女</v>
      </c>
    </row>
    <row r="665" spans="1:5" ht="30" customHeight="1">
      <c r="A665" s="4">
        <v>663</v>
      </c>
      <c r="B665" s="5" t="str">
        <f>"264420201009104114187"</f>
        <v>264420201009104114187</v>
      </c>
      <c r="C665" s="5" t="s">
        <v>13</v>
      </c>
      <c r="D665" s="5" t="str">
        <f>"羊山"</f>
        <v>羊山</v>
      </c>
      <c r="E665" s="5" t="str">
        <f>"男"</f>
        <v>男</v>
      </c>
    </row>
    <row r="666" spans="1:5" ht="30" customHeight="1">
      <c r="A666" s="4">
        <v>664</v>
      </c>
      <c r="B666" s="5" t="str">
        <f>"264420201009105015201"</f>
        <v>264420201009105015201</v>
      </c>
      <c r="C666" s="5" t="s">
        <v>13</v>
      </c>
      <c r="D666" s="5" t="str">
        <f>"李想"</f>
        <v>李想</v>
      </c>
      <c r="E666" s="5" t="str">
        <f>"男"</f>
        <v>男</v>
      </c>
    </row>
    <row r="667" spans="1:5" ht="30" customHeight="1">
      <c r="A667" s="4">
        <v>665</v>
      </c>
      <c r="B667" s="5" t="str">
        <f>"264420201009105234205"</f>
        <v>264420201009105234205</v>
      </c>
      <c r="C667" s="5" t="s">
        <v>13</v>
      </c>
      <c r="D667" s="5" t="str">
        <f>"曾万坚"</f>
        <v>曾万坚</v>
      </c>
      <c r="E667" s="5" t="str">
        <f>"男"</f>
        <v>男</v>
      </c>
    </row>
    <row r="668" spans="1:5" ht="30" customHeight="1">
      <c r="A668" s="4">
        <v>666</v>
      </c>
      <c r="B668" s="5" t="str">
        <f>"264420201009105717213"</f>
        <v>264420201009105717213</v>
      </c>
      <c r="C668" s="5" t="s">
        <v>13</v>
      </c>
      <c r="D668" s="5" t="str">
        <f>"李皎余"</f>
        <v>李皎余</v>
      </c>
      <c r="E668" s="5" t="str">
        <f>"女"</f>
        <v>女</v>
      </c>
    </row>
    <row r="669" spans="1:5" ht="30" customHeight="1">
      <c r="A669" s="4">
        <v>667</v>
      </c>
      <c r="B669" s="5" t="str">
        <f>"264420201009110114219"</f>
        <v>264420201009110114219</v>
      </c>
      <c r="C669" s="5" t="s">
        <v>13</v>
      </c>
      <c r="D669" s="5" t="str">
        <f>"李健华"</f>
        <v>李健华</v>
      </c>
      <c r="E669" s="5" t="str">
        <f>"男"</f>
        <v>男</v>
      </c>
    </row>
    <row r="670" spans="1:5" ht="30" customHeight="1">
      <c r="A670" s="4">
        <v>668</v>
      </c>
      <c r="B670" s="5" t="str">
        <f>"264420201009111934239"</f>
        <v>264420201009111934239</v>
      </c>
      <c r="C670" s="5" t="s">
        <v>13</v>
      </c>
      <c r="D670" s="5" t="str">
        <f>"王家任"</f>
        <v>王家任</v>
      </c>
      <c r="E670" s="5" t="str">
        <f>"男"</f>
        <v>男</v>
      </c>
    </row>
    <row r="671" spans="1:5" ht="30" customHeight="1">
      <c r="A671" s="4">
        <v>669</v>
      </c>
      <c r="B671" s="5" t="str">
        <f>"264420201009112910251"</f>
        <v>264420201009112910251</v>
      </c>
      <c r="C671" s="5" t="s">
        <v>13</v>
      </c>
      <c r="D671" s="5" t="str">
        <f>"林明宗"</f>
        <v>林明宗</v>
      </c>
      <c r="E671" s="5" t="str">
        <f>"男"</f>
        <v>男</v>
      </c>
    </row>
    <row r="672" spans="1:5" ht="30" customHeight="1">
      <c r="A672" s="4">
        <v>670</v>
      </c>
      <c r="B672" s="5" t="str">
        <f>"264420201009113536261"</f>
        <v>264420201009113536261</v>
      </c>
      <c r="C672" s="5" t="s">
        <v>13</v>
      </c>
      <c r="D672" s="5" t="str">
        <f>"吴雅婷"</f>
        <v>吴雅婷</v>
      </c>
      <c r="E672" s="5" t="str">
        <f>"女"</f>
        <v>女</v>
      </c>
    </row>
    <row r="673" spans="1:5" ht="30" customHeight="1">
      <c r="A673" s="4">
        <v>671</v>
      </c>
      <c r="B673" s="5" t="str">
        <f>"264420201009113711265"</f>
        <v>264420201009113711265</v>
      </c>
      <c r="C673" s="5" t="s">
        <v>13</v>
      </c>
      <c r="D673" s="5" t="str">
        <f>"江青敏"</f>
        <v>江青敏</v>
      </c>
      <c r="E673" s="5" t="str">
        <f>"男"</f>
        <v>男</v>
      </c>
    </row>
    <row r="674" spans="1:5" ht="30" customHeight="1">
      <c r="A674" s="4">
        <v>672</v>
      </c>
      <c r="B674" s="5" t="str">
        <f>"264420201009115214277"</f>
        <v>264420201009115214277</v>
      </c>
      <c r="C674" s="5" t="s">
        <v>13</v>
      </c>
      <c r="D674" s="5" t="str">
        <f>"陈丽娜"</f>
        <v>陈丽娜</v>
      </c>
      <c r="E674" s="5" t="str">
        <f>"女"</f>
        <v>女</v>
      </c>
    </row>
    <row r="675" spans="1:5" ht="30" customHeight="1">
      <c r="A675" s="4">
        <v>673</v>
      </c>
      <c r="B675" s="5" t="str">
        <f>"264420201009120911293"</f>
        <v>264420201009120911293</v>
      </c>
      <c r="C675" s="5" t="s">
        <v>13</v>
      </c>
      <c r="D675" s="5" t="str">
        <f>"高阳卉"</f>
        <v>高阳卉</v>
      </c>
      <c r="E675" s="5" t="str">
        <f>"女"</f>
        <v>女</v>
      </c>
    </row>
    <row r="676" spans="1:5" ht="30" customHeight="1">
      <c r="A676" s="4">
        <v>674</v>
      </c>
      <c r="B676" s="5" t="str">
        <f>"264420201009130130326"</f>
        <v>264420201009130130326</v>
      </c>
      <c r="C676" s="5" t="s">
        <v>13</v>
      </c>
      <c r="D676" s="5" t="str">
        <f>"吴春燕"</f>
        <v>吴春燕</v>
      </c>
      <c r="E676" s="5" t="str">
        <f>"女"</f>
        <v>女</v>
      </c>
    </row>
    <row r="677" spans="1:5" ht="30" customHeight="1">
      <c r="A677" s="4">
        <v>675</v>
      </c>
      <c r="B677" s="5" t="str">
        <f>"264420201009145649394"</f>
        <v>264420201009145649394</v>
      </c>
      <c r="C677" s="5" t="s">
        <v>13</v>
      </c>
      <c r="D677" s="5" t="str">
        <f>"冯在余"</f>
        <v>冯在余</v>
      </c>
      <c r="E677" s="5" t="str">
        <f aca="true" t="shared" si="25" ref="E677:E684">"男"</f>
        <v>男</v>
      </c>
    </row>
    <row r="678" spans="1:5" ht="30" customHeight="1">
      <c r="A678" s="4">
        <v>676</v>
      </c>
      <c r="B678" s="5" t="str">
        <f>"264420201009145758396"</f>
        <v>264420201009145758396</v>
      </c>
      <c r="C678" s="5" t="s">
        <v>13</v>
      </c>
      <c r="D678" s="5" t="str">
        <f>"张名绚"</f>
        <v>张名绚</v>
      </c>
      <c r="E678" s="5" t="str">
        <f t="shared" si="25"/>
        <v>男</v>
      </c>
    </row>
    <row r="679" spans="1:5" ht="30" customHeight="1">
      <c r="A679" s="4">
        <v>677</v>
      </c>
      <c r="B679" s="5" t="str">
        <f>"264420201009145904399"</f>
        <v>264420201009145904399</v>
      </c>
      <c r="C679" s="5" t="s">
        <v>13</v>
      </c>
      <c r="D679" s="5" t="str">
        <f>"李唐朝"</f>
        <v>李唐朝</v>
      </c>
      <c r="E679" s="5" t="str">
        <f t="shared" si="25"/>
        <v>男</v>
      </c>
    </row>
    <row r="680" spans="1:5" ht="30" customHeight="1">
      <c r="A680" s="4">
        <v>678</v>
      </c>
      <c r="B680" s="5" t="str">
        <f>"264420201009150231401"</f>
        <v>264420201009150231401</v>
      </c>
      <c r="C680" s="5" t="s">
        <v>13</v>
      </c>
      <c r="D680" s="5" t="str">
        <f>"杨岛"</f>
        <v>杨岛</v>
      </c>
      <c r="E680" s="5" t="str">
        <f t="shared" si="25"/>
        <v>男</v>
      </c>
    </row>
    <row r="681" spans="1:5" ht="30" customHeight="1">
      <c r="A681" s="4">
        <v>679</v>
      </c>
      <c r="B681" s="5" t="str">
        <f>"264420201009150235402"</f>
        <v>264420201009150235402</v>
      </c>
      <c r="C681" s="5" t="s">
        <v>13</v>
      </c>
      <c r="D681" s="5" t="str">
        <f>"曾德杰"</f>
        <v>曾德杰</v>
      </c>
      <c r="E681" s="5" t="str">
        <f t="shared" si="25"/>
        <v>男</v>
      </c>
    </row>
    <row r="682" spans="1:5" ht="30" customHeight="1">
      <c r="A682" s="4">
        <v>680</v>
      </c>
      <c r="B682" s="5" t="str">
        <f>"264420201009150642404"</f>
        <v>264420201009150642404</v>
      </c>
      <c r="C682" s="5" t="s">
        <v>13</v>
      </c>
      <c r="D682" s="5" t="str">
        <f>"傅啟立"</f>
        <v>傅啟立</v>
      </c>
      <c r="E682" s="5" t="str">
        <f t="shared" si="25"/>
        <v>男</v>
      </c>
    </row>
    <row r="683" spans="1:5" ht="30" customHeight="1">
      <c r="A683" s="4">
        <v>681</v>
      </c>
      <c r="B683" s="5" t="str">
        <f>"264420201009150817405"</f>
        <v>264420201009150817405</v>
      </c>
      <c r="C683" s="5" t="s">
        <v>13</v>
      </c>
      <c r="D683" s="5" t="str">
        <f>"车明哲"</f>
        <v>车明哲</v>
      </c>
      <c r="E683" s="5" t="str">
        <f t="shared" si="25"/>
        <v>男</v>
      </c>
    </row>
    <row r="684" spans="1:5" ht="30" customHeight="1">
      <c r="A684" s="4">
        <v>682</v>
      </c>
      <c r="B684" s="5" t="str">
        <f>"264420201009152559418"</f>
        <v>264420201009152559418</v>
      </c>
      <c r="C684" s="5" t="s">
        <v>13</v>
      </c>
      <c r="D684" s="5" t="str">
        <f>"陈太鹏"</f>
        <v>陈太鹏</v>
      </c>
      <c r="E684" s="5" t="str">
        <f t="shared" si="25"/>
        <v>男</v>
      </c>
    </row>
    <row r="685" spans="1:5" ht="30" customHeight="1">
      <c r="A685" s="4">
        <v>683</v>
      </c>
      <c r="B685" s="5" t="str">
        <f>"264420201009160012456"</f>
        <v>264420201009160012456</v>
      </c>
      <c r="C685" s="5" t="s">
        <v>13</v>
      </c>
      <c r="D685" s="5" t="str">
        <f>"吴欣芮 "</f>
        <v>吴欣芮 </v>
      </c>
      <c r="E685" s="5" t="str">
        <f>"女"</f>
        <v>女</v>
      </c>
    </row>
    <row r="686" spans="1:5" ht="30" customHeight="1">
      <c r="A686" s="4">
        <v>684</v>
      </c>
      <c r="B686" s="5" t="str">
        <f>"264420201009160835471"</f>
        <v>264420201009160835471</v>
      </c>
      <c r="C686" s="5" t="s">
        <v>13</v>
      </c>
      <c r="D686" s="5" t="str">
        <f>"朱文莹"</f>
        <v>朱文莹</v>
      </c>
      <c r="E686" s="5" t="str">
        <f>"女"</f>
        <v>女</v>
      </c>
    </row>
    <row r="687" spans="1:5" ht="30" customHeight="1">
      <c r="A687" s="4">
        <v>685</v>
      </c>
      <c r="B687" s="5" t="str">
        <f>"264420201009161506475"</f>
        <v>264420201009161506475</v>
      </c>
      <c r="C687" s="5" t="s">
        <v>13</v>
      </c>
      <c r="D687" s="5" t="str">
        <f>"吴燕"</f>
        <v>吴燕</v>
      </c>
      <c r="E687" s="5" t="str">
        <f>"女"</f>
        <v>女</v>
      </c>
    </row>
    <row r="688" spans="1:5" ht="30" customHeight="1">
      <c r="A688" s="4">
        <v>686</v>
      </c>
      <c r="B688" s="5" t="str">
        <f>"264420201009162908486"</f>
        <v>264420201009162908486</v>
      </c>
      <c r="C688" s="5" t="s">
        <v>13</v>
      </c>
      <c r="D688" s="5" t="str">
        <f>"林王华"</f>
        <v>林王华</v>
      </c>
      <c r="E688" s="5" t="str">
        <f>"男"</f>
        <v>男</v>
      </c>
    </row>
    <row r="689" spans="1:5" ht="30" customHeight="1">
      <c r="A689" s="4">
        <v>687</v>
      </c>
      <c r="B689" s="5" t="str">
        <f>"264420201009163102489"</f>
        <v>264420201009163102489</v>
      </c>
      <c r="C689" s="5" t="s">
        <v>13</v>
      </c>
      <c r="D689" s="5" t="str">
        <f>"周烨青"</f>
        <v>周烨青</v>
      </c>
      <c r="E689" s="5" t="str">
        <f>"女"</f>
        <v>女</v>
      </c>
    </row>
    <row r="690" spans="1:5" ht="30" customHeight="1">
      <c r="A690" s="4">
        <v>688</v>
      </c>
      <c r="B690" s="5" t="str">
        <f>"264420201009164129500"</f>
        <v>264420201009164129500</v>
      </c>
      <c r="C690" s="5" t="s">
        <v>13</v>
      </c>
      <c r="D690" s="5" t="str">
        <f>"符史福"</f>
        <v>符史福</v>
      </c>
      <c r="E690" s="5" t="str">
        <f>"男"</f>
        <v>男</v>
      </c>
    </row>
    <row r="691" spans="1:5" ht="30" customHeight="1">
      <c r="A691" s="4">
        <v>689</v>
      </c>
      <c r="B691" s="5" t="str">
        <f>"264420201009164450502"</f>
        <v>264420201009164450502</v>
      </c>
      <c r="C691" s="5" t="s">
        <v>13</v>
      </c>
      <c r="D691" s="5" t="str">
        <f>"文聪"</f>
        <v>文聪</v>
      </c>
      <c r="E691" s="5" t="str">
        <f>"男"</f>
        <v>男</v>
      </c>
    </row>
    <row r="692" spans="1:5" ht="30" customHeight="1">
      <c r="A692" s="4">
        <v>690</v>
      </c>
      <c r="B692" s="5" t="str">
        <f>"264420201009164558503"</f>
        <v>264420201009164558503</v>
      </c>
      <c r="C692" s="5" t="s">
        <v>13</v>
      </c>
      <c r="D692" s="5" t="str">
        <f>"黄建东"</f>
        <v>黄建东</v>
      </c>
      <c r="E692" s="5" t="str">
        <f>"男"</f>
        <v>男</v>
      </c>
    </row>
    <row r="693" spans="1:5" ht="30" customHeight="1">
      <c r="A693" s="4">
        <v>691</v>
      </c>
      <c r="B693" s="5" t="str">
        <f>"264420201009175843551"</f>
        <v>264420201009175843551</v>
      </c>
      <c r="C693" s="5" t="s">
        <v>13</v>
      </c>
      <c r="D693" s="5" t="str">
        <f>"翁春媛"</f>
        <v>翁春媛</v>
      </c>
      <c r="E693" s="5" t="str">
        <f>"女"</f>
        <v>女</v>
      </c>
    </row>
    <row r="694" spans="1:5" ht="30" customHeight="1">
      <c r="A694" s="4">
        <v>692</v>
      </c>
      <c r="B694" s="5" t="str">
        <f>"264420201009181003557"</f>
        <v>264420201009181003557</v>
      </c>
      <c r="C694" s="5" t="s">
        <v>13</v>
      </c>
      <c r="D694" s="5" t="str">
        <f>"文月敏"</f>
        <v>文月敏</v>
      </c>
      <c r="E694" s="5" t="str">
        <f>"女"</f>
        <v>女</v>
      </c>
    </row>
    <row r="695" spans="1:5" ht="30" customHeight="1">
      <c r="A695" s="4">
        <v>693</v>
      </c>
      <c r="B695" s="5" t="str">
        <f>"264420201009183818578"</f>
        <v>264420201009183818578</v>
      </c>
      <c r="C695" s="5" t="s">
        <v>13</v>
      </c>
      <c r="D695" s="5" t="str">
        <f>"陈彦儒"</f>
        <v>陈彦儒</v>
      </c>
      <c r="E695" s="5" t="str">
        <f aca="true" t="shared" si="26" ref="E695:E701">"男"</f>
        <v>男</v>
      </c>
    </row>
    <row r="696" spans="1:5" ht="30" customHeight="1">
      <c r="A696" s="4">
        <v>694</v>
      </c>
      <c r="B696" s="5" t="str">
        <f>"264420201009192042610"</f>
        <v>264420201009192042610</v>
      </c>
      <c r="C696" s="5" t="s">
        <v>13</v>
      </c>
      <c r="D696" s="5" t="str">
        <f>"陈隆"</f>
        <v>陈隆</v>
      </c>
      <c r="E696" s="5" t="str">
        <f t="shared" si="26"/>
        <v>男</v>
      </c>
    </row>
    <row r="697" spans="1:5" ht="30" customHeight="1">
      <c r="A697" s="4">
        <v>695</v>
      </c>
      <c r="B697" s="5" t="str">
        <f>"264420201009193557618"</f>
        <v>264420201009193557618</v>
      </c>
      <c r="C697" s="5" t="s">
        <v>13</v>
      </c>
      <c r="D697" s="5" t="str">
        <f>"罗运志"</f>
        <v>罗运志</v>
      </c>
      <c r="E697" s="5" t="str">
        <f t="shared" si="26"/>
        <v>男</v>
      </c>
    </row>
    <row r="698" spans="1:5" ht="30" customHeight="1">
      <c r="A698" s="4">
        <v>696</v>
      </c>
      <c r="B698" s="5" t="str">
        <f>"264420201009195459633"</f>
        <v>264420201009195459633</v>
      </c>
      <c r="C698" s="5" t="s">
        <v>13</v>
      </c>
      <c r="D698" s="5" t="str">
        <f>"苏小天"</f>
        <v>苏小天</v>
      </c>
      <c r="E698" s="5" t="str">
        <f t="shared" si="26"/>
        <v>男</v>
      </c>
    </row>
    <row r="699" spans="1:5" ht="30" customHeight="1">
      <c r="A699" s="4">
        <v>697</v>
      </c>
      <c r="B699" s="5" t="str">
        <f>"264420201009204232688"</f>
        <v>264420201009204232688</v>
      </c>
      <c r="C699" s="5" t="s">
        <v>13</v>
      </c>
      <c r="D699" s="5" t="str">
        <f>"陈文位"</f>
        <v>陈文位</v>
      </c>
      <c r="E699" s="5" t="str">
        <f t="shared" si="26"/>
        <v>男</v>
      </c>
    </row>
    <row r="700" spans="1:5" ht="30" customHeight="1">
      <c r="A700" s="4">
        <v>698</v>
      </c>
      <c r="B700" s="5" t="str">
        <f>"264420201009204315690"</f>
        <v>264420201009204315690</v>
      </c>
      <c r="C700" s="5" t="s">
        <v>13</v>
      </c>
      <c r="D700" s="5" t="str">
        <f>"符传明"</f>
        <v>符传明</v>
      </c>
      <c r="E700" s="5" t="str">
        <f t="shared" si="26"/>
        <v>男</v>
      </c>
    </row>
    <row r="701" spans="1:5" ht="30" customHeight="1">
      <c r="A701" s="4">
        <v>699</v>
      </c>
      <c r="B701" s="5" t="str">
        <f>"264420201009204656692"</f>
        <v>264420201009204656692</v>
      </c>
      <c r="C701" s="5" t="s">
        <v>13</v>
      </c>
      <c r="D701" s="5" t="str">
        <f>"唐仕翔"</f>
        <v>唐仕翔</v>
      </c>
      <c r="E701" s="5" t="str">
        <f t="shared" si="26"/>
        <v>男</v>
      </c>
    </row>
    <row r="702" spans="1:5" ht="30" customHeight="1">
      <c r="A702" s="4">
        <v>700</v>
      </c>
      <c r="B702" s="5" t="str">
        <f>"264420201009204709693"</f>
        <v>264420201009204709693</v>
      </c>
      <c r="C702" s="5" t="s">
        <v>13</v>
      </c>
      <c r="D702" s="5" t="str">
        <f>"吴晓倩"</f>
        <v>吴晓倩</v>
      </c>
      <c r="E702" s="5" t="str">
        <f>"女"</f>
        <v>女</v>
      </c>
    </row>
    <row r="703" spans="1:5" ht="30" customHeight="1">
      <c r="A703" s="4">
        <v>701</v>
      </c>
      <c r="B703" s="5" t="str">
        <f>"264420201009205348698"</f>
        <v>264420201009205348698</v>
      </c>
      <c r="C703" s="5" t="s">
        <v>13</v>
      </c>
      <c r="D703" s="5" t="str">
        <f>"符金敏"</f>
        <v>符金敏</v>
      </c>
      <c r="E703" s="5" t="str">
        <f>"女"</f>
        <v>女</v>
      </c>
    </row>
    <row r="704" spans="1:5" ht="30" customHeight="1">
      <c r="A704" s="4">
        <v>702</v>
      </c>
      <c r="B704" s="5" t="str">
        <f>"264420201009205435699"</f>
        <v>264420201009205435699</v>
      </c>
      <c r="C704" s="5" t="s">
        <v>13</v>
      </c>
      <c r="D704" s="5" t="str">
        <f>"吴多富"</f>
        <v>吴多富</v>
      </c>
      <c r="E704" s="5" t="str">
        <f>"男"</f>
        <v>男</v>
      </c>
    </row>
    <row r="705" spans="1:5" ht="30" customHeight="1">
      <c r="A705" s="4">
        <v>703</v>
      </c>
      <c r="B705" s="5" t="str">
        <f>"264420201009213455726"</f>
        <v>264420201009213455726</v>
      </c>
      <c r="C705" s="5" t="s">
        <v>13</v>
      </c>
      <c r="D705" s="5" t="str">
        <f>"潘在理"</f>
        <v>潘在理</v>
      </c>
      <c r="E705" s="5" t="str">
        <f>"男"</f>
        <v>男</v>
      </c>
    </row>
    <row r="706" spans="1:5" ht="30" customHeight="1">
      <c r="A706" s="4">
        <v>704</v>
      </c>
      <c r="B706" s="5" t="str">
        <f>"264420201009213926729"</f>
        <v>264420201009213926729</v>
      </c>
      <c r="C706" s="5" t="s">
        <v>13</v>
      </c>
      <c r="D706" s="5" t="str">
        <f>"何贤椿"</f>
        <v>何贤椿</v>
      </c>
      <c r="E706" s="5" t="str">
        <f>"男"</f>
        <v>男</v>
      </c>
    </row>
    <row r="707" spans="1:5" ht="30" customHeight="1">
      <c r="A707" s="4">
        <v>705</v>
      </c>
      <c r="B707" s="5" t="str">
        <f>"264420201009214700737"</f>
        <v>264420201009214700737</v>
      </c>
      <c r="C707" s="5" t="s">
        <v>13</v>
      </c>
      <c r="D707" s="5" t="str">
        <f>"劳宝凯"</f>
        <v>劳宝凯</v>
      </c>
      <c r="E707" s="5" t="str">
        <f>"男"</f>
        <v>男</v>
      </c>
    </row>
    <row r="708" spans="1:5" ht="30" customHeight="1">
      <c r="A708" s="4">
        <v>706</v>
      </c>
      <c r="B708" s="5" t="str">
        <f>"264420201009221718759"</f>
        <v>264420201009221718759</v>
      </c>
      <c r="C708" s="5" t="s">
        <v>13</v>
      </c>
      <c r="D708" s="5" t="str">
        <f>"陈美霖"</f>
        <v>陈美霖</v>
      </c>
      <c r="E708" s="5" t="str">
        <f>"女"</f>
        <v>女</v>
      </c>
    </row>
    <row r="709" spans="1:5" ht="30" customHeight="1">
      <c r="A709" s="4">
        <v>707</v>
      </c>
      <c r="B709" s="5" t="str">
        <f>"264420201009222030762"</f>
        <v>264420201009222030762</v>
      </c>
      <c r="C709" s="5" t="s">
        <v>13</v>
      </c>
      <c r="D709" s="5" t="str">
        <f>"寇玉"</f>
        <v>寇玉</v>
      </c>
      <c r="E709" s="5" t="str">
        <f>"女"</f>
        <v>女</v>
      </c>
    </row>
    <row r="710" spans="1:5" ht="30" customHeight="1">
      <c r="A710" s="4">
        <v>708</v>
      </c>
      <c r="B710" s="5" t="str">
        <f>"264420201009222618766"</f>
        <v>264420201009222618766</v>
      </c>
      <c r="C710" s="5" t="s">
        <v>13</v>
      </c>
      <c r="D710" s="5" t="str">
        <f>"吴钟林"</f>
        <v>吴钟林</v>
      </c>
      <c r="E710" s="5" t="str">
        <f>"男"</f>
        <v>男</v>
      </c>
    </row>
    <row r="711" spans="1:5" ht="30" customHeight="1">
      <c r="A711" s="4">
        <v>709</v>
      </c>
      <c r="B711" s="5" t="str">
        <f>"264420201009231848790"</f>
        <v>264420201009231848790</v>
      </c>
      <c r="C711" s="5" t="s">
        <v>13</v>
      </c>
      <c r="D711" s="5" t="str">
        <f>"华红伶"</f>
        <v>华红伶</v>
      </c>
      <c r="E711" s="5" t="str">
        <f>"女"</f>
        <v>女</v>
      </c>
    </row>
    <row r="712" spans="1:5" ht="30" customHeight="1">
      <c r="A712" s="4">
        <v>710</v>
      </c>
      <c r="B712" s="5" t="str">
        <f>"264420201009233204794"</f>
        <v>264420201009233204794</v>
      </c>
      <c r="C712" s="5" t="s">
        <v>13</v>
      </c>
      <c r="D712" s="5" t="str">
        <f>"符芳蔚"</f>
        <v>符芳蔚</v>
      </c>
      <c r="E712" s="5" t="str">
        <f>"男"</f>
        <v>男</v>
      </c>
    </row>
    <row r="713" spans="1:5" ht="30" customHeight="1">
      <c r="A713" s="4">
        <v>711</v>
      </c>
      <c r="B713" s="5" t="str">
        <f>"264420201010083305822"</f>
        <v>264420201010083305822</v>
      </c>
      <c r="C713" s="5" t="s">
        <v>13</v>
      </c>
      <c r="D713" s="5" t="str">
        <f>"麦江"</f>
        <v>麦江</v>
      </c>
      <c r="E713" s="5" t="str">
        <f>"女"</f>
        <v>女</v>
      </c>
    </row>
    <row r="714" spans="1:5" ht="30" customHeight="1">
      <c r="A714" s="4">
        <v>712</v>
      </c>
      <c r="B714" s="5" t="str">
        <f>"264420201010083544824"</f>
        <v>264420201010083544824</v>
      </c>
      <c r="C714" s="5" t="s">
        <v>13</v>
      </c>
      <c r="D714" s="5" t="str">
        <f>"麦兴研"</f>
        <v>麦兴研</v>
      </c>
      <c r="E714" s="5" t="str">
        <f>"男"</f>
        <v>男</v>
      </c>
    </row>
    <row r="715" spans="1:5" ht="30" customHeight="1">
      <c r="A715" s="4">
        <v>713</v>
      </c>
      <c r="B715" s="5" t="str">
        <f>"264420201010092350847"</f>
        <v>264420201010092350847</v>
      </c>
      <c r="C715" s="5" t="s">
        <v>13</v>
      </c>
      <c r="D715" s="5" t="str">
        <f>"武晋宇"</f>
        <v>武晋宇</v>
      </c>
      <c r="E715" s="5" t="str">
        <f>"男"</f>
        <v>男</v>
      </c>
    </row>
    <row r="716" spans="1:5" ht="30" customHeight="1">
      <c r="A716" s="4">
        <v>714</v>
      </c>
      <c r="B716" s="5" t="str">
        <f>"264420201010093719856"</f>
        <v>264420201010093719856</v>
      </c>
      <c r="C716" s="5" t="s">
        <v>13</v>
      </c>
      <c r="D716" s="5" t="str">
        <f>"邱丽雯"</f>
        <v>邱丽雯</v>
      </c>
      <c r="E716" s="5" t="str">
        <f>"女"</f>
        <v>女</v>
      </c>
    </row>
    <row r="717" spans="1:5" ht="30" customHeight="1">
      <c r="A717" s="4">
        <v>715</v>
      </c>
      <c r="B717" s="5" t="str">
        <f>"264420201010095354865"</f>
        <v>264420201010095354865</v>
      </c>
      <c r="C717" s="5" t="s">
        <v>13</v>
      </c>
      <c r="D717" s="5" t="str">
        <f>"符智强"</f>
        <v>符智强</v>
      </c>
      <c r="E717" s="5" t="str">
        <f>"男"</f>
        <v>男</v>
      </c>
    </row>
    <row r="718" spans="1:5" ht="30" customHeight="1">
      <c r="A718" s="4">
        <v>716</v>
      </c>
      <c r="B718" s="5" t="str">
        <f>"264420201010101104876"</f>
        <v>264420201010101104876</v>
      </c>
      <c r="C718" s="5" t="s">
        <v>13</v>
      </c>
      <c r="D718" s="5" t="str">
        <f>"邢毅鑫"</f>
        <v>邢毅鑫</v>
      </c>
      <c r="E718" s="5" t="str">
        <f>"男"</f>
        <v>男</v>
      </c>
    </row>
    <row r="719" spans="1:5" ht="30" customHeight="1">
      <c r="A719" s="4">
        <v>717</v>
      </c>
      <c r="B719" s="5" t="str">
        <f>"264420201010103414890"</f>
        <v>264420201010103414890</v>
      </c>
      <c r="C719" s="5" t="s">
        <v>13</v>
      </c>
      <c r="D719" s="5" t="str">
        <f>"陈泰晶"</f>
        <v>陈泰晶</v>
      </c>
      <c r="E719" s="5" t="str">
        <f>"女"</f>
        <v>女</v>
      </c>
    </row>
    <row r="720" spans="1:5" ht="30" customHeight="1">
      <c r="A720" s="4">
        <v>718</v>
      </c>
      <c r="B720" s="5" t="str">
        <f>"264420201010115834933"</f>
        <v>264420201010115834933</v>
      </c>
      <c r="C720" s="5" t="s">
        <v>13</v>
      </c>
      <c r="D720" s="5" t="str">
        <f>"王立菲"</f>
        <v>王立菲</v>
      </c>
      <c r="E720" s="5" t="str">
        <f>"女"</f>
        <v>女</v>
      </c>
    </row>
    <row r="721" spans="1:5" ht="30" customHeight="1">
      <c r="A721" s="4">
        <v>719</v>
      </c>
      <c r="B721" s="5" t="str">
        <f>"264420201010120638939"</f>
        <v>264420201010120638939</v>
      </c>
      <c r="C721" s="5" t="s">
        <v>13</v>
      </c>
      <c r="D721" s="5" t="str">
        <f>"郑声浩"</f>
        <v>郑声浩</v>
      </c>
      <c r="E721" s="5" t="str">
        <f>"男"</f>
        <v>男</v>
      </c>
    </row>
    <row r="722" spans="1:5" ht="30" customHeight="1">
      <c r="A722" s="4">
        <v>720</v>
      </c>
      <c r="B722" s="5" t="str">
        <f>"264420201010131002960"</f>
        <v>264420201010131002960</v>
      </c>
      <c r="C722" s="5" t="s">
        <v>13</v>
      </c>
      <c r="D722" s="5" t="str">
        <f>"邱星功"</f>
        <v>邱星功</v>
      </c>
      <c r="E722" s="5" t="str">
        <f>"男"</f>
        <v>男</v>
      </c>
    </row>
    <row r="723" spans="1:5" ht="30" customHeight="1">
      <c r="A723" s="4">
        <v>721</v>
      </c>
      <c r="B723" s="5" t="str">
        <f>"264420201010150905997"</f>
        <v>264420201010150905997</v>
      </c>
      <c r="C723" s="5" t="s">
        <v>13</v>
      </c>
      <c r="D723" s="5" t="str">
        <f>"谭江连"</f>
        <v>谭江连</v>
      </c>
      <c r="E723" s="5" t="str">
        <f>"女"</f>
        <v>女</v>
      </c>
    </row>
    <row r="724" spans="1:5" ht="30" customHeight="1">
      <c r="A724" s="4">
        <v>722</v>
      </c>
      <c r="B724" s="5" t="str">
        <f>"2644202010101522261001"</f>
        <v>2644202010101522261001</v>
      </c>
      <c r="C724" s="5" t="s">
        <v>13</v>
      </c>
      <c r="D724" s="5" t="str">
        <f>"陈运鹰"</f>
        <v>陈运鹰</v>
      </c>
      <c r="E724" s="5" t="str">
        <f>"女"</f>
        <v>女</v>
      </c>
    </row>
    <row r="725" spans="1:5" ht="30" customHeight="1">
      <c r="A725" s="4">
        <v>723</v>
      </c>
      <c r="B725" s="5" t="str">
        <f>"2644202010101524091003"</f>
        <v>2644202010101524091003</v>
      </c>
      <c r="C725" s="5" t="s">
        <v>13</v>
      </c>
      <c r="D725" s="5" t="str">
        <f>"叶沙番"</f>
        <v>叶沙番</v>
      </c>
      <c r="E725" s="5" t="str">
        <f>"女"</f>
        <v>女</v>
      </c>
    </row>
    <row r="726" spans="1:5" ht="30" customHeight="1">
      <c r="A726" s="4">
        <v>724</v>
      </c>
      <c r="B726" s="5" t="str">
        <f>"2644202010101533471009"</f>
        <v>2644202010101533471009</v>
      </c>
      <c r="C726" s="5" t="s">
        <v>13</v>
      </c>
      <c r="D726" s="5" t="str">
        <f>"白冰"</f>
        <v>白冰</v>
      </c>
      <c r="E726" s="5" t="str">
        <f>"女"</f>
        <v>女</v>
      </c>
    </row>
    <row r="727" spans="1:5" ht="30" customHeight="1">
      <c r="A727" s="4">
        <v>725</v>
      </c>
      <c r="B727" s="5" t="str">
        <f>"2644202010101538221011"</f>
        <v>2644202010101538221011</v>
      </c>
      <c r="C727" s="5" t="s">
        <v>13</v>
      </c>
      <c r="D727" s="5" t="str">
        <f>"杜庚隆"</f>
        <v>杜庚隆</v>
      </c>
      <c r="E727" s="5" t="str">
        <f>"男"</f>
        <v>男</v>
      </c>
    </row>
    <row r="728" spans="1:5" ht="30" customHeight="1">
      <c r="A728" s="4">
        <v>726</v>
      </c>
      <c r="B728" s="5" t="str">
        <f>"2644202010101604161020"</f>
        <v>2644202010101604161020</v>
      </c>
      <c r="C728" s="5" t="s">
        <v>13</v>
      </c>
      <c r="D728" s="5" t="str">
        <f>"李泰"</f>
        <v>李泰</v>
      </c>
      <c r="E728" s="5" t="str">
        <f>"男"</f>
        <v>男</v>
      </c>
    </row>
    <row r="729" spans="1:5" ht="30" customHeight="1">
      <c r="A729" s="4">
        <v>727</v>
      </c>
      <c r="B729" s="5" t="str">
        <f>"2644202010101635191032"</f>
        <v>2644202010101635191032</v>
      </c>
      <c r="C729" s="5" t="s">
        <v>13</v>
      </c>
      <c r="D729" s="5" t="str">
        <f>"欧玲燕"</f>
        <v>欧玲燕</v>
      </c>
      <c r="E729" s="5" t="str">
        <f>"女"</f>
        <v>女</v>
      </c>
    </row>
    <row r="730" spans="1:5" ht="30" customHeight="1">
      <c r="A730" s="4">
        <v>728</v>
      </c>
      <c r="B730" s="5" t="str">
        <f>"2644202010101734561061"</f>
        <v>2644202010101734561061</v>
      </c>
      <c r="C730" s="5" t="s">
        <v>13</v>
      </c>
      <c r="D730" s="5" t="str">
        <f>"李奇亮"</f>
        <v>李奇亮</v>
      </c>
      <c r="E730" s="5" t="str">
        <f>"男"</f>
        <v>男</v>
      </c>
    </row>
    <row r="731" spans="1:5" ht="30" customHeight="1">
      <c r="A731" s="4">
        <v>729</v>
      </c>
      <c r="B731" s="5" t="str">
        <f>"2644202010101819451075"</f>
        <v>2644202010101819451075</v>
      </c>
      <c r="C731" s="5" t="s">
        <v>13</v>
      </c>
      <c r="D731" s="5" t="str">
        <f>"周惠雅"</f>
        <v>周惠雅</v>
      </c>
      <c r="E731" s="5" t="str">
        <f>"女"</f>
        <v>女</v>
      </c>
    </row>
    <row r="732" spans="1:5" ht="30" customHeight="1">
      <c r="A732" s="4">
        <v>730</v>
      </c>
      <c r="B732" s="5" t="str">
        <f>"2644202010101927081089"</f>
        <v>2644202010101927081089</v>
      </c>
      <c r="C732" s="5" t="s">
        <v>13</v>
      </c>
      <c r="D732" s="5" t="str">
        <f>"周义镇"</f>
        <v>周义镇</v>
      </c>
      <c r="E732" s="5" t="str">
        <f>"男"</f>
        <v>男</v>
      </c>
    </row>
    <row r="733" spans="1:5" ht="30" customHeight="1">
      <c r="A733" s="4">
        <v>731</v>
      </c>
      <c r="B733" s="5" t="str">
        <f>"2644202010102107241118"</f>
        <v>2644202010102107241118</v>
      </c>
      <c r="C733" s="5" t="s">
        <v>13</v>
      </c>
      <c r="D733" s="5" t="str">
        <f>"吴柳"</f>
        <v>吴柳</v>
      </c>
      <c r="E733" s="5" t="str">
        <f>"女"</f>
        <v>女</v>
      </c>
    </row>
    <row r="734" spans="1:5" ht="30" customHeight="1">
      <c r="A734" s="4">
        <v>732</v>
      </c>
      <c r="B734" s="5" t="str">
        <f>"2644202010102134121129"</f>
        <v>2644202010102134121129</v>
      </c>
      <c r="C734" s="5" t="s">
        <v>13</v>
      </c>
      <c r="D734" s="5" t="str">
        <f>"翁忠哲"</f>
        <v>翁忠哲</v>
      </c>
      <c r="E734" s="5" t="str">
        <f>"男"</f>
        <v>男</v>
      </c>
    </row>
    <row r="735" spans="1:5" ht="30" customHeight="1">
      <c r="A735" s="4">
        <v>733</v>
      </c>
      <c r="B735" s="5" t="str">
        <f>"2644202010102148051138"</f>
        <v>2644202010102148051138</v>
      </c>
      <c r="C735" s="5" t="s">
        <v>13</v>
      </c>
      <c r="D735" s="5" t="str">
        <f>"姚国铭"</f>
        <v>姚国铭</v>
      </c>
      <c r="E735" s="5" t="str">
        <f>"男"</f>
        <v>男</v>
      </c>
    </row>
    <row r="736" spans="1:5" ht="30" customHeight="1">
      <c r="A736" s="4">
        <v>734</v>
      </c>
      <c r="B736" s="5" t="str">
        <f>"2644202010102153401141"</f>
        <v>2644202010102153401141</v>
      </c>
      <c r="C736" s="5" t="s">
        <v>13</v>
      </c>
      <c r="D736" s="5" t="str">
        <f>"韦家恺"</f>
        <v>韦家恺</v>
      </c>
      <c r="E736" s="5" t="str">
        <f>"男"</f>
        <v>男</v>
      </c>
    </row>
    <row r="737" spans="1:5" ht="30" customHeight="1">
      <c r="A737" s="4">
        <v>735</v>
      </c>
      <c r="B737" s="5" t="str">
        <f>"2644202010102246471152"</f>
        <v>2644202010102246471152</v>
      </c>
      <c r="C737" s="5" t="s">
        <v>13</v>
      </c>
      <c r="D737" s="5" t="str">
        <f>"彭孟莉"</f>
        <v>彭孟莉</v>
      </c>
      <c r="E737" s="5" t="str">
        <f>"女"</f>
        <v>女</v>
      </c>
    </row>
    <row r="738" spans="1:5" ht="30" customHeight="1">
      <c r="A738" s="4">
        <v>736</v>
      </c>
      <c r="B738" s="5" t="str">
        <f>"2644202010102310481156"</f>
        <v>2644202010102310481156</v>
      </c>
      <c r="C738" s="5" t="s">
        <v>13</v>
      </c>
      <c r="D738" s="5" t="str">
        <f>"谢培煌"</f>
        <v>谢培煌</v>
      </c>
      <c r="E738" s="5" t="str">
        <f>"男"</f>
        <v>男</v>
      </c>
    </row>
    <row r="739" spans="1:5" ht="30" customHeight="1">
      <c r="A739" s="4">
        <v>737</v>
      </c>
      <c r="B739" s="5" t="str">
        <f>"2644202010110752591178"</f>
        <v>2644202010110752591178</v>
      </c>
      <c r="C739" s="5" t="s">
        <v>13</v>
      </c>
      <c r="D739" s="5" t="str">
        <f>"吴彪"</f>
        <v>吴彪</v>
      </c>
      <c r="E739" s="5" t="str">
        <f>"男"</f>
        <v>男</v>
      </c>
    </row>
    <row r="740" spans="1:5" ht="30" customHeight="1">
      <c r="A740" s="4">
        <v>738</v>
      </c>
      <c r="B740" s="5" t="str">
        <f>"2644202010110815091181"</f>
        <v>2644202010110815091181</v>
      </c>
      <c r="C740" s="5" t="s">
        <v>13</v>
      </c>
      <c r="D740" s="5" t="str">
        <f>"许燕芬"</f>
        <v>许燕芬</v>
      </c>
      <c r="E740" s="5" t="str">
        <f>"女"</f>
        <v>女</v>
      </c>
    </row>
    <row r="741" spans="1:5" ht="30" customHeight="1">
      <c r="A741" s="4">
        <v>739</v>
      </c>
      <c r="B741" s="5" t="str">
        <f>"2644202010110930591196"</f>
        <v>2644202010110930591196</v>
      </c>
      <c r="C741" s="5" t="s">
        <v>13</v>
      </c>
      <c r="D741" s="5" t="str">
        <f>"符方凯"</f>
        <v>符方凯</v>
      </c>
      <c r="E741" s="5" t="str">
        <f>"男"</f>
        <v>男</v>
      </c>
    </row>
    <row r="742" spans="1:5" ht="30" customHeight="1">
      <c r="A742" s="4">
        <v>740</v>
      </c>
      <c r="B742" s="5" t="str">
        <f>"2644202010111108121222"</f>
        <v>2644202010111108121222</v>
      </c>
      <c r="C742" s="5" t="s">
        <v>13</v>
      </c>
      <c r="D742" s="5" t="str">
        <f>"林蝶"</f>
        <v>林蝶</v>
      </c>
      <c r="E742" s="5" t="str">
        <f>"女"</f>
        <v>女</v>
      </c>
    </row>
    <row r="743" spans="1:5" ht="30" customHeight="1">
      <c r="A743" s="4">
        <v>741</v>
      </c>
      <c r="B743" s="5" t="str">
        <f>"2644202010111320271259"</f>
        <v>2644202010111320271259</v>
      </c>
      <c r="C743" s="5" t="s">
        <v>13</v>
      </c>
      <c r="D743" s="5" t="str">
        <f>"陈灵灵"</f>
        <v>陈灵灵</v>
      </c>
      <c r="E743" s="5" t="str">
        <f>"女"</f>
        <v>女</v>
      </c>
    </row>
    <row r="744" spans="1:5" ht="30" customHeight="1">
      <c r="A744" s="4">
        <v>742</v>
      </c>
      <c r="B744" s="5" t="str">
        <f>"2644202010111439291278"</f>
        <v>2644202010111439291278</v>
      </c>
      <c r="C744" s="5" t="s">
        <v>13</v>
      </c>
      <c r="D744" s="5" t="str">
        <f>"杨敏"</f>
        <v>杨敏</v>
      </c>
      <c r="E744" s="5" t="str">
        <f>"女"</f>
        <v>女</v>
      </c>
    </row>
    <row r="745" spans="1:5" ht="30" customHeight="1">
      <c r="A745" s="4">
        <v>743</v>
      </c>
      <c r="B745" s="5" t="str">
        <f>"2644202010111512301292"</f>
        <v>2644202010111512301292</v>
      </c>
      <c r="C745" s="5" t="s">
        <v>13</v>
      </c>
      <c r="D745" s="5" t="str">
        <f>"王宏"</f>
        <v>王宏</v>
      </c>
      <c r="E745" s="5" t="str">
        <f>"男"</f>
        <v>男</v>
      </c>
    </row>
    <row r="746" spans="1:5" ht="30" customHeight="1">
      <c r="A746" s="4">
        <v>744</v>
      </c>
      <c r="B746" s="5" t="str">
        <f>"2644202010111517491295"</f>
        <v>2644202010111517491295</v>
      </c>
      <c r="C746" s="5" t="s">
        <v>13</v>
      </c>
      <c r="D746" s="5" t="str">
        <f>"王福录"</f>
        <v>王福录</v>
      </c>
      <c r="E746" s="5" t="str">
        <f>"男"</f>
        <v>男</v>
      </c>
    </row>
    <row r="747" spans="1:5" ht="30" customHeight="1">
      <c r="A747" s="4">
        <v>745</v>
      </c>
      <c r="B747" s="5" t="str">
        <f>"2644202010111551431303"</f>
        <v>2644202010111551431303</v>
      </c>
      <c r="C747" s="5" t="s">
        <v>13</v>
      </c>
      <c r="D747" s="5" t="str">
        <f>"冯滟晶"</f>
        <v>冯滟晶</v>
      </c>
      <c r="E747" s="5" t="str">
        <f>"女"</f>
        <v>女</v>
      </c>
    </row>
    <row r="748" spans="1:5" ht="30" customHeight="1">
      <c r="A748" s="4">
        <v>746</v>
      </c>
      <c r="B748" s="5" t="str">
        <f>"2644202010111605361307"</f>
        <v>2644202010111605361307</v>
      </c>
      <c r="C748" s="5" t="s">
        <v>13</v>
      </c>
      <c r="D748" s="5" t="str">
        <f>"吴怡怡"</f>
        <v>吴怡怡</v>
      </c>
      <c r="E748" s="5" t="str">
        <f>"女"</f>
        <v>女</v>
      </c>
    </row>
    <row r="749" spans="1:5" ht="30" customHeight="1">
      <c r="A749" s="4">
        <v>747</v>
      </c>
      <c r="B749" s="5" t="str">
        <f>"2644202010111631301319"</f>
        <v>2644202010111631301319</v>
      </c>
      <c r="C749" s="5" t="s">
        <v>13</v>
      </c>
      <c r="D749" s="5" t="str">
        <f>"吴亮"</f>
        <v>吴亮</v>
      </c>
      <c r="E749" s="5" t="str">
        <f>"男"</f>
        <v>男</v>
      </c>
    </row>
    <row r="750" spans="1:5" ht="30" customHeight="1">
      <c r="A750" s="4">
        <v>748</v>
      </c>
      <c r="B750" s="5" t="str">
        <f>"2644202010111735321344"</f>
        <v>2644202010111735321344</v>
      </c>
      <c r="C750" s="5" t="s">
        <v>13</v>
      </c>
      <c r="D750" s="5" t="str">
        <f>"王艳"</f>
        <v>王艳</v>
      </c>
      <c r="E750" s="5" t="str">
        <f>"女"</f>
        <v>女</v>
      </c>
    </row>
    <row r="751" spans="1:5" ht="30" customHeight="1">
      <c r="A751" s="4">
        <v>749</v>
      </c>
      <c r="B751" s="5" t="str">
        <f>"2644202010111746261346"</f>
        <v>2644202010111746261346</v>
      </c>
      <c r="C751" s="5" t="s">
        <v>13</v>
      </c>
      <c r="D751" s="5" t="str">
        <f>"李靖雅"</f>
        <v>李靖雅</v>
      </c>
      <c r="E751" s="5" t="str">
        <f>"女"</f>
        <v>女</v>
      </c>
    </row>
    <row r="752" spans="1:5" ht="30" customHeight="1">
      <c r="A752" s="4">
        <v>750</v>
      </c>
      <c r="B752" s="5" t="str">
        <f>"2644202010111755111349"</f>
        <v>2644202010111755111349</v>
      </c>
      <c r="C752" s="5" t="s">
        <v>13</v>
      </c>
      <c r="D752" s="5" t="str">
        <f>"罗杰"</f>
        <v>罗杰</v>
      </c>
      <c r="E752" s="5" t="str">
        <f>"男"</f>
        <v>男</v>
      </c>
    </row>
    <row r="753" spans="1:5" ht="30" customHeight="1">
      <c r="A753" s="4">
        <v>751</v>
      </c>
      <c r="B753" s="5" t="str">
        <f>"2644202010111846571360"</f>
        <v>2644202010111846571360</v>
      </c>
      <c r="C753" s="5" t="s">
        <v>13</v>
      </c>
      <c r="D753" s="5" t="str">
        <f>"王录武"</f>
        <v>王录武</v>
      </c>
      <c r="E753" s="5" t="str">
        <f>"男"</f>
        <v>男</v>
      </c>
    </row>
    <row r="754" spans="1:5" ht="30" customHeight="1">
      <c r="A754" s="4">
        <v>752</v>
      </c>
      <c r="B754" s="5" t="str">
        <f>"2644202010111902241364"</f>
        <v>2644202010111902241364</v>
      </c>
      <c r="C754" s="5" t="s">
        <v>13</v>
      </c>
      <c r="D754" s="5" t="str">
        <f>"郑金姐"</f>
        <v>郑金姐</v>
      </c>
      <c r="E754" s="5" t="str">
        <f>"女"</f>
        <v>女</v>
      </c>
    </row>
    <row r="755" spans="1:5" ht="30" customHeight="1">
      <c r="A755" s="4">
        <v>753</v>
      </c>
      <c r="B755" s="5" t="str">
        <f>"2644202010111924421370"</f>
        <v>2644202010111924421370</v>
      </c>
      <c r="C755" s="5" t="s">
        <v>13</v>
      </c>
      <c r="D755" s="5" t="str">
        <f>"邓雪银"</f>
        <v>邓雪银</v>
      </c>
      <c r="E755" s="5" t="str">
        <f>"女"</f>
        <v>女</v>
      </c>
    </row>
    <row r="756" spans="1:5" ht="30" customHeight="1">
      <c r="A756" s="4">
        <v>754</v>
      </c>
      <c r="B756" s="5" t="str">
        <f>"2644202010111937461377"</f>
        <v>2644202010111937461377</v>
      </c>
      <c r="C756" s="5" t="s">
        <v>13</v>
      </c>
      <c r="D756" s="5" t="str">
        <f>"梁南"</f>
        <v>梁南</v>
      </c>
      <c r="E756" s="5" t="str">
        <f>"女"</f>
        <v>女</v>
      </c>
    </row>
    <row r="757" spans="1:5" ht="30" customHeight="1">
      <c r="A757" s="4">
        <v>755</v>
      </c>
      <c r="B757" s="5" t="str">
        <f>"2644202010111947211380"</f>
        <v>2644202010111947211380</v>
      </c>
      <c r="C757" s="5" t="s">
        <v>13</v>
      </c>
      <c r="D757" s="5" t="str">
        <f>"冯先"</f>
        <v>冯先</v>
      </c>
      <c r="E757" s="5" t="str">
        <f>"男"</f>
        <v>男</v>
      </c>
    </row>
    <row r="758" spans="1:5" ht="30" customHeight="1">
      <c r="A758" s="4">
        <v>756</v>
      </c>
      <c r="B758" s="5" t="str">
        <f>"2644202010112002291386"</f>
        <v>2644202010112002291386</v>
      </c>
      <c r="C758" s="5" t="s">
        <v>13</v>
      </c>
      <c r="D758" s="5" t="str">
        <f>"张泽明"</f>
        <v>张泽明</v>
      </c>
      <c r="E758" s="5" t="str">
        <f>"男"</f>
        <v>男</v>
      </c>
    </row>
    <row r="759" spans="1:5" ht="30" customHeight="1">
      <c r="A759" s="4">
        <v>757</v>
      </c>
      <c r="B759" s="5" t="str">
        <f>"2644202010112043041398"</f>
        <v>2644202010112043041398</v>
      </c>
      <c r="C759" s="5" t="s">
        <v>13</v>
      </c>
      <c r="D759" s="5" t="str">
        <f>"蔡钰"</f>
        <v>蔡钰</v>
      </c>
      <c r="E759" s="5" t="str">
        <f>"女"</f>
        <v>女</v>
      </c>
    </row>
    <row r="760" spans="1:5" ht="30" customHeight="1">
      <c r="A760" s="4">
        <v>758</v>
      </c>
      <c r="B760" s="5" t="str">
        <f>"2644202010112106271407"</f>
        <v>2644202010112106271407</v>
      </c>
      <c r="C760" s="5" t="s">
        <v>13</v>
      </c>
      <c r="D760" s="5" t="str">
        <f>"吴多文"</f>
        <v>吴多文</v>
      </c>
      <c r="E760" s="5" t="str">
        <f>"男"</f>
        <v>男</v>
      </c>
    </row>
    <row r="761" spans="1:5" ht="30" customHeight="1">
      <c r="A761" s="4">
        <v>759</v>
      </c>
      <c r="B761" s="5" t="str">
        <f>"2644202010112158141425"</f>
        <v>2644202010112158141425</v>
      </c>
      <c r="C761" s="5" t="s">
        <v>13</v>
      </c>
      <c r="D761" s="5" t="str">
        <f>"吴就"</f>
        <v>吴就</v>
      </c>
      <c r="E761" s="5" t="str">
        <f>"男"</f>
        <v>男</v>
      </c>
    </row>
    <row r="762" spans="1:5" ht="30" customHeight="1">
      <c r="A762" s="4">
        <v>760</v>
      </c>
      <c r="B762" s="5" t="str">
        <f>"2644202010112222541433"</f>
        <v>2644202010112222541433</v>
      </c>
      <c r="C762" s="5" t="s">
        <v>13</v>
      </c>
      <c r="D762" s="5" t="str">
        <f>"谢燕珊"</f>
        <v>谢燕珊</v>
      </c>
      <c r="E762" s="5" t="str">
        <f>"女"</f>
        <v>女</v>
      </c>
    </row>
    <row r="763" spans="1:5" ht="30" customHeight="1">
      <c r="A763" s="4">
        <v>761</v>
      </c>
      <c r="B763" s="5" t="str">
        <f>"2644202010112228531435"</f>
        <v>2644202010112228531435</v>
      </c>
      <c r="C763" s="5" t="s">
        <v>13</v>
      </c>
      <c r="D763" s="5" t="str">
        <f>"赵政"</f>
        <v>赵政</v>
      </c>
      <c r="E763" s="5" t="str">
        <f>"男"</f>
        <v>男</v>
      </c>
    </row>
    <row r="764" spans="1:5" ht="30" customHeight="1">
      <c r="A764" s="4">
        <v>762</v>
      </c>
      <c r="B764" s="5" t="str">
        <f>"2644202010112337351451"</f>
        <v>2644202010112337351451</v>
      </c>
      <c r="C764" s="5" t="s">
        <v>13</v>
      </c>
      <c r="D764" s="5" t="str">
        <f>"何艺东"</f>
        <v>何艺东</v>
      </c>
      <c r="E764" s="5" t="str">
        <f>"男"</f>
        <v>男</v>
      </c>
    </row>
    <row r="765" spans="1:5" ht="30" customHeight="1">
      <c r="A765" s="4">
        <v>763</v>
      </c>
      <c r="B765" s="5" t="str">
        <f>"2644202010120014151456"</f>
        <v>2644202010120014151456</v>
      </c>
      <c r="C765" s="5" t="s">
        <v>13</v>
      </c>
      <c r="D765" s="5" t="str">
        <f>"梁彬"</f>
        <v>梁彬</v>
      </c>
      <c r="E765" s="5" t="str">
        <f>"男"</f>
        <v>男</v>
      </c>
    </row>
    <row r="766" spans="1:5" ht="30" customHeight="1">
      <c r="A766" s="4">
        <v>764</v>
      </c>
      <c r="B766" s="5" t="str">
        <f>"2644202010120831391467"</f>
        <v>2644202010120831391467</v>
      </c>
      <c r="C766" s="5" t="s">
        <v>13</v>
      </c>
      <c r="D766" s="5" t="str">
        <f>"林敏姗"</f>
        <v>林敏姗</v>
      </c>
      <c r="E766" s="5" t="str">
        <f>"女"</f>
        <v>女</v>
      </c>
    </row>
    <row r="767" spans="1:5" ht="30" customHeight="1">
      <c r="A767" s="4">
        <v>765</v>
      </c>
      <c r="B767" s="5" t="str">
        <f>"2644202010120950161494"</f>
        <v>2644202010120950161494</v>
      </c>
      <c r="C767" s="5" t="s">
        <v>13</v>
      </c>
      <c r="D767" s="5" t="str">
        <f>"肖梦玉"</f>
        <v>肖梦玉</v>
      </c>
      <c r="E767" s="5" t="str">
        <f>"女"</f>
        <v>女</v>
      </c>
    </row>
    <row r="768" spans="1:5" ht="30" customHeight="1">
      <c r="A768" s="4">
        <v>766</v>
      </c>
      <c r="B768" s="5" t="str">
        <f>"2644202010121056511517"</f>
        <v>2644202010121056511517</v>
      </c>
      <c r="C768" s="5" t="s">
        <v>13</v>
      </c>
      <c r="D768" s="5" t="str">
        <f>"邢行"</f>
        <v>邢行</v>
      </c>
      <c r="E768" s="5" t="str">
        <f>"女"</f>
        <v>女</v>
      </c>
    </row>
    <row r="769" spans="1:5" ht="30" customHeight="1">
      <c r="A769" s="4">
        <v>767</v>
      </c>
      <c r="B769" s="5" t="str">
        <f>"2644202010121129091536"</f>
        <v>2644202010121129091536</v>
      </c>
      <c r="C769" s="5" t="s">
        <v>13</v>
      </c>
      <c r="D769" s="5" t="str">
        <f>"王韵"</f>
        <v>王韵</v>
      </c>
      <c r="E769" s="5" t="str">
        <f>"女"</f>
        <v>女</v>
      </c>
    </row>
    <row r="770" spans="1:5" ht="30" customHeight="1">
      <c r="A770" s="4">
        <v>768</v>
      </c>
      <c r="B770" s="5" t="str">
        <f>"2644202010121144101542"</f>
        <v>2644202010121144101542</v>
      </c>
      <c r="C770" s="5" t="s">
        <v>13</v>
      </c>
      <c r="D770" s="5" t="str">
        <f>"薄冲"</f>
        <v>薄冲</v>
      </c>
      <c r="E770" s="5" t="str">
        <f>"女"</f>
        <v>女</v>
      </c>
    </row>
    <row r="771" spans="1:5" ht="30" customHeight="1">
      <c r="A771" s="4">
        <v>769</v>
      </c>
      <c r="B771" s="5" t="str">
        <f>"2644202010121218441555"</f>
        <v>2644202010121218441555</v>
      </c>
      <c r="C771" s="5" t="s">
        <v>13</v>
      </c>
      <c r="D771" s="5" t="str">
        <f>"黄文灵"</f>
        <v>黄文灵</v>
      </c>
      <c r="E771" s="5" t="str">
        <f>"男"</f>
        <v>男</v>
      </c>
    </row>
    <row r="772" spans="1:5" ht="30" customHeight="1">
      <c r="A772" s="4">
        <v>770</v>
      </c>
      <c r="B772" s="5" t="str">
        <f>"2644202010121247241561"</f>
        <v>2644202010121247241561</v>
      </c>
      <c r="C772" s="5" t="s">
        <v>13</v>
      </c>
      <c r="D772" s="5" t="str">
        <f>"羊品雯"</f>
        <v>羊品雯</v>
      </c>
      <c r="E772" s="5" t="str">
        <f>"女"</f>
        <v>女</v>
      </c>
    </row>
    <row r="773" spans="1:5" ht="30" customHeight="1">
      <c r="A773" s="4">
        <v>771</v>
      </c>
      <c r="B773" s="5" t="str">
        <f>"2644202010121251221562"</f>
        <v>2644202010121251221562</v>
      </c>
      <c r="C773" s="5" t="s">
        <v>13</v>
      </c>
      <c r="D773" s="5" t="str">
        <f>"李树才"</f>
        <v>李树才</v>
      </c>
      <c r="E773" s="5" t="str">
        <f>"男"</f>
        <v>男</v>
      </c>
    </row>
    <row r="774" spans="1:5" ht="30" customHeight="1">
      <c r="A774" s="4">
        <v>772</v>
      </c>
      <c r="B774" s="5" t="str">
        <f>"2644202010121412291581"</f>
        <v>2644202010121412291581</v>
      </c>
      <c r="C774" s="5" t="s">
        <v>13</v>
      </c>
      <c r="D774" s="5" t="str">
        <f>"王淑敏"</f>
        <v>王淑敏</v>
      </c>
      <c r="E774" s="5" t="str">
        <f>"女"</f>
        <v>女</v>
      </c>
    </row>
    <row r="775" spans="1:5" ht="30" customHeight="1">
      <c r="A775" s="4">
        <v>773</v>
      </c>
      <c r="B775" s="5" t="str">
        <f>"2644202010121516081608"</f>
        <v>2644202010121516081608</v>
      </c>
      <c r="C775" s="5" t="s">
        <v>13</v>
      </c>
      <c r="D775" s="5" t="str">
        <f>"吴明锦"</f>
        <v>吴明锦</v>
      </c>
      <c r="E775" s="5" t="str">
        <f>"男"</f>
        <v>男</v>
      </c>
    </row>
    <row r="776" spans="1:5" ht="30" customHeight="1">
      <c r="A776" s="4">
        <v>774</v>
      </c>
      <c r="B776" s="5" t="str">
        <f>"2644202010121558121632"</f>
        <v>2644202010121558121632</v>
      </c>
      <c r="C776" s="5" t="s">
        <v>13</v>
      </c>
      <c r="D776" s="5" t="str">
        <f>"王杰"</f>
        <v>王杰</v>
      </c>
      <c r="E776" s="5" t="str">
        <f>"男"</f>
        <v>男</v>
      </c>
    </row>
    <row r="777" spans="1:5" ht="30" customHeight="1">
      <c r="A777" s="4">
        <v>775</v>
      </c>
      <c r="B777" s="5" t="str">
        <f>"2644202010121618301641"</f>
        <v>2644202010121618301641</v>
      </c>
      <c r="C777" s="5" t="s">
        <v>13</v>
      </c>
      <c r="D777" s="5" t="str">
        <f>"杨大诚"</f>
        <v>杨大诚</v>
      </c>
      <c r="E777" s="5" t="str">
        <f>"男"</f>
        <v>男</v>
      </c>
    </row>
    <row r="778" spans="1:5" ht="30" customHeight="1">
      <c r="A778" s="4">
        <v>776</v>
      </c>
      <c r="B778" s="5" t="str">
        <f>"2644202010121748551665"</f>
        <v>2644202010121748551665</v>
      </c>
      <c r="C778" s="5" t="s">
        <v>13</v>
      </c>
      <c r="D778" s="5" t="str">
        <f>"陈贇"</f>
        <v>陈贇</v>
      </c>
      <c r="E778" s="5" t="str">
        <f>"女"</f>
        <v>女</v>
      </c>
    </row>
    <row r="779" spans="1:5" ht="30" customHeight="1">
      <c r="A779" s="4">
        <v>777</v>
      </c>
      <c r="B779" s="5" t="str">
        <f>"2644202010121806371670"</f>
        <v>2644202010121806371670</v>
      </c>
      <c r="C779" s="5" t="s">
        <v>13</v>
      </c>
      <c r="D779" s="5" t="str">
        <f>"李化蝶"</f>
        <v>李化蝶</v>
      </c>
      <c r="E779" s="5" t="str">
        <f>"女"</f>
        <v>女</v>
      </c>
    </row>
    <row r="780" spans="1:5" ht="30" customHeight="1">
      <c r="A780" s="4">
        <v>778</v>
      </c>
      <c r="B780" s="5" t="str">
        <f>"2644202010122020291697"</f>
        <v>2644202010122020291697</v>
      </c>
      <c r="C780" s="5" t="s">
        <v>13</v>
      </c>
      <c r="D780" s="5" t="str">
        <f>"曾征"</f>
        <v>曾征</v>
      </c>
      <c r="E780" s="5" t="str">
        <f>"男"</f>
        <v>男</v>
      </c>
    </row>
    <row r="781" spans="1:5" ht="30" customHeight="1">
      <c r="A781" s="4">
        <v>779</v>
      </c>
      <c r="B781" s="5" t="str">
        <f>"2644202010122206061730"</f>
        <v>2644202010122206061730</v>
      </c>
      <c r="C781" s="5" t="s">
        <v>13</v>
      </c>
      <c r="D781" s="5" t="str">
        <f>"袁芸"</f>
        <v>袁芸</v>
      </c>
      <c r="E781" s="5" t="str">
        <f>"女"</f>
        <v>女</v>
      </c>
    </row>
    <row r="782" spans="1:5" ht="30" customHeight="1">
      <c r="A782" s="4">
        <v>780</v>
      </c>
      <c r="B782" s="5" t="str">
        <f>"2644202010122355331753"</f>
        <v>2644202010122355331753</v>
      </c>
      <c r="C782" s="5" t="s">
        <v>13</v>
      </c>
      <c r="D782" s="5" t="str">
        <f>"刘学嘉"</f>
        <v>刘学嘉</v>
      </c>
      <c r="E782" s="5" t="str">
        <f>"男"</f>
        <v>男</v>
      </c>
    </row>
    <row r="783" spans="1:5" ht="30" customHeight="1">
      <c r="A783" s="4">
        <v>781</v>
      </c>
      <c r="B783" s="5" t="str">
        <f>"2644202010122359511754"</f>
        <v>2644202010122359511754</v>
      </c>
      <c r="C783" s="5" t="s">
        <v>13</v>
      </c>
      <c r="D783" s="5" t="str">
        <f>"赵春艳"</f>
        <v>赵春艳</v>
      </c>
      <c r="E783" s="5" t="str">
        <f>"女"</f>
        <v>女</v>
      </c>
    </row>
    <row r="784" spans="1:5" ht="30" customHeight="1">
      <c r="A784" s="4">
        <v>782</v>
      </c>
      <c r="B784" s="5" t="str">
        <f>"2644202010130904591773"</f>
        <v>2644202010130904591773</v>
      </c>
      <c r="C784" s="5" t="s">
        <v>13</v>
      </c>
      <c r="D784" s="5" t="str">
        <f>"王庭"</f>
        <v>王庭</v>
      </c>
      <c r="E784" s="5" t="str">
        <f>"男"</f>
        <v>男</v>
      </c>
    </row>
    <row r="785" spans="1:5" ht="30" customHeight="1">
      <c r="A785" s="4">
        <v>783</v>
      </c>
      <c r="B785" s="5" t="str">
        <f>"2644202010130914261775"</f>
        <v>2644202010130914261775</v>
      </c>
      <c r="C785" s="5" t="s">
        <v>13</v>
      </c>
      <c r="D785" s="5" t="str">
        <f>"王德嘉"</f>
        <v>王德嘉</v>
      </c>
      <c r="E785" s="5" t="str">
        <f>"男"</f>
        <v>男</v>
      </c>
    </row>
    <row r="786" spans="1:5" ht="30" customHeight="1">
      <c r="A786" s="4">
        <v>784</v>
      </c>
      <c r="B786" s="5" t="str">
        <f>"2644202010130950471792"</f>
        <v>2644202010130950471792</v>
      </c>
      <c r="C786" s="5" t="s">
        <v>13</v>
      </c>
      <c r="D786" s="5" t="str">
        <f>"周嘉珍"</f>
        <v>周嘉珍</v>
      </c>
      <c r="E786" s="5" t="str">
        <f>"女"</f>
        <v>女</v>
      </c>
    </row>
    <row r="787" spans="1:5" ht="30" customHeight="1">
      <c r="A787" s="4">
        <v>785</v>
      </c>
      <c r="B787" s="5" t="str">
        <f>"2644202010131007241800"</f>
        <v>2644202010131007241800</v>
      </c>
      <c r="C787" s="5" t="s">
        <v>13</v>
      </c>
      <c r="D787" s="5" t="str">
        <f>"邝超"</f>
        <v>邝超</v>
      </c>
      <c r="E787" s="5" t="str">
        <f>"男"</f>
        <v>男</v>
      </c>
    </row>
    <row r="788" spans="1:5" ht="30" customHeight="1">
      <c r="A788" s="4">
        <v>786</v>
      </c>
      <c r="B788" s="5" t="str">
        <f>"2644202010131110511827"</f>
        <v>2644202010131110511827</v>
      </c>
      <c r="C788" s="5" t="s">
        <v>13</v>
      </c>
      <c r="D788" s="5" t="str">
        <f>"黄亚平"</f>
        <v>黄亚平</v>
      </c>
      <c r="E788" s="5" t="str">
        <f>"女"</f>
        <v>女</v>
      </c>
    </row>
    <row r="789" spans="1:5" ht="30" customHeight="1">
      <c r="A789" s="4">
        <v>787</v>
      </c>
      <c r="B789" s="5" t="str">
        <f>"2644202010131521421888"</f>
        <v>2644202010131521421888</v>
      </c>
      <c r="C789" s="5" t="s">
        <v>13</v>
      </c>
      <c r="D789" s="5" t="str">
        <f>"郑良捷"</f>
        <v>郑良捷</v>
      </c>
      <c r="E789" s="5" t="str">
        <f>"男"</f>
        <v>男</v>
      </c>
    </row>
    <row r="790" spans="1:5" ht="30" customHeight="1">
      <c r="A790" s="4">
        <v>788</v>
      </c>
      <c r="B790" s="5" t="str">
        <f>"2644202010131602431905"</f>
        <v>2644202010131602431905</v>
      </c>
      <c r="C790" s="5" t="s">
        <v>13</v>
      </c>
      <c r="D790" s="5" t="str">
        <f>"张小莉"</f>
        <v>张小莉</v>
      </c>
      <c r="E790" s="5" t="str">
        <f>"女"</f>
        <v>女</v>
      </c>
    </row>
    <row r="791" spans="1:5" ht="30" customHeight="1">
      <c r="A791" s="4">
        <v>789</v>
      </c>
      <c r="B791" s="5" t="str">
        <f>"2644202010131817401939"</f>
        <v>2644202010131817401939</v>
      </c>
      <c r="C791" s="5" t="s">
        <v>13</v>
      </c>
      <c r="D791" s="5" t="str">
        <f>"陈露"</f>
        <v>陈露</v>
      </c>
      <c r="E791" s="5" t="str">
        <f>"女"</f>
        <v>女</v>
      </c>
    </row>
    <row r="792" spans="1:5" ht="30" customHeight="1">
      <c r="A792" s="4">
        <v>790</v>
      </c>
      <c r="B792" s="5" t="str">
        <f>"2644202010131842281942"</f>
        <v>2644202010131842281942</v>
      </c>
      <c r="C792" s="5" t="s">
        <v>13</v>
      </c>
      <c r="D792" s="5" t="str">
        <f>"黄青娜"</f>
        <v>黄青娜</v>
      </c>
      <c r="E792" s="5" t="str">
        <f>"女"</f>
        <v>女</v>
      </c>
    </row>
    <row r="793" spans="1:5" ht="30" customHeight="1">
      <c r="A793" s="4">
        <v>791</v>
      </c>
      <c r="B793" s="5" t="str">
        <f>"2644202010132029371961"</f>
        <v>2644202010132029371961</v>
      </c>
      <c r="C793" s="5" t="s">
        <v>13</v>
      </c>
      <c r="D793" s="5" t="str">
        <f>"李坤源"</f>
        <v>李坤源</v>
      </c>
      <c r="E793" s="5" t="str">
        <f>"男"</f>
        <v>男</v>
      </c>
    </row>
    <row r="794" spans="1:5" ht="30" customHeight="1">
      <c r="A794" s="4">
        <v>792</v>
      </c>
      <c r="B794" s="5" t="str">
        <f>"2644202010132107101971"</f>
        <v>2644202010132107101971</v>
      </c>
      <c r="C794" s="5" t="s">
        <v>13</v>
      </c>
      <c r="D794" s="5" t="str">
        <f>"潘在龙"</f>
        <v>潘在龙</v>
      </c>
      <c r="E794" s="5" t="str">
        <f>"男"</f>
        <v>男</v>
      </c>
    </row>
    <row r="795" spans="1:5" ht="30" customHeight="1">
      <c r="A795" s="4">
        <v>793</v>
      </c>
      <c r="B795" s="5" t="str">
        <f>"2644202010132146021983"</f>
        <v>2644202010132146021983</v>
      </c>
      <c r="C795" s="5" t="s">
        <v>13</v>
      </c>
      <c r="D795" s="5" t="str">
        <f>"王娟"</f>
        <v>王娟</v>
      </c>
      <c r="E795" s="5" t="str">
        <f>"女"</f>
        <v>女</v>
      </c>
    </row>
    <row r="796" spans="1:5" ht="30" customHeight="1">
      <c r="A796" s="4">
        <v>794</v>
      </c>
      <c r="B796" s="5" t="str">
        <f>"2644202010132302322008"</f>
        <v>2644202010132302322008</v>
      </c>
      <c r="C796" s="5" t="s">
        <v>13</v>
      </c>
      <c r="D796" s="5" t="str">
        <f>"陈保杉"</f>
        <v>陈保杉</v>
      </c>
      <c r="E796" s="5" t="str">
        <f>"男"</f>
        <v>男</v>
      </c>
    </row>
    <row r="797" spans="1:5" ht="30" customHeight="1">
      <c r="A797" s="4">
        <v>795</v>
      </c>
      <c r="B797" s="5" t="str">
        <f>"2644202010140846142026"</f>
        <v>2644202010140846142026</v>
      </c>
      <c r="C797" s="5" t="s">
        <v>13</v>
      </c>
      <c r="D797" s="5" t="str">
        <f>"沈永娟"</f>
        <v>沈永娟</v>
      </c>
      <c r="E797" s="5" t="str">
        <f>"女"</f>
        <v>女</v>
      </c>
    </row>
    <row r="798" spans="1:5" ht="30" customHeight="1">
      <c r="A798" s="4">
        <v>796</v>
      </c>
      <c r="B798" s="5" t="str">
        <f>"2644202010140859242029"</f>
        <v>2644202010140859242029</v>
      </c>
      <c r="C798" s="5" t="s">
        <v>13</v>
      </c>
      <c r="D798" s="5" t="str">
        <f>"陈小燕"</f>
        <v>陈小燕</v>
      </c>
      <c r="E798" s="5" t="str">
        <f>"女"</f>
        <v>女</v>
      </c>
    </row>
    <row r="799" spans="1:5" ht="30" customHeight="1">
      <c r="A799" s="4">
        <v>797</v>
      </c>
      <c r="B799" s="5" t="str">
        <f>"2644202010141002582047"</f>
        <v>2644202010141002582047</v>
      </c>
      <c r="C799" s="5" t="s">
        <v>13</v>
      </c>
      <c r="D799" s="5" t="str">
        <f>"姚少梅"</f>
        <v>姚少梅</v>
      </c>
      <c r="E799" s="5" t="str">
        <f>"女"</f>
        <v>女</v>
      </c>
    </row>
    <row r="800" spans="1:5" ht="30" customHeight="1">
      <c r="A800" s="4">
        <v>798</v>
      </c>
      <c r="B800" s="5" t="str">
        <f>"2644202010141113442063"</f>
        <v>2644202010141113442063</v>
      </c>
      <c r="C800" s="5" t="s">
        <v>13</v>
      </c>
      <c r="D800" s="5" t="str">
        <f>"吴丹葵"</f>
        <v>吴丹葵</v>
      </c>
      <c r="E800" s="5" t="str">
        <f>"女"</f>
        <v>女</v>
      </c>
    </row>
    <row r="801" spans="1:5" ht="30" customHeight="1">
      <c r="A801" s="4">
        <v>799</v>
      </c>
      <c r="B801" s="5" t="str">
        <f>"2644202010141435192110"</f>
        <v>2644202010141435192110</v>
      </c>
      <c r="C801" s="5" t="s">
        <v>13</v>
      </c>
      <c r="D801" s="5" t="str">
        <f>"卓上亿"</f>
        <v>卓上亿</v>
      </c>
      <c r="E801" s="5" t="str">
        <f aca="true" t="shared" si="27" ref="E801:E809">"男"</f>
        <v>男</v>
      </c>
    </row>
    <row r="802" spans="1:5" ht="30" customHeight="1">
      <c r="A802" s="4">
        <v>800</v>
      </c>
      <c r="B802" s="5" t="str">
        <f>"2644202010141532322132"</f>
        <v>2644202010141532322132</v>
      </c>
      <c r="C802" s="5" t="s">
        <v>13</v>
      </c>
      <c r="D802" s="5" t="str">
        <f>"江宏城"</f>
        <v>江宏城</v>
      </c>
      <c r="E802" s="5" t="str">
        <f t="shared" si="27"/>
        <v>男</v>
      </c>
    </row>
    <row r="803" spans="1:5" ht="30" customHeight="1">
      <c r="A803" s="4">
        <v>801</v>
      </c>
      <c r="B803" s="5" t="str">
        <f>"2644202010141620402153"</f>
        <v>2644202010141620402153</v>
      </c>
      <c r="C803" s="5" t="s">
        <v>13</v>
      </c>
      <c r="D803" s="5" t="str">
        <f>"王淇"</f>
        <v>王淇</v>
      </c>
      <c r="E803" s="5" t="str">
        <f t="shared" si="27"/>
        <v>男</v>
      </c>
    </row>
    <row r="804" spans="1:5" ht="30" customHeight="1">
      <c r="A804" s="4">
        <v>802</v>
      </c>
      <c r="B804" s="5" t="str">
        <f>"2644202010141631042160"</f>
        <v>2644202010141631042160</v>
      </c>
      <c r="C804" s="5" t="s">
        <v>13</v>
      </c>
      <c r="D804" s="5" t="str">
        <f>"侯杰"</f>
        <v>侯杰</v>
      </c>
      <c r="E804" s="5" t="str">
        <f t="shared" si="27"/>
        <v>男</v>
      </c>
    </row>
    <row r="805" spans="1:5" ht="30" customHeight="1">
      <c r="A805" s="4">
        <v>803</v>
      </c>
      <c r="B805" s="5" t="str">
        <f>"2644202010141706132170"</f>
        <v>2644202010141706132170</v>
      </c>
      <c r="C805" s="5" t="s">
        <v>13</v>
      </c>
      <c r="D805" s="5" t="str">
        <f>"王玉健"</f>
        <v>王玉健</v>
      </c>
      <c r="E805" s="5" t="str">
        <f t="shared" si="27"/>
        <v>男</v>
      </c>
    </row>
    <row r="806" spans="1:5" ht="30" customHeight="1">
      <c r="A806" s="4">
        <v>804</v>
      </c>
      <c r="B806" s="5" t="str">
        <f>"2644202010141726122173"</f>
        <v>2644202010141726122173</v>
      </c>
      <c r="C806" s="5" t="s">
        <v>13</v>
      </c>
      <c r="D806" s="5" t="str">
        <f>"潘亚为"</f>
        <v>潘亚为</v>
      </c>
      <c r="E806" s="5" t="str">
        <f t="shared" si="27"/>
        <v>男</v>
      </c>
    </row>
    <row r="807" spans="1:5" ht="30" customHeight="1">
      <c r="A807" s="4">
        <v>805</v>
      </c>
      <c r="B807" s="5" t="str">
        <f>"2644202010141916572204"</f>
        <v>2644202010141916572204</v>
      </c>
      <c r="C807" s="5" t="s">
        <v>13</v>
      </c>
      <c r="D807" s="5" t="str">
        <f>"陈政宏"</f>
        <v>陈政宏</v>
      </c>
      <c r="E807" s="5" t="str">
        <f t="shared" si="27"/>
        <v>男</v>
      </c>
    </row>
    <row r="808" spans="1:5" ht="30" customHeight="1">
      <c r="A808" s="4">
        <v>806</v>
      </c>
      <c r="B808" s="5" t="str">
        <f>"2644202010142018152224"</f>
        <v>2644202010142018152224</v>
      </c>
      <c r="C808" s="5" t="s">
        <v>13</v>
      </c>
      <c r="D808" s="5" t="str">
        <f>"黄恒昌"</f>
        <v>黄恒昌</v>
      </c>
      <c r="E808" s="5" t="str">
        <f t="shared" si="27"/>
        <v>男</v>
      </c>
    </row>
    <row r="809" spans="1:5" ht="30" customHeight="1">
      <c r="A809" s="4">
        <v>807</v>
      </c>
      <c r="B809" s="5" t="str">
        <f>"2644202010142244272276"</f>
        <v>2644202010142244272276</v>
      </c>
      <c r="C809" s="5" t="s">
        <v>13</v>
      </c>
      <c r="D809" s="5" t="str">
        <f>"谢度顺"</f>
        <v>谢度顺</v>
      </c>
      <c r="E809" s="5" t="str">
        <f t="shared" si="27"/>
        <v>男</v>
      </c>
    </row>
    <row r="810" spans="1:5" ht="30" customHeight="1">
      <c r="A810" s="4">
        <v>808</v>
      </c>
      <c r="B810" s="5" t="str">
        <f>"2644202010142326062292"</f>
        <v>2644202010142326062292</v>
      </c>
      <c r="C810" s="5" t="s">
        <v>13</v>
      </c>
      <c r="D810" s="5" t="str">
        <f>"曹丽梅"</f>
        <v>曹丽梅</v>
      </c>
      <c r="E810" s="5" t="str">
        <f>"女"</f>
        <v>女</v>
      </c>
    </row>
    <row r="811" spans="1:5" ht="30" customHeight="1">
      <c r="A811" s="4">
        <v>809</v>
      </c>
      <c r="B811" s="5" t="str">
        <f>"2644202010150729592318"</f>
        <v>2644202010150729592318</v>
      </c>
      <c r="C811" s="5" t="s">
        <v>13</v>
      </c>
      <c r="D811" s="5" t="str">
        <f>"李心薇"</f>
        <v>李心薇</v>
      </c>
      <c r="E811" s="5" t="str">
        <f>"女"</f>
        <v>女</v>
      </c>
    </row>
    <row r="812" spans="1:5" ht="30" customHeight="1">
      <c r="A812" s="4">
        <v>810</v>
      </c>
      <c r="B812" s="5" t="str">
        <f>"2644202010150821022325"</f>
        <v>2644202010150821022325</v>
      </c>
      <c r="C812" s="5" t="s">
        <v>13</v>
      </c>
      <c r="D812" s="5" t="str">
        <f>"张入籝"</f>
        <v>张入籝</v>
      </c>
      <c r="E812" s="5" t="str">
        <f>"女"</f>
        <v>女</v>
      </c>
    </row>
    <row r="813" spans="1:5" ht="30" customHeight="1">
      <c r="A813" s="4">
        <v>811</v>
      </c>
      <c r="B813" s="5" t="str">
        <f>"2644202010150836572330"</f>
        <v>2644202010150836572330</v>
      </c>
      <c r="C813" s="5" t="s">
        <v>13</v>
      </c>
      <c r="D813" s="5" t="str">
        <f>"吴泽惟"</f>
        <v>吴泽惟</v>
      </c>
      <c r="E813" s="5" t="str">
        <f>"男"</f>
        <v>男</v>
      </c>
    </row>
    <row r="814" spans="1:5" ht="30" customHeight="1">
      <c r="A814" s="4">
        <v>812</v>
      </c>
      <c r="B814" s="5" t="str">
        <f>"2644202010150904542342"</f>
        <v>2644202010150904542342</v>
      </c>
      <c r="C814" s="5" t="s">
        <v>13</v>
      </c>
      <c r="D814" s="5" t="str">
        <f>"严家伟"</f>
        <v>严家伟</v>
      </c>
      <c r="E814" s="5" t="str">
        <f>"男"</f>
        <v>男</v>
      </c>
    </row>
    <row r="815" spans="1:5" ht="30" customHeight="1">
      <c r="A815" s="4">
        <v>813</v>
      </c>
      <c r="B815" s="5" t="str">
        <f>"2644202010151046442373"</f>
        <v>2644202010151046442373</v>
      </c>
      <c r="C815" s="5" t="s">
        <v>13</v>
      </c>
      <c r="D815" s="5" t="str">
        <f>"刘鑫宇"</f>
        <v>刘鑫宇</v>
      </c>
      <c r="E815" s="5" t="str">
        <f>"男"</f>
        <v>男</v>
      </c>
    </row>
    <row r="816" spans="1:5" ht="30" customHeight="1">
      <c r="A816" s="4">
        <v>814</v>
      </c>
      <c r="B816" s="5" t="str">
        <f>"2644202010151344562406"</f>
        <v>2644202010151344562406</v>
      </c>
      <c r="C816" s="5" t="s">
        <v>13</v>
      </c>
      <c r="D816" s="5" t="str">
        <f>"王嘉佳"</f>
        <v>王嘉佳</v>
      </c>
      <c r="E816" s="5" t="str">
        <f>"女"</f>
        <v>女</v>
      </c>
    </row>
    <row r="817" spans="1:5" ht="30" customHeight="1">
      <c r="A817" s="4">
        <v>815</v>
      </c>
      <c r="B817" s="5" t="str">
        <f>"2644202010151614352456"</f>
        <v>2644202010151614352456</v>
      </c>
      <c r="C817" s="5" t="s">
        <v>13</v>
      </c>
      <c r="D817" s="5" t="str">
        <f>"徐新健"</f>
        <v>徐新健</v>
      </c>
      <c r="E817" s="5" t="str">
        <f>"男"</f>
        <v>男</v>
      </c>
    </row>
    <row r="818" spans="1:5" ht="30" customHeight="1">
      <c r="A818" s="4">
        <v>816</v>
      </c>
      <c r="B818" s="5" t="str">
        <f>"26442020100908381813"</f>
        <v>26442020100908381813</v>
      </c>
      <c r="C818" s="5" t="s">
        <v>14</v>
      </c>
      <c r="D818" s="5" t="str">
        <f>"钟浩东"</f>
        <v>钟浩东</v>
      </c>
      <c r="E818" s="5" t="str">
        <f>"男"</f>
        <v>男</v>
      </c>
    </row>
    <row r="819" spans="1:5" ht="30" customHeight="1">
      <c r="A819" s="4">
        <v>817</v>
      </c>
      <c r="B819" s="5" t="str">
        <f>"26442020100908402117"</f>
        <v>26442020100908402117</v>
      </c>
      <c r="C819" s="5" t="s">
        <v>14</v>
      </c>
      <c r="D819" s="5" t="str">
        <f>"陈巧艺"</f>
        <v>陈巧艺</v>
      </c>
      <c r="E819" s="5" t="str">
        <f>"女"</f>
        <v>女</v>
      </c>
    </row>
    <row r="820" spans="1:5" ht="30" customHeight="1">
      <c r="A820" s="4">
        <v>818</v>
      </c>
      <c r="B820" s="5" t="str">
        <f>"26442020100908423822"</f>
        <v>26442020100908423822</v>
      </c>
      <c r="C820" s="5" t="s">
        <v>14</v>
      </c>
      <c r="D820" s="5" t="str">
        <f>"朱思静"</f>
        <v>朱思静</v>
      </c>
      <c r="E820" s="5" t="str">
        <f>"女"</f>
        <v>女</v>
      </c>
    </row>
    <row r="821" spans="1:5" ht="30" customHeight="1">
      <c r="A821" s="4">
        <v>819</v>
      </c>
      <c r="B821" s="5" t="str">
        <f>"26442020100909070358"</f>
        <v>26442020100909070358</v>
      </c>
      <c r="C821" s="5" t="s">
        <v>14</v>
      </c>
      <c r="D821" s="5" t="str">
        <f>"陈飞飞"</f>
        <v>陈飞飞</v>
      </c>
      <c r="E821" s="5" t="str">
        <f>"女"</f>
        <v>女</v>
      </c>
    </row>
    <row r="822" spans="1:5" ht="30" customHeight="1">
      <c r="A822" s="4">
        <v>820</v>
      </c>
      <c r="B822" s="5" t="str">
        <f>"26442020100909134266"</f>
        <v>26442020100909134266</v>
      </c>
      <c r="C822" s="5" t="s">
        <v>14</v>
      </c>
      <c r="D822" s="5" t="str">
        <f>"林书祥"</f>
        <v>林书祥</v>
      </c>
      <c r="E822" s="5" t="str">
        <f>"男"</f>
        <v>男</v>
      </c>
    </row>
    <row r="823" spans="1:5" ht="30" customHeight="1">
      <c r="A823" s="4">
        <v>821</v>
      </c>
      <c r="B823" s="5" t="str">
        <f>"26442020100909155371"</f>
        <v>26442020100909155371</v>
      </c>
      <c r="C823" s="5" t="s">
        <v>14</v>
      </c>
      <c r="D823" s="5" t="str">
        <f>"吴年华"</f>
        <v>吴年华</v>
      </c>
      <c r="E823" s="5" t="str">
        <f>"男"</f>
        <v>男</v>
      </c>
    </row>
    <row r="824" spans="1:5" ht="30" customHeight="1">
      <c r="A824" s="4">
        <v>822</v>
      </c>
      <c r="B824" s="5" t="str">
        <f>"26442020100909223982"</f>
        <v>26442020100909223982</v>
      </c>
      <c r="C824" s="5" t="s">
        <v>14</v>
      </c>
      <c r="D824" s="5" t="str">
        <f>"冯双"</f>
        <v>冯双</v>
      </c>
      <c r="E824" s="5" t="str">
        <f>"男"</f>
        <v>男</v>
      </c>
    </row>
    <row r="825" spans="1:5" ht="30" customHeight="1">
      <c r="A825" s="4">
        <v>823</v>
      </c>
      <c r="B825" s="5" t="str">
        <f>"26442020100909260987"</f>
        <v>26442020100909260987</v>
      </c>
      <c r="C825" s="5" t="s">
        <v>14</v>
      </c>
      <c r="D825" s="5" t="str">
        <f>"何秋淳"</f>
        <v>何秋淳</v>
      </c>
      <c r="E825" s="5" t="str">
        <f>"女"</f>
        <v>女</v>
      </c>
    </row>
    <row r="826" spans="1:5" ht="30" customHeight="1">
      <c r="A826" s="4">
        <v>824</v>
      </c>
      <c r="B826" s="5" t="str">
        <f>"26442020100909290091"</f>
        <v>26442020100909290091</v>
      </c>
      <c r="C826" s="5" t="s">
        <v>14</v>
      </c>
      <c r="D826" s="5" t="str">
        <f>"王斌"</f>
        <v>王斌</v>
      </c>
      <c r="E826" s="5" t="str">
        <f>"男"</f>
        <v>男</v>
      </c>
    </row>
    <row r="827" spans="1:5" ht="30" customHeight="1">
      <c r="A827" s="4">
        <v>825</v>
      </c>
      <c r="B827" s="5" t="str">
        <f>"264420201009100126129"</f>
        <v>264420201009100126129</v>
      </c>
      <c r="C827" s="5" t="s">
        <v>14</v>
      </c>
      <c r="D827" s="5" t="str">
        <f>"许声伦"</f>
        <v>许声伦</v>
      </c>
      <c r="E827" s="5" t="str">
        <f>"男"</f>
        <v>男</v>
      </c>
    </row>
    <row r="828" spans="1:5" ht="30" customHeight="1">
      <c r="A828" s="4">
        <v>826</v>
      </c>
      <c r="B828" s="5" t="str">
        <f>"264420201009100344132"</f>
        <v>264420201009100344132</v>
      </c>
      <c r="C828" s="5" t="s">
        <v>14</v>
      </c>
      <c r="D828" s="5" t="str">
        <f>"李文静"</f>
        <v>李文静</v>
      </c>
      <c r="E828" s="5" t="str">
        <f aca="true" t="shared" si="28" ref="E828:E835">"女"</f>
        <v>女</v>
      </c>
    </row>
    <row r="829" spans="1:5" ht="30" customHeight="1">
      <c r="A829" s="4">
        <v>827</v>
      </c>
      <c r="B829" s="5" t="str">
        <f>"264420201009102050152"</f>
        <v>264420201009102050152</v>
      </c>
      <c r="C829" s="5" t="s">
        <v>14</v>
      </c>
      <c r="D829" s="5" t="str">
        <f>"庄雍钰"</f>
        <v>庄雍钰</v>
      </c>
      <c r="E829" s="5" t="str">
        <f t="shared" si="28"/>
        <v>女</v>
      </c>
    </row>
    <row r="830" spans="1:5" ht="30" customHeight="1">
      <c r="A830" s="4">
        <v>828</v>
      </c>
      <c r="B830" s="5" t="str">
        <f>"264420201009102304159"</f>
        <v>264420201009102304159</v>
      </c>
      <c r="C830" s="5" t="s">
        <v>14</v>
      </c>
      <c r="D830" s="5" t="str">
        <f>"黄丹凤"</f>
        <v>黄丹凤</v>
      </c>
      <c r="E830" s="5" t="str">
        <f t="shared" si="28"/>
        <v>女</v>
      </c>
    </row>
    <row r="831" spans="1:5" ht="30" customHeight="1">
      <c r="A831" s="4">
        <v>829</v>
      </c>
      <c r="B831" s="5" t="str">
        <f>"264420201009102430161"</f>
        <v>264420201009102430161</v>
      </c>
      <c r="C831" s="5" t="s">
        <v>14</v>
      </c>
      <c r="D831" s="5" t="str">
        <f>"林楠楠"</f>
        <v>林楠楠</v>
      </c>
      <c r="E831" s="5" t="str">
        <f t="shared" si="28"/>
        <v>女</v>
      </c>
    </row>
    <row r="832" spans="1:5" ht="30" customHeight="1">
      <c r="A832" s="4">
        <v>830</v>
      </c>
      <c r="B832" s="5" t="str">
        <f>"264420201009102844167"</f>
        <v>264420201009102844167</v>
      </c>
      <c r="C832" s="5" t="s">
        <v>14</v>
      </c>
      <c r="D832" s="5" t="str">
        <f>"钟婷"</f>
        <v>钟婷</v>
      </c>
      <c r="E832" s="5" t="str">
        <f t="shared" si="28"/>
        <v>女</v>
      </c>
    </row>
    <row r="833" spans="1:5" ht="30" customHeight="1">
      <c r="A833" s="4">
        <v>831</v>
      </c>
      <c r="B833" s="5" t="str">
        <f>"264420201009103404177"</f>
        <v>264420201009103404177</v>
      </c>
      <c r="C833" s="5" t="s">
        <v>14</v>
      </c>
      <c r="D833" s="5" t="str">
        <f>"林娜"</f>
        <v>林娜</v>
      </c>
      <c r="E833" s="5" t="str">
        <f t="shared" si="28"/>
        <v>女</v>
      </c>
    </row>
    <row r="834" spans="1:5" ht="30" customHeight="1">
      <c r="A834" s="4">
        <v>832</v>
      </c>
      <c r="B834" s="5" t="str">
        <f>"264420201009104323188"</f>
        <v>264420201009104323188</v>
      </c>
      <c r="C834" s="5" t="s">
        <v>14</v>
      </c>
      <c r="D834" s="5" t="str">
        <f>"周洁"</f>
        <v>周洁</v>
      </c>
      <c r="E834" s="5" t="str">
        <f t="shared" si="28"/>
        <v>女</v>
      </c>
    </row>
    <row r="835" spans="1:5" ht="30" customHeight="1">
      <c r="A835" s="4">
        <v>833</v>
      </c>
      <c r="B835" s="5" t="str">
        <f>"264420201009111051229"</f>
        <v>264420201009111051229</v>
      </c>
      <c r="C835" s="5" t="s">
        <v>14</v>
      </c>
      <c r="D835" s="5" t="str">
        <f>"林青香"</f>
        <v>林青香</v>
      </c>
      <c r="E835" s="5" t="str">
        <f t="shared" si="28"/>
        <v>女</v>
      </c>
    </row>
    <row r="836" spans="1:5" ht="30" customHeight="1">
      <c r="A836" s="4">
        <v>834</v>
      </c>
      <c r="B836" s="5" t="str">
        <f>"264420201009111103230"</f>
        <v>264420201009111103230</v>
      </c>
      <c r="C836" s="5" t="s">
        <v>14</v>
      </c>
      <c r="D836" s="5" t="str">
        <f>"陈兴才"</f>
        <v>陈兴才</v>
      </c>
      <c r="E836" s="5" t="str">
        <f>"男"</f>
        <v>男</v>
      </c>
    </row>
    <row r="837" spans="1:5" ht="30" customHeight="1">
      <c r="A837" s="4">
        <v>835</v>
      </c>
      <c r="B837" s="5" t="str">
        <f>"264420201009112838246"</f>
        <v>264420201009112838246</v>
      </c>
      <c r="C837" s="5" t="s">
        <v>14</v>
      </c>
      <c r="D837" s="5" t="str">
        <f>"陈留敏"</f>
        <v>陈留敏</v>
      </c>
      <c r="E837" s="5" t="str">
        <f>"女"</f>
        <v>女</v>
      </c>
    </row>
    <row r="838" spans="1:5" ht="30" customHeight="1">
      <c r="A838" s="4">
        <v>836</v>
      </c>
      <c r="B838" s="5" t="str">
        <f>"264420201009113131257"</f>
        <v>264420201009113131257</v>
      </c>
      <c r="C838" s="5" t="s">
        <v>14</v>
      </c>
      <c r="D838" s="5" t="str">
        <f>"赵迎"</f>
        <v>赵迎</v>
      </c>
      <c r="E838" s="5" t="str">
        <f>"女"</f>
        <v>女</v>
      </c>
    </row>
    <row r="839" spans="1:5" ht="30" customHeight="1">
      <c r="A839" s="4">
        <v>837</v>
      </c>
      <c r="B839" s="5" t="str">
        <f>"264420201009114005268"</f>
        <v>264420201009114005268</v>
      </c>
      <c r="C839" s="5" t="s">
        <v>14</v>
      </c>
      <c r="D839" s="5" t="str">
        <f>"王涛"</f>
        <v>王涛</v>
      </c>
      <c r="E839" s="5" t="str">
        <f>"男"</f>
        <v>男</v>
      </c>
    </row>
    <row r="840" spans="1:5" ht="30" customHeight="1">
      <c r="A840" s="4">
        <v>838</v>
      </c>
      <c r="B840" s="5" t="str">
        <f>"264420201009114642273"</f>
        <v>264420201009114642273</v>
      </c>
      <c r="C840" s="5" t="s">
        <v>14</v>
      </c>
      <c r="D840" s="5" t="str">
        <f>"郑浩然"</f>
        <v>郑浩然</v>
      </c>
      <c r="E840" s="5" t="str">
        <f>"男"</f>
        <v>男</v>
      </c>
    </row>
    <row r="841" spans="1:5" ht="30" customHeight="1">
      <c r="A841" s="4">
        <v>839</v>
      </c>
      <c r="B841" s="5" t="str">
        <f>"264420201009115520280"</f>
        <v>264420201009115520280</v>
      </c>
      <c r="C841" s="5" t="s">
        <v>14</v>
      </c>
      <c r="D841" s="5" t="str">
        <f>"陈昌江"</f>
        <v>陈昌江</v>
      </c>
      <c r="E841" s="5" t="str">
        <f>"男"</f>
        <v>男</v>
      </c>
    </row>
    <row r="842" spans="1:5" ht="30" customHeight="1">
      <c r="A842" s="4">
        <v>840</v>
      </c>
      <c r="B842" s="5" t="str">
        <f>"264420201009120152287"</f>
        <v>264420201009120152287</v>
      </c>
      <c r="C842" s="5" t="s">
        <v>14</v>
      </c>
      <c r="D842" s="5" t="str">
        <f>"陈舒影"</f>
        <v>陈舒影</v>
      </c>
      <c r="E842" s="5" t="str">
        <f>"女"</f>
        <v>女</v>
      </c>
    </row>
    <row r="843" spans="1:5" ht="30" customHeight="1">
      <c r="A843" s="4">
        <v>841</v>
      </c>
      <c r="B843" s="5" t="str">
        <f>"264420201009123050310"</f>
        <v>264420201009123050310</v>
      </c>
      <c r="C843" s="5" t="s">
        <v>14</v>
      </c>
      <c r="D843" s="5" t="str">
        <f>"郑晓慧"</f>
        <v>郑晓慧</v>
      </c>
      <c r="E843" s="5" t="str">
        <f>"女"</f>
        <v>女</v>
      </c>
    </row>
    <row r="844" spans="1:5" ht="30" customHeight="1">
      <c r="A844" s="4">
        <v>842</v>
      </c>
      <c r="B844" s="5" t="str">
        <f>"264420201009124338316"</f>
        <v>264420201009124338316</v>
      </c>
      <c r="C844" s="5" t="s">
        <v>14</v>
      </c>
      <c r="D844" s="5" t="str">
        <f>"瞿麒桐"</f>
        <v>瞿麒桐</v>
      </c>
      <c r="E844" s="5" t="str">
        <f>"男"</f>
        <v>男</v>
      </c>
    </row>
    <row r="845" spans="1:5" ht="30" customHeight="1">
      <c r="A845" s="4">
        <v>843</v>
      </c>
      <c r="B845" s="5" t="str">
        <f>"264420201009125615323"</f>
        <v>264420201009125615323</v>
      </c>
      <c r="C845" s="5" t="s">
        <v>14</v>
      </c>
      <c r="D845" s="5" t="str">
        <f>"周梦园"</f>
        <v>周梦园</v>
      </c>
      <c r="E845" s="5" t="str">
        <f aca="true" t="shared" si="29" ref="E845:E850">"女"</f>
        <v>女</v>
      </c>
    </row>
    <row r="846" spans="1:5" ht="30" customHeight="1">
      <c r="A846" s="4">
        <v>844</v>
      </c>
      <c r="B846" s="5" t="str">
        <f>"264420201009125839324"</f>
        <v>264420201009125839324</v>
      </c>
      <c r="C846" s="5" t="s">
        <v>14</v>
      </c>
      <c r="D846" s="5" t="str">
        <f>"陈冰"</f>
        <v>陈冰</v>
      </c>
      <c r="E846" s="5" t="str">
        <f t="shared" si="29"/>
        <v>女</v>
      </c>
    </row>
    <row r="847" spans="1:5" ht="30" customHeight="1">
      <c r="A847" s="4">
        <v>845</v>
      </c>
      <c r="B847" s="5" t="str">
        <f>"264420201009130131327"</f>
        <v>264420201009130131327</v>
      </c>
      <c r="C847" s="5" t="s">
        <v>14</v>
      </c>
      <c r="D847" s="5" t="str">
        <f>"许诺"</f>
        <v>许诺</v>
      </c>
      <c r="E847" s="5" t="str">
        <f t="shared" si="29"/>
        <v>女</v>
      </c>
    </row>
    <row r="848" spans="1:5" ht="30" customHeight="1">
      <c r="A848" s="4">
        <v>846</v>
      </c>
      <c r="B848" s="5" t="str">
        <f>"264420201009131152333"</f>
        <v>264420201009131152333</v>
      </c>
      <c r="C848" s="5" t="s">
        <v>14</v>
      </c>
      <c r="D848" s="5" t="str">
        <f>"王紫涵"</f>
        <v>王紫涵</v>
      </c>
      <c r="E848" s="5" t="str">
        <f t="shared" si="29"/>
        <v>女</v>
      </c>
    </row>
    <row r="849" spans="1:5" ht="30" customHeight="1">
      <c r="A849" s="4">
        <v>847</v>
      </c>
      <c r="B849" s="5" t="str">
        <f>"264420201009142011368"</f>
        <v>264420201009142011368</v>
      </c>
      <c r="C849" s="5" t="s">
        <v>14</v>
      </c>
      <c r="D849" s="5" t="str">
        <f>"林欣"</f>
        <v>林欣</v>
      </c>
      <c r="E849" s="5" t="str">
        <f t="shared" si="29"/>
        <v>女</v>
      </c>
    </row>
    <row r="850" spans="1:5" ht="30" customHeight="1">
      <c r="A850" s="4">
        <v>848</v>
      </c>
      <c r="B850" s="5" t="str">
        <f>"264420201009145453391"</f>
        <v>264420201009145453391</v>
      </c>
      <c r="C850" s="5" t="s">
        <v>14</v>
      </c>
      <c r="D850" s="5" t="str">
        <f>"池彦虹"</f>
        <v>池彦虹</v>
      </c>
      <c r="E850" s="5" t="str">
        <f t="shared" si="29"/>
        <v>女</v>
      </c>
    </row>
    <row r="851" spans="1:5" ht="30" customHeight="1">
      <c r="A851" s="4">
        <v>849</v>
      </c>
      <c r="B851" s="5" t="str">
        <f>"264420201009152029415"</f>
        <v>264420201009152029415</v>
      </c>
      <c r="C851" s="5" t="s">
        <v>14</v>
      </c>
      <c r="D851" s="5" t="str">
        <f>"李昌洲"</f>
        <v>李昌洲</v>
      </c>
      <c r="E851" s="5" t="str">
        <f>"男"</f>
        <v>男</v>
      </c>
    </row>
    <row r="852" spans="1:5" ht="30" customHeight="1">
      <c r="A852" s="4">
        <v>850</v>
      </c>
      <c r="B852" s="5" t="str">
        <f>"264420201009153424425"</f>
        <v>264420201009153424425</v>
      </c>
      <c r="C852" s="5" t="s">
        <v>14</v>
      </c>
      <c r="D852" s="5" t="str">
        <f>"谭悦"</f>
        <v>谭悦</v>
      </c>
      <c r="E852" s="5" t="str">
        <f>"女"</f>
        <v>女</v>
      </c>
    </row>
    <row r="853" spans="1:5" ht="30" customHeight="1">
      <c r="A853" s="4">
        <v>851</v>
      </c>
      <c r="B853" s="5" t="str">
        <f>"264420201009153536426"</f>
        <v>264420201009153536426</v>
      </c>
      <c r="C853" s="5" t="s">
        <v>14</v>
      </c>
      <c r="D853" s="5" t="str">
        <f>"吴慧莲"</f>
        <v>吴慧莲</v>
      </c>
      <c r="E853" s="5" t="str">
        <f>"女"</f>
        <v>女</v>
      </c>
    </row>
    <row r="854" spans="1:5" ht="30" customHeight="1">
      <c r="A854" s="4">
        <v>852</v>
      </c>
      <c r="B854" s="5" t="str">
        <f>"264420201009154449441"</f>
        <v>264420201009154449441</v>
      </c>
      <c r="C854" s="5" t="s">
        <v>14</v>
      </c>
      <c r="D854" s="5" t="str">
        <f>"李佳慧"</f>
        <v>李佳慧</v>
      </c>
      <c r="E854" s="5" t="str">
        <f>"女"</f>
        <v>女</v>
      </c>
    </row>
    <row r="855" spans="1:5" ht="30" customHeight="1">
      <c r="A855" s="4">
        <v>853</v>
      </c>
      <c r="B855" s="5" t="str">
        <f>"264420201009154653445"</f>
        <v>264420201009154653445</v>
      </c>
      <c r="C855" s="5" t="s">
        <v>14</v>
      </c>
      <c r="D855" s="5" t="str">
        <f>"周伟亮"</f>
        <v>周伟亮</v>
      </c>
      <c r="E855" s="5" t="str">
        <f>"女"</f>
        <v>女</v>
      </c>
    </row>
    <row r="856" spans="1:5" ht="30" customHeight="1">
      <c r="A856" s="4">
        <v>854</v>
      </c>
      <c r="B856" s="5" t="str">
        <f>"264420201009160215460"</f>
        <v>264420201009160215460</v>
      </c>
      <c r="C856" s="5" t="s">
        <v>14</v>
      </c>
      <c r="D856" s="5" t="str">
        <f>"吴有亮"</f>
        <v>吴有亮</v>
      </c>
      <c r="E856" s="5" t="str">
        <f>"男"</f>
        <v>男</v>
      </c>
    </row>
    <row r="857" spans="1:5" ht="30" customHeight="1">
      <c r="A857" s="4">
        <v>855</v>
      </c>
      <c r="B857" s="5" t="str">
        <f>"264420201009161702478"</f>
        <v>264420201009161702478</v>
      </c>
      <c r="C857" s="5" t="s">
        <v>14</v>
      </c>
      <c r="D857" s="5" t="str">
        <f>"林望"</f>
        <v>林望</v>
      </c>
      <c r="E857" s="5" t="str">
        <f>"女"</f>
        <v>女</v>
      </c>
    </row>
    <row r="858" spans="1:5" ht="30" customHeight="1">
      <c r="A858" s="4">
        <v>856</v>
      </c>
      <c r="B858" s="5" t="str">
        <f>"264420201009162603484"</f>
        <v>264420201009162603484</v>
      </c>
      <c r="C858" s="5" t="s">
        <v>14</v>
      </c>
      <c r="D858" s="5" t="str">
        <f>"张莺蓝"</f>
        <v>张莺蓝</v>
      </c>
      <c r="E858" s="5" t="str">
        <f>"女"</f>
        <v>女</v>
      </c>
    </row>
    <row r="859" spans="1:5" ht="30" customHeight="1">
      <c r="A859" s="4">
        <v>857</v>
      </c>
      <c r="B859" s="5" t="str">
        <f>"264420201009164323501"</f>
        <v>264420201009164323501</v>
      </c>
      <c r="C859" s="5" t="s">
        <v>14</v>
      </c>
      <c r="D859" s="5" t="str">
        <f>"杨如月"</f>
        <v>杨如月</v>
      </c>
      <c r="E859" s="5" t="str">
        <f>"女"</f>
        <v>女</v>
      </c>
    </row>
    <row r="860" spans="1:5" ht="30" customHeight="1">
      <c r="A860" s="4">
        <v>858</v>
      </c>
      <c r="B860" s="5" t="str">
        <f>"264420201009164841505"</f>
        <v>264420201009164841505</v>
      </c>
      <c r="C860" s="5" t="s">
        <v>14</v>
      </c>
      <c r="D860" s="5" t="str">
        <f>"陈国伟"</f>
        <v>陈国伟</v>
      </c>
      <c r="E860" s="5" t="str">
        <f>"男"</f>
        <v>男</v>
      </c>
    </row>
    <row r="861" spans="1:5" ht="30" customHeight="1">
      <c r="A861" s="4">
        <v>859</v>
      </c>
      <c r="B861" s="5" t="str">
        <f>"264420201009165121507"</f>
        <v>264420201009165121507</v>
      </c>
      <c r="C861" s="5" t="s">
        <v>14</v>
      </c>
      <c r="D861" s="5" t="str">
        <f>"冯仁祥"</f>
        <v>冯仁祥</v>
      </c>
      <c r="E861" s="5" t="str">
        <f>"男"</f>
        <v>男</v>
      </c>
    </row>
    <row r="862" spans="1:5" ht="30" customHeight="1">
      <c r="A862" s="4">
        <v>860</v>
      </c>
      <c r="B862" s="5" t="str">
        <f>"264420201009181415561"</f>
        <v>264420201009181415561</v>
      </c>
      <c r="C862" s="5" t="s">
        <v>14</v>
      </c>
      <c r="D862" s="5" t="str">
        <f>"黄海珍"</f>
        <v>黄海珍</v>
      </c>
      <c r="E862" s="5" t="str">
        <f>"女"</f>
        <v>女</v>
      </c>
    </row>
    <row r="863" spans="1:5" ht="30" customHeight="1">
      <c r="A863" s="4">
        <v>861</v>
      </c>
      <c r="B863" s="5" t="str">
        <f>"264420201009181750566"</f>
        <v>264420201009181750566</v>
      </c>
      <c r="C863" s="5" t="s">
        <v>14</v>
      </c>
      <c r="D863" s="5" t="str">
        <f>"何思颖"</f>
        <v>何思颖</v>
      </c>
      <c r="E863" s="5" t="str">
        <f>"女"</f>
        <v>女</v>
      </c>
    </row>
    <row r="864" spans="1:5" ht="30" customHeight="1">
      <c r="A864" s="4">
        <v>862</v>
      </c>
      <c r="B864" s="5" t="str">
        <f>"264420201009185131587"</f>
        <v>264420201009185131587</v>
      </c>
      <c r="C864" s="5" t="s">
        <v>14</v>
      </c>
      <c r="D864" s="5" t="str">
        <f>"辛强"</f>
        <v>辛强</v>
      </c>
      <c r="E864" s="5" t="str">
        <f>"男"</f>
        <v>男</v>
      </c>
    </row>
    <row r="865" spans="1:5" ht="30" customHeight="1">
      <c r="A865" s="4">
        <v>863</v>
      </c>
      <c r="B865" s="5" t="str">
        <f>"264420201009185826591"</f>
        <v>264420201009185826591</v>
      </c>
      <c r="C865" s="5" t="s">
        <v>14</v>
      </c>
      <c r="D865" s="5" t="str">
        <f>"王昌辉"</f>
        <v>王昌辉</v>
      </c>
      <c r="E865" s="5" t="str">
        <f>"男"</f>
        <v>男</v>
      </c>
    </row>
    <row r="866" spans="1:5" ht="30" customHeight="1">
      <c r="A866" s="4">
        <v>864</v>
      </c>
      <c r="B866" s="5" t="str">
        <f>"264420201009190938598"</f>
        <v>264420201009190938598</v>
      </c>
      <c r="C866" s="5" t="s">
        <v>14</v>
      </c>
      <c r="D866" s="5" t="str">
        <f>"李立娜"</f>
        <v>李立娜</v>
      </c>
      <c r="E866" s="5" t="str">
        <f>"女"</f>
        <v>女</v>
      </c>
    </row>
    <row r="867" spans="1:5" ht="30" customHeight="1">
      <c r="A867" s="4">
        <v>865</v>
      </c>
      <c r="B867" s="5" t="str">
        <f>"264420201009191611603"</f>
        <v>264420201009191611603</v>
      </c>
      <c r="C867" s="5" t="s">
        <v>14</v>
      </c>
      <c r="D867" s="5" t="str">
        <f>"韩茜伊"</f>
        <v>韩茜伊</v>
      </c>
      <c r="E867" s="5" t="str">
        <f>"女"</f>
        <v>女</v>
      </c>
    </row>
    <row r="868" spans="1:5" ht="30" customHeight="1">
      <c r="A868" s="4">
        <v>866</v>
      </c>
      <c r="B868" s="5" t="str">
        <f>"264420201009192550611"</f>
        <v>264420201009192550611</v>
      </c>
      <c r="C868" s="5" t="s">
        <v>14</v>
      </c>
      <c r="D868" s="5" t="str">
        <f>"李汶蔚"</f>
        <v>李汶蔚</v>
      </c>
      <c r="E868" s="5" t="str">
        <f>"女"</f>
        <v>女</v>
      </c>
    </row>
    <row r="869" spans="1:5" ht="30" customHeight="1">
      <c r="A869" s="4">
        <v>867</v>
      </c>
      <c r="B869" s="5" t="str">
        <f>"264420201009193432615"</f>
        <v>264420201009193432615</v>
      </c>
      <c r="C869" s="5" t="s">
        <v>14</v>
      </c>
      <c r="D869" s="5" t="str">
        <f>"文欣欣"</f>
        <v>文欣欣</v>
      </c>
      <c r="E869" s="5" t="str">
        <f>"女"</f>
        <v>女</v>
      </c>
    </row>
    <row r="870" spans="1:5" ht="30" customHeight="1">
      <c r="A870" s="4">
        <v>868</v>
      </c>
      <c r="B870" s="5" t="str">
        <f>"264420201009193844620"</f>
        <v>264420201009193844620</v>
      </c>
      <c r="C870" s="5" t="s">
        <v>14</v>
      </c>
      <c r="D870" s="5" t="str">
        <f>"陈梦婷"</f>
        <v>陈梦婷</v>
      </c>
      <c r="E870" s="5" t="str">
        <f>"女"</f>
        <v>女</v>
      </c>
    </row>
    <row r="871" spans="1:5" ht="30" customHeight="1">
      <c r="A871" s="4">
        <v>869</v>
      </c>
      <c r="B871" s="5" t="str">
        <f>"264420201009195448632"</f>
        <v>264420201009195448632</v>
      </c>
      <c r="C871" s="5" t="s">
        <v>14</v>
      </c>
      <c r="D871" s="5" t="str">
        <f>"谢生斌"</f>
        <v>谢生斌</v>
      </c>
      <c r="E871" s="5" t="str">
        <f>"男"</f>
        <v>男</v>
      </c>
    </row>
    <row r="872" spans="1:5" ht="30" customHeight="1">
      <c r="A872" s="4">
        <v>870</v>
      </c>
      <c r="B872" s="5" t="str">
        <f>"264420201009200245645"</f>
        <v>264420201009200245645</v>
      </c>
      <c r="C872" s="5" t="s">
        <v>14</v>
      </c>
      <c r="D872" s="5" t="str">
        <f>"王春玉"</f>
        <v>王春玉</v>
      </c>
      <c r="E872" s="5" t="str">
        <f>"女"</f>
        <v>女</v>
      </c>
    </row>
    <row r="873" spans="1:5" ht="30" customHeight="1">
      <c r="A873" s="4">
        <v>871</v>
      </c>
      <c r="B873" s="5" t="str">
        <f>"264420201009202731668"</f>
        <v>264420201009202731668</v>
      </c>
      <c r="C873" s="5" t="s">
        <v>14</v>
      </c>
      <c r="D873" s="5" t="str">
        <f>"吕冰"</f>
        <v>吕冰</v>
      </c>
      <c r="E873" s="5" t="str">
        <f>"女"</f>
        <v>女</v>
      </c>
    </row>
    <row r="874" spans="1:5" ht="30" customHeight="1">
      <c r="A874" s="4">
        <v>872</v>
      </c>
      <c r="B874" s="5" t="str">
        <f>"264420201009203402675"</f>
        <v>264420201009203402675</v>
      </c>
      <c r="C874" s="5" t="s">
        <v>14</v>
      </c>
      <c r="D874" s="5" t="str">
        <f>"符莉婉"</f>
        <v>符莉婉</v>
      </c>
      <c r="E874" s="5" t="str">
        <f>"女"</f>
        <v>女</v>
      </c>
    </row>
    <row r="875" spans="1:5" ht="30" customHeight="1">
      <c r="A875" s="4">
        <v>873</v>
      </c>
      <c r="B875" s="5" t="str">
        <f>"264420201009204156686"</f>
        <v>264420201009204156686</v>
      </c>
      <c r="C875" s="5" t="s">
        <v>14</v>
      </c>
      <c r="D875" s="5" t="str">
        <f>"王秋霞"</f>
        <v>王秋霞</v>
      </c>
      <c r="E875" s="5" t="str">
        <f>"女"</f>
        <v>女</v>
      </c>
    </row>
    <row r="876" spans="1:5" ht="30" customHeight="1">
      <c r="A876" s="4">
        <v>874</v>
      </c>
      <c r="B876" s="5" t="str">
        <f>"264420201009210852714"</f>
        <v>264420201009210852714</v>
      </c>
      <c r="C876" s="5" t="s">
        <v>14</v>
      </c>
      <c r="D876" s="5" t="str">
        <f>"夏霖成"</f>
        <v>夏霖成</v>
      </c>
      <c r="E876" s="5" t="str">
        <f>"男"</f>
        <v>男</v>
      </c>
    </row>
    <row r="877" spans="1:5" ht="30" customHeight="1">
      <c r="A877" s="4">
        <v>875</v>
      </c>
      <c r="B877" s="5" t="str">
        <f>"264420201009213932730"</f>
        <v>264420201009213932730</v>
      </c>
      <c r="C877" s="5" t="s">
        <v>14</v>
      </c>
      <c r="D877" s="5" t="str">
        <f>"陈婧仪"</f>
        <v>陈婧仪</v>
      </c>
      <c r="E877" s="5" t="str">
        <f>"女"</f>
        <v>女</v>
      </c>
    </row>
    <row r="878" spans="1:5" ht="30" customHeight="1">
      <c r="A878" s="4">
        <v>876</v>
      </c>
      <c r="B878" s="5" t="str">
        <f>"264420201009215134740"</f>
        <v>264420201009215134740</v>
      </c>
      <c r="C878" s="5" t="s">
        <v>14</v>
      </c>
      <c r="D878" s="5" t="str">
        <f>"符江贝"</f>
        <v>符江贝</v>
      </c>
      <c r="E878" s="5" t="str">
        <f>"女"</f>
        <v>女</v>
      </c>
    </row>
    <row r="879" spans="1:5" ht="30" customHeight="1">
      <c r="A879" s="4">
        <v>877</v>
      </c>
      <c r="B879" s="5" t="str">
        <f>"264420201009221445756"</f>
        <v>264420201009221445756</v>
      </c>
      <c r="C879" s="5" t="s">
        <v>14</v>
      </c>
      <c r="D879" s="5" t="str">
        <f>"陈坤秀"</f>
        <v>陈坤秀</v>
      </c>
      <c r="E879" s="5" t="str">
        <f>"女"</f>
        <v>女</v>
      </c>
    </row>
    <row r="880" spans="1:5" ht="30" customHeight="1">
      <c r="A880" s="4">
        <v>878</v>
      </c>
      <c r="B880" s="5" t="str">
        <f>"264420201009221948761"</f>
        <v>264420201009221948761</v>
      </c>
      <c r="C880" s="5" t="s">
        <v>14</v>
      </c>
      <c r="D880" s="5" t="str">
        <f>"胡娇丹"</f>
        <v>胡娇丹</v>
      </c>
      <c r="E880" s="5" t="str">
        <f>"女"</f>
        <v>女</v>
      </c>
    </row>
    <row r="881" spans="1:5" ht="30" customHeight="1">
      <c r="A881" s="4">
        <v>879</v>
      </c>
      <c r="B881" s="5" t="str">
        <f>"264420201009222207763"</f>
        <v>264420201009222207763</v>
      </c>
      <c r="C881" s="5" t="s">
        <v>14</v>
      </c>
      <c r="D881" s="5" t="str">
        <f>"符华威"</f>
        <v>符华威</v>
      </c>
      <c r="E881" s="5" t="str">
        <f>"男"</f>
        <v>男</v>
      </c>
    </row>
    <row r="882" spans="1:5" ht="30" customHeight="1">
      <c r="A882" s="4">
        <v>880</v>
      </c>
      <c r="B882" s="5" t="str">
        <f>"264420201009222629767"</f>
        <v>264420201009222629767</v>
      </c>
      <c r="C882" s="5" t="s">
        <v>14</v>
      </c>
      <c r="D882" s="5" t="str">
        <f>"黄锦瑜"</f>
        <v>黄锦瑜</v>
      </c>
      <c r="E882" s="5" t="str">
        <f>"女"</f>
        <v>女</v>
      </c>
    </row>
    <row r="883" spans="1:5" ht="30" customHeight="1">
      <c r="A883" s="4">
        <v>881</v>
      </c>
      <c r="B883" s="5" t="str">
        <f>"264420201009230803784"</f>
        <v>264420201009230803784</v>
      </c>
      <c r="C883" s="5" t="s">
        <v>14</v>
      </c>
      <c r="D883" s="5" t="str">
        <f>"吴青芸"</f>
        <v>吴青芸</v>
      </c>
      <c r="E883" s="5" t="str">
        <f>"女"</f>
        <v>女</v>
      </c>
    </row>
    <row r="884" spans="1:5" ht="30" customHeight="1">
      <c r="A884" s="4">
        <v>882</v>
      </c>
      <c r="B884" s="5" t="str">
        <f>"264420201009231609789"</f>
        <v>264420201009231609789</v>
      </c>
      <c r="C884" s="5" t="s">
        <v>14</v>
      </c>
      <c r="D884" s="5" t="str">
        <f>"钟有鑫"</f>
        <v>钟有鑫</v>
      </c>
      <c r="E884" s="5" t="str">
        <f>"男"</f>
        <v>男</v>
      </c>
    </row>
    <row r="885" spans="1:5" ht="30" customHeight="1">
      <c r="A885" s="4">
        <v>883</v>
      </c>
      <c r="B885" s="5" t="str">
        <f>"264420201009234651798"</f>
        <v>264420201009234651798</v>
      </c>
      <c r="C885" s="5" t="s">
        <v>14</v>
      </c>
      <c r="D885" s="5" t="str">
        <f>"陈文娜"</f>
        <v>陈文娜</v>
      </c>
      <c r="E885" s="5" t="str">
        <f>"女"</f>
        <v>女</v>
      </c>
    </row>
    <row r="886" spans="1:5" ht="30" customHeight="1">
      <c r="A886" s="4">
        <v>884</v>
      </c>
      <c r="B886" s="5" t="str">
        <f>"264420201009235059800"</f>
        <v>264420201009235059800</v>
      </c>
      <c r="C886" s="5" t="s">
        <v>14</v>
      </c>
      <c r="D886" s="5" t="str">
        <f>"王奋"</f>
        <v>王奋</v>
      </c>
      <c r="E886" s="5" t="str">
        <f>"男"</f>
        <v>男</v>
      </c>
    </row>
    <row r="887" spans="1:5" ht="30" customHeight="1">
      <c r="A887" s="4">
        <v>885</v>
      </c>
      <c r="B887" s="5" t="str">
        <f>"264420201010010051807"</f>
        <v>264420201010010051807</v>
      </c>
      <c r="C887" s="5" t="s">
        <v>14</v>
      </c>
      <c r="D887" s="5" t="str">
        <f>"符树磊"</f>
        <v>符树磊</v>
      </c>
      <c r="E887" s="5" t="str">
        <f>"女"</f>
        <v>女</v>
      </c>
    </row>
    <row r="888" spans="1:5" ht="30" customHeight="1">
      <c r="A888" s="4">
        <v>886</v>
      </c>
      <c r="B888" s="5" t="str">
        <f>"264420201010082605819"</f>
        <v>264420201010082605819</v>
      </c>
      <c r="C888" s="5" t="s">
        <v>14</v>
      </c>
      <c r="D888" s="5" t="str">
        <f>"杨成茵"</f>
        <v>杨成茵</v>
      </c>
      <c r="E888" s="5" t="str">
        <f>"女"</f>
        <v>女</v>
      </c>
    </row>
    <row r="889" spans="1:5" ht="30" customHeight="1">
      <c r="A889" s="4">
        <v>887</v>
      </c>
      <c r="B889" s="5" t="str">
        <f>"264420201010093514853"</f>
        <v>264420201010093514853</v>
      </c>
      <c r="C889" s="5" t="s">
        <v>14</v>
      </c>
      <c r="D889" s="5" t="str">
        <f>"吉俐憬"</f>
        <v>吉俐憬</v>
      </c>
      <c r="E889" s="5" t="str">
        <f>"女"</f>
        <v>女</v>
      </c>
    </row>
    <row r="890" spans="1:5" ht="30" customHeight="1">
      <c r="A890" s="4">
        <v>888</v>
      </c>
      <c r="B890" s="5" t="str">
        <f>"264420201010094706860"</f>
        <v>264420201010094706860</v>
      </c>
      <c r="C890" s="5" t="s">
        <v>14</v>
      </c>
      <c r="D890" s="5" t="str">
        <f>"林玉珠"</f>
        <v>林玉珠</v>
      </c>
      <c r="E890" s="5" t="str">
        <f>"女"</f>
        <v>女</v>
      </c>
    </row>
    <row r="891" spans="1:5" ht="30" customHeight="1">
      <c r="A891" s="4">
        <v>889</v>
      </c>
      <c r="B891" s="5" t="str">
        <f>"264420201010100059869"</f>
        <v>264420201010100059869</v>
      </c>
      <c r="C891" s="5" t="s">
        <v>14</v>
      </c>
      <c r="D891" s="5" t="str">
        <f>"梁智莹"</f>
        <v>梁智莹</v>
      </c>
      <c r="E891" s="5" t="str">
        <f>"女"</f>
        <v>女</v>
      </c>
    </row>
    <row r="892" spans="1:5" ht="30" customHeight="1">
      <c r="A892" s="4">
        <v>890</v>
      </c>
      <c r="B892" s="5" t="str">
        <f>"264420201010100444873"</f>
        <v>264420201010100444873</v>
      </c>
      <c r="C892" s="5" t="s">
        <v>14</v>
      </c>
      <c r="D892" s="5" t="str">
        <f>"邢霖"</f>
        <v>邢霖</v>
      </c>
      <c r="E892" s="5" t="str">
        <f>"男"</f>
        <v>男</v>
      </c>
    </row>
    <row r="893" spans="1:5" ht="30" customHeight="1">
      <c r="A893" s="4">
        <v>891</v>
      </c>
      <c r="B893" s="5" t="str">
        <f>"264420201010110429904"</f>
        <v>264420201010110429904</v>
      </c>
      <c r="C893" s="5" t="s">
        <v>14</v>
      </c>
      <c r="D893" s="5" t="str">
        <f>"郑琳"</f>
        <v>郑琳</v>
      </c>
      <c r="E893" s="5" t="str">
        <f aca="true" t="shared" si="30" ref="E893:E898">"女"</f>
        <v>女</v>
      </c>
    </row>
    <row r="894" spans="1:5" ht="30" customHeight="1">
      <c r="A894" s="4">
        <v>892</v>
      </c>
      <c r="B894" s="5" t="str">
        <f>"264420201010111409909"</f>
        <v>264420201010111409909</v>
      </c>
      <c r="C894" s="5" t="s">
        <v>14</v>
      </c>
      <c r="D894" s="5" t="str">
        <f>"李晓秋"</f>
        <v>李晓秋</v>
      </c>
      <c r="E894" s="5" t="str">
        <f t="shared" si="30"/>
        <v>女</v>
      </c>
    </row>
    <row r="895" spans="1:5" ht="30" customHeight="1">
      <c r="A895" s="4">
        <v>893</v>
      </c>
      <c r="B895" s="5" t="str">
        <f>"264420201010112642918"</f>
        <v>264420201010112642918</v>
      </c>
      <c r="C895" s="5" t="s">
        <v>14</v>
      </c>
      <c r="D895" s="5" t="str">
        <f>"吴怡慧"</f>
        <v>吴怡慧</v>
      </c>
      <c r="E895" s="5" t="str">
        <f t="shared" si="30"/>
        <v>女</v>
      </c>
    </row>
    <row r="896" spans="1:5" ht="30" customHeight="1">
      <c r="A896" s="4">
        <v>894</v>
      </c>
      <c r="B896" s="5" t="str">
        <f>"264420201010112827920"</f>
        <v>264420201010112827920</v>
      </c>
      <c r="C896" s="5" t="s">
        <v>14</v>
      </c>
      <c r="D896" s="5" t="str">
        <f>"邢莉莉"</f>
        <v>邢莉莉</v>
      </c>
      <c r="E896" s="5" t="str">
        <f t="shared" si="30"/>
        <v>女</v>
      </c>
    </row>
    <row r="897" spans="1:5" ht="30" customHeight="1">
      <c r="A897" s="4">
        <v>895</v>
      </c>
      <c r="B897" s="5" t="str">
        <f>"264420201010124315954"</f>
        <v>264420201010124315954</v>
      </c>
      <c r="C897" s="5" t="s">
        <v>14</v>
      </c>
      <c r="D897" s="5" t="str">
        <f>"范佳佳"</f>
        <v>范佳佳</v>
      </c>
      <c r="E897" s="5" t="str">
        <f t="shared" si="30"/>
        <v>女</v>
      </c>
    </row>
    <row r="898" spans="1:5" ht="30" customHeight="1">
      <c r="A898" s="4">
        <v>896</v>
      </c>
      <c r="B898" s="5" t="str">
        <f>"264420201010130459959"</f>
        <v>264420201010130459959</v>
      </c>
      <c r="C898" s="5" t="s">
        <v>14</v>
      </c>
      <c r="D898" s="5" t="str">
        <f>"王巧雯"</f>
        <v>王巧雯</v>
      </c>
      <c r="E898" s="5" t="str">
        <f t="shared" si="30"/>
        <v>女</v>
      </c>
    </row>
    <row r="899" spans="1:5" ht="30" customHeight="1">
      <c r="A899" s="4">
        <v>897</v>
      </c>
      <c r="B899" s="5" t="str">
        <f>"264420201010132301964"</f>
        <v>264420201010132301964</v>
      </c>
      <c r="C899" s="5" t="s">
        <v>14</v>
      </c>
      <c r="D899" s="5" t="str">
        <f>"许健"</f>
        <v>许健</v>
      </c>
      <c r="E899" s="5" t="str">
        <f>"男"</f>
        <v>男</v>
      </c>
    </row>
    <row r="900" spans="1:5" ht="30" customHeight="1">
      <c r="A900" s="4">
        <v>898</v>
      </c>
      <c r="B900" s="5" t="str">
        <f>"264420201010132641967"</f>
        <v>264420201010132641967</v>
      </c>
      <c r="C900" s="5" t="s">
        <v>14</v>
      </c>
      <c r="D900" s="5" t="str">
        <f>"符世勤"</f>
        <v>符世勤</v>
      </c>
      <c r="E900" s="5" t="str">
        <f>"女"</f>
        <v>女</v>
      </c>
    </row>
    <row r="901" spans="1:5" ht="30" customHeight="1">
      <c r="A901" s="4">
        <v>899</v>
      </c>
      <c r="B901" s="5" t="str">
        <f>"264420201010133020968"</f>
        <v>264420201010133020968</v>
      </c>
      <c r="C901" s="5" t="s">
        <v>14</v>
      </c>
      <c r="D901" s="5" t="str">
        <f>"郭芳"</f>
        <v>郭芳</v>
      </c>
      <c r="E901" s="5" t="str">
        <f>"女"</f>
        <v>女</v>
      </c>
    </row>
    <row r="902" spans="1:5" ht="30" customHeight="1">
      <c r="A902" s="4">
        <v>900</v>
      </c>
      <c r="B902" s="5" t="str">
        <f>"264420201010134033969"</f>
        <v>264420201010134033969</v>
      </c>
      <c r="C902" s="5" t="s">
        <v>14</v>
      </c>
      <c r="D902" s="5" t="str">
        <f>"唐闻仙"</f>
        <v>唐闻仙</v>
      </c>
      <c r="E902" s="5" t="str">
        <f>"女"</f>
        <v>女</v>
      </c>
    </row>
    <row r="903" spans="1:5" ht="30" customHeight="1">
      <c r="A903" s="4">
        <v>901</v>
      </c>
      <c r="B903" s="5" t="str">
        <f>"264420201010144429985"</f>
        <v>264420201010144429985</v>
      </c>
      <c r="C903" s="5" t="s">
        <v>14</v>
      </c>
      <c r="D903" s="5" t="str">
        <f>"吴燕梅"</f>
        <v>吴燕梅</v>
      </c>
      <c r="E903" s="5" t="str">
        <f>"女"</f>
        <v>女</v>
      </c>
    </row>
    <row r="904" spans="1:5" ht="30" customHeight="1">
      <c r="A904" s="4">
        <v>902</v>
      </c>
      <c r="B904" s="5" t="str">
        <f>"264420201010144837987"</f>
        <v>264420201010144837987</v>
      </c>
      <c r="C904" s="5" t="s">
        <v>14</v>
      </c>
      <c r="D904" s="5" t="str">
        <f>"杜尚汝"</f>
        <v>杜尚汝</v>
      </c>
      <c r="E904" s="5" t="str">
        <f>"女"</f>
        <v>女</v>
      </c>
    </row>
    <row r="905" spans="1:5" ht="30" customHeight="1">
      <c r="A905" s="4">
        <v>903</v>
      </c>
      <c r="B905" s="5" t="str">
        <f>"264420201010150839996"</f>
        <v>264420201010150839996</v>
      </c>
      <c r="C905" s="5" t="s">
        <v>14</v>
      </c>
      <c r="D905" s="5" t="str">
        <f>"陈龙"</f>
        <v>陈龙</v>
      </c>
      <c r="E905" s="5" t="str">
        <f>"男"</f>
        <v>男</v>
      </c>
    </row>
    <row r="906" spans="1:5" ht="30" customHeight="1">
      <c r="A906" s="4">
        <v>904</v>
      </c>
      <c r="B906" s="5" t="str">
        <f>"2644202010101523361002"</f>
        <v>2644202010101523361002</v>
      </c>
      <c r="C906" s="5" t="s">
        <v>14</v>
      </c>
      <c r="D906" s="5" t="str">
        <f>"吴芳玲"</f>
        <v>吴芳玲</v>
      </c>
      <c r="E906" s="5" t="str">
        <f>"女"</f>
        <v>女</v>
      </c>
    </row>
    <row r="907" spans="1:5" ht="30" customHeight="1">
      <c r="A907" s="4">
        <v>905</v>
      </c>
      <c r="B907" s="5" t="str">
        <f>"2644202010101528551004"</f>
        <v>2644202010101528551004</v>
      </c>
      <c r="C907" s="5" t="s">
        <v>14</v>
      </c>
      <c r="D907" s="5" t="str">
        <f>"郑佳佳"</f>
        <v>郑佳佳</v>
      </c>
      <c r="E907" s="5" t="str">
        <f>"女"</f>
        <v>女</v>
      </c>
    </row>
    <row r="908" spans="1:5" ht="30" customHeight="1">
      <c r="A908" s="4">
        <v>906</v>
      </c>
      <c r="B908" s="5" t="str">
        <f>"2644202010101531441007"</f>
        <v>2644202010101531441007</v>
      </c>
      <c r="C908" s="5" t="s">
        <v>14</v>
      </c>
      <c r="D908" s="5" t="str">
        <f>"张宝芳"</f>
        <v>张宝芳</v>
      </c>
      <c r="E908" s="5" t="str">
        <f>"女"</f>
        <v>女</v>
      </c>
    </row>
    <row r="909" spans="1:5" ht="30" customHeight="1">
      <c r="A909" s="4">
        <v>907</v>
      </c>
      <c r="B909" s="5" t="str">
        <f>"2644202010101533271008"</f>
        <v>2644202010101533271008</v>
      </c>
      <c r="C909" s="5" t="s">
        <v>14</v>
      </c>
      <c r="D909" s="5" t="str">
        <f>"莫茹淞"</f>
        <v>莫茹淞</v>
      </c>
      <c r="E909" s="5" t="str">
        <f>"男"</f>
        <v>男</v>
      </c>
    </row>
    <row r="910" spans="1:5" ht="30" customHeight="1">
      <c r="A910" s="4">
        <v>908</v>
      </c>
      <c r="B910" s="5" t="str">
        <f>"2644202010101628581030"</f>
        <v>2644202010101628581030</v>
      </c>
      <c r="C910" s="5" t="s">
        <v>14</v>
      </c>
      <c r="D910" s="5" t="str">
        <f>"朱日昌"</f>
        <v>朱日昌</v>
      </c>
      <c r="E910" s="5" t="str">
        <f>"男"</f>
        <v>男</v>
      </c>
    </row>
    <row r="911" spans="1:5" ht="30" customHeight="1">
      <c r="A911" s="4">
        <v>909</v>
      </c>
      <c r="B911" s="5" t="str">
        <f>"2644202010101702171046"</f>
        <v>2644202010101702171046</v>
      </c>
      <c r="C911" s="5" t="s">
        <v>14</v>
      </c>
      <c r="D911" s="5" t="str">
        <f>"闫语"</f>
        <v>闫语</v>
      </c>
      <c r="E911" s="5" t="str">
        <f aca="true" t="shared" si="31" ref="E911:E916">"女"</f>
        <v>女</v>
      </c>
    </row>
    <row r="912" spans="1:5" ht="30" customHeight="1">
      <c r="A912" s="4">
        <v>910</v>
      </c>
      <c r="B912" s="5" t="str">
        <f>"2644202010102023101101"</f>
        <v>2644202010102023101101</v>
      </c>
      <c r="C912" s="5" t="s">
        <v>14</v>
      </c>
      <c r="D912" s="5" t="str">
        <f>"谢尚洁"</f>
        <v>谢尚洁</v>
      </c>
      <c r="E912" s="5" t="str">
        <f t="shared" si="31"/>
        <v>女</v>
      </c>
    </row>
    <row r="913" spans="1:5" ht="30" customHeight="1">
      <c r="A913" s="4">
        <v>911</v>
      </c>
      <c r="B913" s="5" t="str">
        <f>"2644202010102025231103"</f>
        <v>2644202010102025231103</v>
      </c>
      <c r="C913" s="5" t="s">
        <v>14</v>
      </c>
      <c r="D913" s="5" t="str">
        <f>"颜玉琦"</f>
        <v>颜玉琦</v>
      </c>
      <c r="E913" s="5" t="str">
        <f t="shared" si="31"/>
        <v>女</v>
      </c>
    </row>
    <row r="914" spans="1:5" ht="30" customHeight="1">
      <c r="A914" s="4">
        <v>912</v>
      </c>
      <c r="B914" s="5" t="str">
        <f>"2644202010102051471108"</f>
        <v>2644202010102051471108</v>
      </c>
      <c r="C914" s="5" t="s">
        <v>14</v>
      </c>
      <c r="D914" s="5" t="str">
        <f>"李慢晶"</f>
        <v>李慢晶</v>
      </c>
      <c r="E914" s="5" t="str">
        <f t="shared" si="31"/>
        <v>女</v>
      </c>
    </row>
    <row r="915" spans="1:5" ht="30" customHeight="1">
      <c r="A915" s="4">
        <v>913</v>
      </c>
      <c r="B915" s="5" t="str">
        <f>"2644202010102105331117"</f>
        <v>2644202010102105331117</v>
      </c>
      <c r="C915" s="5" t="s">
        <v>14</v>
      </c>
      <c r="D915" s="5" t="str">
        <f>"叶诗莹"</f>
        <v>叶诗莹</v>
      </c>
      <c r="E915" s="5" t="str">
        <f t="shared" si="31"/>
        <v>女</v>
      </c>
    </row>
    <row r="916" spans="1:5" ht="30" customHeight="1">
      <c r="A916" s="4">
        <v>914</v>
      </c>
      <c r="B916" s="5" t="str">
        <f>"2644202010102137161132"</f>
        <v>2644202010102137161132</v>
      </c>
      <c r="C916" s="5" t="s">
        <v>14</v>
      </c>
      <c r="D916" s="5" t="str">
        <f>"吴艳娟"</f>
        <v>吴艳娟</v>
      </c>
      <c r="E916" s="5" t="str">
        <f t="shared" si="31"/>
        <v>女</v>
      </c>
    </row>
    <row r="917" spans="1:5" ht="30" customHeight="1">
      <c r="A917" s="4">
        <v>915</v>
      </c>
      <c r="B917" s="5" t="str">
        <f>"2644202010102354361166"</f>
        <v>2644202010102354361166</v>
      </c>
      <c r="C917" s="5" t="s">
        <v>14</v>
      </c>
      <c r="D917" s="5" t="str">
        <f>"王开赋"</f>
        <v>王开赋</v>
      </c>
      <c r="E917" s="5" t="str">
        <f>"男"</f>
        <v>男</v>
      </c>
    </row>
    <row r="918" spans="1:5" ht="30" customHeight="1">
      <c r="A918" s="4">
        <v>916</v>
      </c>
      <c r="B918" s="5" t="str">
        <f>"2644202010110026421169"</f>
        <v>2644202010110026421169</v>
      </c>
      <c r="C918" s="5" t="s">
        <v>14</v>
      </c>
      <c r="D918" s="5" t="str">
        <f>"吴惠"</f>
        <v>吴惠</v>
      </c>
      <c r="E918" s="5" t="str">
        <f>"女"</f>
        <v>女</v>
      </c>
    </row>
    <row r="919" spans="1:5" ht="30" customHeight="1">
      <c r="A919" s="4">
        <v>917</v>
      </c>
      <c r="B919" s="5" t="str">
        <f>"2644202010110814411180"</f>
        <v>2644202010110814411180</v>
      </c>
      <c r="C919" s="5" t="s">
        <v>14</v>
      </c>
      <c r="D919" s="5" t="str">
        <f>"利柳青"</f>
        <v>利柳青</v>
      </c>
      <c r="E919" s="5" t="str">
        <f>"女"</f>
        <v>女</v>
      </c>
    </row>
    <row r="920" spans="1:5" ht="30" customHeight="1">
      <c r="A920" s="4">
        <v>918</v>
      </c>
      <c r="B920" s="5" t="str">
        <f>"2644202010110920481193"</f>
        <v>2644202010110920481193</v>
      </c>
      <c r="C920" s="5" t="s">
        <v>14</v>
      </c>
      <c r="D920" s="5" t="str">
        <f>"王莹"</f>
        <v>王莹</v>
      </c>
      <c r="E920" s="5" t="str">
        <f>"女"</f>
        <v>女</v>
      </c>
    </row>
    <row r="921" spans="1:5" ht="30" customHeight="1">
      <c r="A921" s="4">
        <v>919</v>
      </c>
      <c r="B921" s="5" t="str">
        <f>"2644202010110927261195"</f>
        <v>2644202010110927261195</v>
      </c>
      <c r="C921" s="5" t="s">
        <v>14</v>
      </c>
      <c r="D921" s="5" t="str">
        <f>"尤春曼"</f>
        <v>尤春曼</v>
      </c>
      <c r="E921" s="5" t="str">
        <f>"女"</f>
        <v>女</v>
      </c>
    </row>
    <row r="922" spans="1:5" ht="30" customHeight="1">
      <c r="A922" s="4">
        <v>920</v>
      </c>
      <c r="B922" s="5" t="str">
        <f>"2644202010111032561211"</f>
        <v>2644202010111032561211</v>
      </c>
      <c r="C922" s="5" t="s">
        <v>14</v>
      </c>
      <c r="D922" s="5" t="str">
        <f>"许淑萱"</f>
        <v>许淑萱</v>
      </c>
      <c r="E922" s="5" t="str">
        <f>"女"</f>
        <v>女</v>
      </c>
    </row>
    <row r="923" spans="1:5" ht="30" customHeight="1">
      <c r="A923" s="4">
        <v>921</v>
      </c>
      <c r="B923" s="5" t="str">
        <f>"2644202010111145441232"</f>
        <v>2644202010111145441232</v>
      </c>
      <c r="C923" s="5" t="s">
        <v>14</v>
      </c>
      <c r="D923" s="5" t="str">
        <f>"梁杰"</f>
        <v>梁杰</v>
      </c>
      <c r="E923" s="5" t="str">
        <f>"男"</f>
        <v>男</v>
      </c>
    </row>
    <row r="924" spans="1:5" ht="30" customHeight="1">
      <c r="A924" s="4">
        <v>922</v>
      </c>
      <c r="B924" s="5" t="str">
        <f>"2644202010111147161235"</f>
        <v>2644202010111147161235</v>
      </c>
      <c r="C924" s="5" t="s">
        <v>14</v>
      </c>
      <c r="D924" s="5" t="str">
        <f>"白婧"</f>
        <v>白婧</v>
      </c>
      <c r="E924" s="5" t="str">
        <f aca="true" t="shared" si="32" ref="E924:E929">"女"</f>
        <v>女</v>
      </c>
    </row>
    <row r="925" spans="1:5" ht="30" customHeight="1">
      <c r="A925" s="4">
        <v>923</v>
      </c>
      <c r="B925" s="5" t="str">
        <f>"2644202010111208391241"</f>
        <v>2644202010111208391241</v>
      </c>
      <c r="C925" s="5" t="s">
        <v>14</v>
      </c>
      <c r="D925" s="5" t="str">
        <f>"黄颖"</f>
        <v>黄颖</v>
      </c>
      <c r="E925" s="5" t="str">
        <f t="shared" si="32"/>
        <v>女</v>
      </c>
    </row>
    <row r="926" spans="1:5" ht="30" customHeight="1">
      <c r="A926" s="4">
        <v>924</v>
      </c>
      <c r="B926" s="5" t="str">
        <f>"2644202010111242181250"</f>
        <v>2644202010111242181250</v>
      </c>
      <c r="C926" s="5" t="s">
        <v>14</v>
      </c>
      <c r="D926" s="5" t="str">
        <f>"黄琪"</f>
        <v>黄琪</v>
      </c>
      <c r="E926" s="5" t="str">
        <f t="shared" si="32"/>
        <v>女</v>
      </c>
    </row>
    <row r="927" spans="1:5" ht="30" customHeight="1">
      <c r="A927" s="4">
        <v>925</v>
      </c>
      <c r="B927" s="5" t="str">
        <f>"2644202010111243191251"</f>
        <v>2644202010111243191251</v>
      </c>
      <c r="C927" s="5" t="s">
        <v>14</v>
      </c>
      <c r="D927" s="5" t="str">
        <f>"蒋桂娇"</f>
        <v>蒋桂娇</v>
      </c>
      <c r="E927" s="5" t="str">
        <f t="shared" si="32"/>
        <v>女</v>
      </c>
    </row>
    <row r="928" spans="1:5" ht="30" customHeight="1">
      <c r="A928" s="4">
        <v>926</v>
      </c>
      <c r="B928" s="5" t="str">
        <f>"2644202010111252361253"</f>
        <v>2644202010111252361253</v>
      </c>
      <c r="C928" s="5" t="s">
        <v>14</v>
      </c>
      <c r="D928" s="5" t="str">
        <f>"李花女"</f>
        <v>李花女</v>
      </c>
      <c r="E928" s="5" t="str">
        <f t="shared" si="32"/>
        <v>女</v>
      </c>
    </row>
    <row r="929" spans="1:5" ht="30" customHeight="1">
      <c r="A929" s="4">
        <v>927</v>
      </c>
      <c r="B929" s="5" t="str">
        <f>"2644202010111322391260"</f>
        <v>2644202010111322391260</v>
      </c>
      <c r="C929" s="5" t="s">
        <v>14</v>
      </c>
      <c r="D929" s="5" t="str">
        <f>"黄莹"</f>
        <v>黄莹</v>
      </c>
      <c r="E929" s="5" t="str">
        <f t="shared" si="32"/>
        <v>女</v>
      </c>
    </row>
    <row r="930" spans="1:5" ht="30" customHeight="1">
      <c r="A930" s="4">
        <v>928</v>
      </c>
      <c r="B930" s="5" t="str">
        <f>"2644202010111452191287"</f>
        <v>2644202010111452191287</v>
      </c>
      <c r="C930" s="5" t="s">
        <v>14</v>
      </c>
      <c r="D930" s="5" t="str">
        <f>"王小栋"</f>
        <v>王小栋</v>
      </c>
      <c r="E930" s="5" t="str">
        <f>"男"</f>
        <v>男</v>
      </c>
    </row>
    <row r="931" spans="1:5" ht="30" customHeight="1">
      <c r="A931" s="4">
        <v>929</v>
      </c>
      <c r="B931" s="5" t="str">
        <f>"2644202010111508501291"</f>
        <v>2644202010111508501291</v>
      </c>
      <c r="C931" s="5" t="s">
        <v>14</v>
      </c>
      <c r="D931" s="5" t="str">
        <f>"丁永宇"</f>
        <v>丁永宇</v>
      </c>
      <c r="E931" s="5" t="str">
        <f>"男"</f>
        <v>男</v>
      </c>
    </row>
    <row r="932" spans="1:5" ht="30" customHeight="1">
      <c r="A932" s="4">
        <v>930</v>
      </c>
      <c r="B932" s="5" t="str">
        <f>"2644202010111623041313"</f>
        <v>2644202010111623041313</v>
      </c>
      <c r="C932" s="5" t="s">
        <v>14</v>
      </c>
      <c r="D932" s="5" t="str">
        <f>"黄国权"</f>
        <v>黄国权</v>
      </c>
      <c r="E932" s="5" t="str">
        <f>"男"</f>
        <v>男</v>
      </c>
    </row>
    <row r="933" spans="1:5" ht="30" customHeight="1">
      <c r="A933" s="4">
        <v>931</v>
      </c>
      <c r="B933" s="5" t="str">
        <f>"2644202010111638011321"</f>
        <v>2644202010111638011321</v>
      </c>
      <c r="C933" s="5" t="s">
        <v>14</v>
      </c>
      <c r="D933" s="5" t="str">
        <f>"邓献萍"</f>
        <v>邓献萍</v>
      </c>
      <c r="E933" s="5" t="str">
        <f aca="true" t="shared" si="33" ref="E933:E941">"女"</f>
        <v>女</v>
      </c>
    </row>
    <row r="934" spans="1:5" ht="30" customHeight="1">
      <c r="A934" s="4">
        <v>932</v>
      </c>
      <c r="B934" s="5" t="str">
        <f>"2644202010111651521327"</f>
        <v>2644202010111651521327</v>
      </c>
      <c r="C934" s="5" t="s">
        <v>14</v>
      </c>
      <c r="D934" s="5" t="str">
        <f>"符馨云"</f>
        <v>符馨云</v>
      </c>
      <c r="E934" s="5" t="str">
        <f t="shared" si="33"/>
        <v>女</v>
      </c>
    </row>
    <row r="935" spans="1:5" ht="30" customHeight="1">
      <c r="A935" s="4">
        <v>933</v>
      </c>
      <c r="B935" s="5" t="str">
        <f>"2644202010111710481334"</f>
        <v>2644202010111710481334</v>
      </c>
      <c r="C935" s="5" t="s">
        <v>14</v>
      </c>
      <c r="D935" s="5" t="str">
        <f>"王思颖"</f>
        <v>王思颖</v>
      </c>
      <c r="E935" s="5" t="str">
        <f t="shared" si="33"/>
        <v>女</v>
      </c>
    </row>
    <row r="936" spans="1:5" ht="30" customHeight="1">
      <c r="A936" s="4">
        <v>934</v>
      </c>
      <c r="B936" s="5" t="str">
        <f>"2644202010111733051343"</f>
        <v>2644202010111733051343</v>
      </c>
      <c r="C936" s="5" t="s">
        <v>14</v>
      </c>
      <c r="D936" s="5" t="str">
        <f>"何秋仙"</f>
        <v>何秋仙</v>
      </c>
      <c r="E936" s="5" t="str">
        <f t="shared" si="33"/>
        <v>女</v>
      </c>
    </row>
    <row r="937" spans="1:5" ht="30" customHeight="1">
      <c r="A937" s="4">
        <v>935</v>
      </c>
      <c r="B937" s="5" t="str">
        <f>"2644202010111746281347"</f>
        <v>2644202010111746281347</v>
      </c>
      <c r="C937" s="5" t="s">
        <v>14</v>
      </c>
      <c r="D937" s="5" t="str">
        <f>"林宣杉"</f>
        <v>林宣杉</v>
      </c>
      <c r="E937" s="5" t="str">
        <f t="shared" si="33"/>
        <v>女</v>
      </c>
    </row>
    <row r="938" spans="1:5" ht="30" customHeight="1">
      <c r="A938" s="4">
        <v>936</v>
      </c>
      <c r="B938" s="5" t="str">
        <f>"2644202010111832531356"</f>
        <v>2644202010111832531356</v>
      </c>
      <c r="C938" s="5" t="s">
        <v>14</v>
      </c>
      <c r="D938" s="5" t="str">
        <f>"包琳漾"</f>
        <v>包琳漾</v>
      </c>
      <c r="E938" s="5" t="str">
        <f t="shared" si="33"/>
        <v>女</v>
      </c>
    </row>
    <row r="939" spans="1:5" ht="30" customHeight="1">
      <c r="A939" s="4">
        <v>937</v>
      </c>
      <c r="B939" s="5" t="str">
        <f>"2644202010111932101373"</f>
        <v>2644202010111932101373</v>
      </c>
      <c r="C939" s="5" t="s">
        <v>14</v>
      </c>
      <c r="D939" s="5" t="str">
        <f>"吴姝颖"</f>
        <v>吴姝颖</v>
      </c>
      <c r="E939" s="5" t="str">
        <f t="shared" si="33"/>
        <v>女</v>
      </c>
    </row>
    <row r="940" spans="1:5" ht="30" customHeight="1">
      <c r="A940" s="4">
        <v>938</v>
      </c>
      <c r="B940" s="5" t="str">
        <f>"2644202010111942481378"</f>
        <v>2644202010111942481378</v>
      </c>
      <c r="C940" s="5" t="s">
        <v>14</v>
      </c>
      <c r="D940" s="5" t="str">
        <f>"陈壮丽"</f>
        <v>陈壮丽</v>
      </c>
      <c r="E940" s="5" t="str">
        <f t="shared" si="33"/>
        <v>女</v>
      </c>
    </row>
    <row r="941" spans="1:5" ht="30" customHeight="1">
      <c r="A941" s="4">
        <v>939</v>
      </c>
      <c r="B941" s="5" t="str">
        <f>"2644202010111959451385"</f>
        <v>2644202010111959451385</v>
      </c>
      <c r="C941" s="5" t="s">
        <v>14</v>
      </c>
      <c r="D941" s="5" t="str">
        <f>"黄子倩"</f>
        <v>黄子倩</v>
      </c>
      <c r="E941" s="5" t="str">
        <f t="shared" si="33"/>
        <v>女</v>
      </c>
    </row>
    <row r="942" spans="1:5" ht="30" customHeight="1">
      <c r="A942" s="4">
        <v>940</v>
      </c>
      <c r="B942" s="5" t="str">
        <f>"2644202010112044261399"</f>
        <v>2644202010112044261399</v>
      </c>
      <c r="C942" s="5" t="s">
        <v>14</v>
      </c>
      <c r="D942" s="5" t="str">
        <f>"梁咏和  "</f>
        <v>梁咏和  </v>
      </c>
      <c r="E942" s="5" t="str">
        <f>"男"</f>
        <v>男</v>
      </c>
    </row>
    <row r="943" spans="1:5" ht="30" customHeight="1">
      <c r="A943" s="4">
        <v>941</v>
      </c>
      <c r="B943" s="5" t="str">
        <f>"2644202010112049511403"</f>
        <v>2644202010112049511403</v>
      </c>
      <c r="C943" s="5" t="s">
        <v>14</v>
      </c>
      <c r="D943" s="5" t="str">
        <f>"殷少雅"</f>
        <v>殷少雅</v>
      </c>
      <c r="E943" s="5" t="str">
        <f>"女"</f>
        <v>女</v>
      </c>
    </row>
    <row r="944" spans="1:5" ht="30" customHeight="1">
      <c r="A944" s="4">
        <v>942</v>
      </c>
      <c r="B944" s="5" t="str">
        <f>"2644202010112116101410"</f>
        <v>2644202010112116101410</v>
      </c>
      <c r="C944" s="5" t="s">
        <v>14</v>
      </c>
      <c r="D944" s="5" t="str">
        <f>"王海英"</f>
        <v>王海英</v>
      </c>
      <c r="E944" s="5" t="str">
        <f>"女"</f>
        <v>女</v>
      </c>
    </row>
    <row r="945" spans="1:5" ht="30" customHeight="1">
      <c r="A945" s="4">
        <v>943</v>
      </c>
      <c r="B945" s="5" t="str">
        <f>"2644202010112121501414"</f>
        <v>2644202010112121501414</v>
      </c>
      <c r="C945" s="5" t="s">
        <v>14</v>
      </c>
      <c r="D945" s="5" t="str">
        <f>"施伟婷"</f>
        <v>施伟婷</v>
      </c>
      <c r="E945" s="5" t="str">
        <f>"女"</f>
        <v>女</v>
      </c>
    </row>
    <row r="946" spans="1:5" ht="30" customHeight="1">
      <c r="A946" s="4">
        <v>944</v>
      </c>
      <c r="B946" s="5" t="str">
        <f>"2644202010112145361422"</f>
        <v>2644202010112145361422</v>
      </c>
      <c r="C946" s="5" t="s">
        <v>14</v>
      </c>
      <c r="D946" s="5" t="str">
        <f>"吴冠伟"</f>
        <v>吴冠伟</v>
      </c>
      <c r="E946" s="5" t="str">
        <f>"男"</f>
        <v>男</v>
      </c>
    </row>
    <row r="947" spans="1:5" ht="30" customHeight="1">
      <c r="A947" s="4">
        <v>945</v>
      </c>
      <c r="B947" s="5" t="str">
        <f>"2644202010112157191424"</f>
        <v>2644202010112157191424</v>
      </c>
      <c r="C947" s="5" t="s">
        <v>14</v>
      </c>
      <c r="D947" s="5" t="str">
        <f>"张宗勇"</f>
        <v>张宗勇</v>
      </c>
      <c r="E947" s="5" t="str">
        <f>"男"</f>
        <v>男</v>
      </c>
    </row>
    <row r="948" spans="1:5" ht="30" customHeight="1">
      <c r="A948" s="4">
        <v>946</v>
      </c>
      <c r="B948" s="5" t="str">
        <f>"2644202010112227291434"</f>
        <v>2644202010112227291434</v>
      </c>
      <c r="C948" s="5" t="s">
        <v>14</v>
      </c>
      <c r="D948" s="5" t="str">
        <f>"彭碧滢"</f>
        <v>彭碧滢</v>
      </c>
      <c r="E948" s="5" t="str">
        <f aca="true" t="shared" si="34" ref="E948:E956">"女"</f>
        <v>女</v>
      </c>
    </row>
    <row r="949" spans="1:5" ht="30" customHeight="1">
      <c r="A949" s="4">
        <v>947</v>
      </c>
      <c r="B949" s="5" t="str">
        <f>"2644202010120840351468"</f>
        <v>2644202010120840351468</v>
      </c>
      <c r="C949" s="5" t="s">
        <v>14</v>
      </c>
      <c r="D949" s="5" t="str">
        <f>"冯文思"</f>
        <v>冯文思</v>
      </c>
      <c r="E949" s="5" t="str">
        <f t="shared" si="34"/>
        <v>女</v>
      </c>
    </row>
    <row r="950" spans="1:5" ht="30" customHeight="1">
      <c r="A950" s="4">
        <v>948</v>
      </c>
      <c r="B950" s="5" t="str">
        <f>"2644202010120856141470"</f>
        <v>2644202010120856141470</v>
      </c>
      <c r="C950" s="5" t="s">
        <v>14</v>
      </c>
      <c r="D950" s="5" t="str">
        <f>"吴芮"</f>
        <v>吴芮</v>
      </c>
      <c r="E950" s="5" t="str">
        <f t="shared" si="34"/>
        <v>女</v>
      </c>
    </row>
    <row r="951" spans="1:5" ht="30" customHeight="1">
      <c r="A951" s="4">
        <v>949</v>
      </c>
      <c r="B951" s="5" t="str">
        <f>"2644202010120859441472"</f>
        <v>2644202010120859441472</v>
      </c>
      <c r="C951" s="5" t="s">
        <v>14</v>
      </c>
      <c r="D951" s="5" t="str">
        <f>"陆宣后"</f>
        <v>陆宣后</v>
      </c>
      <c r="E951" s="5" t="str">
        <f t="shared" si="34"/>
        <v>女</v>
      </c>
    </row>
    <row r="952" spans="1:5" ht="30" customHeight="1">
      <c r="A952" s="4">
        <v>950</v>
      </c>
      <c r="B952" s="5" t="str">
        <f>"2644202010121128471535"</f>
        <v>2644202010121128471535</v>
      </c>
      <c r="C952" s="5" t="s">
        <v>14</v>
      </c>
      <c r="D952" s="5" t="str">
        <f>"林升敏"</f>
        <v>林升敏</v>
      </c>
      <c r="E952" s="5" t="str">
        <f t="shared" si="34"/>
        <v>女</v>
      </c>
    </row>
    <row r="953" spans="1:5" ht="30" customHeight="1">
      <c r="A953" s="4">
        <v>951</v>
      </c>
      <c r="B953" s="5" t="str">
        <f>"2644202010121202381551"</f>
        <v>2644202010121202381551</v>
      </c>
      <c r="C953" s="5" t="s">
        <v>14</v>
      </c>
      <c r="D953" s="5" t="str">
        <f>"李秋娟"</f>
        <v>李秋娟</v>
      </c>
      <c r="E953" s="5" t="str">
        <f t="shared" si="34"/>
        <v>女</v>
      </c>
    </row>
    <row r="954" spans="1:5" ht="30" customHeight="1">
      <c r="A954" s="4">
        <v>952</v>
      </c>
      <c r="B954" s="5" t="str">
        <f>"2644202010121223031556"</f>
        <v>2644202010121223031556</v>
      </c>
      <c r="C954" s="5" t="s">
        <v>14</v>
      </c>
      <c r="D954" s="5" t="str">
        <f>"卓小娜"</f>
        <v>卓小娜</v>
      </c>
      <c r="E954" s="5" t="str">
        <f t="shared" si="34"/>
        <v>女</v>
      </c>
    </row>
    <row r="955" spans="1:5" ht="30" customHeight="1">
      <c r="A955" s="4">
        <v>953</v>
      </c>
      <c r="B955" s="5" t="str">
        <f>"2644202010121232141557"</f>
        <v>2644202010121232141557</v>
      </c>
      <c r="C955" s="5" t="s">
        <v>14</v>
      </c>
      <c r="D955" s="5" t="str">
        <f>"王佳欣"</f>
        <v>王佳欣</v>
      </c>
      <c r="E955" s="5" t="str">
        <f t="shared" si="34"/>
        <v>女</v>
      </c>
    </row>
    <row r="956" spans="1:5" ht="30" customHeight="1">
      <c r="A956" s="4">
        <v>954</v>
      </c>
      <c r="B956" s="5" t="str">
        <f>"2644202010121316041566"</f>
        <v>2644202010121316041566</v>
      </c>
      <c r="C956" s="5" t="s">
        <v>14</v>
      </c>
      <c r="D956" s="5" t="str">
        <f>"王少青"</f>
        <v>王少青</v>
      </c>
      <c r="E956" s="5" t="str">
        <f t="shared" si="34"/>
        <v>女</v>
      </c>
    </row>
    <row r="957" spans="1:5" ht="30" customHeight="1">
      <c r="A957" s="4">
        <v>955</v>
      </c>
      <c r="B957" s="5" t="str">
        <f>"2644202010121527081617"</f>
        <v>2644202010121527081617</v>
      </c>
      <c r="C957" s="5" t="s">
        <v>14</v>
      </c>
      <c r="D957" s="5" t="str">
        <f>"郭绍远"</f>
        <v>郭绍远</v>
      </c>
      <c r="E957" s="5" t="str">
        <f>"男"</f>
        <v>男</v>
      </c>
    </row>
    <row r="958" spans="1:5" ht="30" customHeight="1">
      <c r="A958" s="4">
        <v>956</v>
      </c>
      <c r="B958" s="5" t="str">
        <f>"2644202010121547001625"</f>
        <v>2644202010121547001625</v>
      </c>
      <c r="C958" s="5" t="s">
        <v>14</v>
      </c>
      <c r="D958" s="5" t="str">
        <f>"何庆罴"</f>
        <v>何庆罴</v>
      </c>
      <c r="E958" s="5" t="str">
        <f>"女"</f>
        <v>女</v>
      </c>
    </row>
    <row r="959" spans="1:5" ht="30" customHeight="1">
      <c r="A959" s="4">
        <v>957</v>
      </c>
      <c r="B959" s="5" t="str">
        <f>"2644202010121555091629"</f>
        <v>2644202010121555091629</v>
      </c>
      <c r="C959" s="5" t="s">
        <v>14</v>
      </c>
      <c r="D959" s="5" t="str">
        <f>"林瑄"</f>
        <v>林瑄</v>
      </c>
      <c r="E959" s="5" t="str">
        <f>"女"</f>
        <v>女</v>
      </c>
    </row>
    <row r="960" spans="1:5" ht="30" customHeight="1">
      <c r="A960" s="4">
        <v>958</v>
      </c>
      <c r="B960" s="5" t="str">
        <f>"2644202010121618121640"</f>
        <v>2644202010121618121640</v>
      </c>
      <c r="C960" s="5" t="s">
        <v>14</v>
      </c>
      <c r="D960" s="5" t="str">
        <f>"王金林"</f>
        <v>王金林</v>
      </c>
      <c r="E960" s="5" t="str">
        <f>"女"</f>
        <v>女</v>
      </c>
    </row>
    <row r="961" spans="1:5" ht="30" customHeight="1">
      <c r="A961" s="4">
        <v>959</v>
      </c>
      <c r="B961" s="5" t="str">
        <f>"2644202010121621231642"</f>
        <v>2644202010121621231642</v>
      </c>
      <c r="C961" s="5" t="s">
        <v>14</v>
      </c>
      <c r="D961" s="5" t="str">
        <f>"李选丽"</f>
        <v>李选丽</v>
      </c>
      <c r="E961" s="5" t="str">
        <f>"女"</f>
        <v>女</v>
      </c>
    </row>
    <row r="962" spans="1:5" ht="30" customHeight="1">
      <c r="A962" s="4">
        <v>960</v>
      </c>
      <c r="B962" s="5" t="str">
        <f>"2644202010121708471653"</f>
        <v>2644202010121708471653</v>
      </c>
      <c r="C962" s="5" t="s">
        <v>14</v>
      </c>
      <c r="D962" s="5" t="str">
        <f>"蔡於顿"</f>
        <v>蔡於顿</v>
      </c>
      <c r="E962" s="5" t="str">
        <f>"男"</f>
        <v>男</v>
      </c>
    </row>
    <row r="963" spans="1:5" ht="30" customHeight="1">
      <c r="A963" s="4">
        <v>961</v>
      </c>
      <c r="B963" s="5" t="str">
        <f>"2644202010121950221690"</f>
        <v>2644202010121950221690</v>
      </c>
      <c r="C963" s="5" t="s">
        <v>14</v>
      </c>
      <c r="D963" s="5" t="str">
        <f>"刘叶"</f>
        <v>刘叶</v>
      </c>
      <c r="E963" s="5" t="str">
        <f aca="true" t="shared" si="35" ref="E963:E973">"女"</f>
        <v>女</v>
      </c>
    </row>
    <row r="964" spans="1:5" ht="30" customHeight="1">
      <c r="A964" s="4">
        <v>962</v>
      </c>
      <c r="B964" s="5" t="str">
        <f>"2644202010121958241692"</f>
        <v>2644202010121958241692</v>
      </c>
      <c r="C964" s="5" t="s">
        <v>14</v>
      </c>
      <c r="D964" s="5" t="str">
        <f>"王长女"</f>
        <v>王长女</v>
      </c>
      <c r="E964" s="5" t="str">
        <f t="shared" si="35"/>
        <v>女</v>
      </c>
    </row>
    <row r="965" spans="1:5" ht="30" customHeight="1">
      <c r="A965" s="4">
        <v>963</v>
      </c>
      <c r="B965" s="5" t="str">
        <f>"2644202010122029391699"</f>
        <v>2644202010122029391699</v>
      </c>
      <c r="C965" s="5" t="s">
        <v>14</v>
      </c>
      <c r="D965" s="5" t="str">
        <f>"钟慧雯"</f>
        <v>钟慧雯</v>
      </c>
      <c r="E965" s="5" t="str">
        <f t="shared" si="35"/>
        <v>女</v>
      </c>
    </row>
    <row r="966" spans="1:5" ht="30" customHeight="1">
      <c r="A966" s="4">
        <v>964</v>
      </c>
      <c r="B966" s="5" t="str">
        <f>"2644202010122047111706"</f>
        <v>2644202010122047111706</v>
      </c>
      <c r="C966" s="5" t="s">
        <v>14</v>
      </c>
      <c r="D966" s="5" t="str">
        <f>"梁颖"</f>
        <v>梁颖</v>
      </c>
      <c r="E966" s="5" t="str">
        <f t="shared" si="35"/>
        <v>女</v>
      </c>
    </row>
    <row r="967" spans="1:5" ht="30" customHeight="1">
      <c r="A967" s="4">
        <v>965</v>
      </c>
      <c r="B967" s="5" t="str">
        <f>"2644202010122117591718"</f>
        <v>2644202010122117591718</v>
      </c>
      <c r="C967" s="5" t="s">
        <v>14</v>
      </c>
      <c r="D967" s="5" t="str">
        <f>"刘玲"</f>
        <v>刘玲</v>
      </c>
      <c r="E967" s="5" t="str">
        <f t="shared" si="35"/>
        <v>女</v>
      </c>
    </row>
    <row r="968" spans="1:5" ht="30" customHeight="1">
      <c r="A968" s="4">
        <v>966</v>
      </c>
      <c r="B968" s="5" t="str">
        <f>"2644202010122125211721"</f>
        <v>2644202010122125211721</v>
      </c>
      <c r="C968" s="5" t="s">
        <v>14</v>
      </c>
      <c r="D968" s="5" t="str">
        <f>" 韩杏蜜"</f>
        <v> 韩杏蜜</v>
      </c>
      <c r="E968" s="5" t="str">
        <f t="shared" si="35"/>
        <v>女</v>
      </c>
    </row>
    <row r="969" spans="1:5" ht="30" customHeight="1">
      <c r="A969" s="4">
        <v>967</v>
      </c>
      <c r="B969" s="5" t="str">
        <f>"2644202010122141411724"</f>
        <v>2644202010122141411724</v>
      </c>
      <c r="C969" s="5" t="s">
        <v>14</v>
      </c>
      <c r="D969" s="5" t="str">
        <f>"林彩玉"</f>
        <v>林彩玉</v>
      </c>
      <c r="E969" s="5" t="str">
        <f t="shared" si="35"/>
        <v>女</v>
      </c>
    </row>
    <row r="970" spans="1:5" ht="30" customHeight="1">
      <c r="A970" s="4">
        <v>968</v>
      </c>
      <c r="B970" s="5" t="str">
        <f>"2644202010122247071741"</f>
        <v>2644202010122247071741</v>
      </c>
      <c r="C970" s="5" t="s">
        <v>14</v>
      </c>
      <c r="D970" s="5" t="str">
        <f>"陈莹"</f>
        <v>陈莹</v>
      </c>
      <c r="E970" s="5" t="str">
        <f t="shared" si="35"/>
        <v>女</v>
      </c>
    </row>
    <row r="971" spans="1:5" ht="30" customHeight="1">
      <c r="A971" s="4">
        <v>969</v>
      </c>
      <c r="B971" s="5" t="str">
        <f>"2644202010122252201743"</f>
        <v>2644202010122252201743</v>
      </c>
      <c r="C971" s="5" t="s">
        <v>14</v>
      </c>
      <c r="D971" s="5" t="str">
        <f>"陈舒琪"</f>
        <v>陈舒琪</v>
      </c>
      <c r="E971" s="5" t="str">
        <f t="shared" si="35"/>
        <v>女</v>
      </c>
    </row>
    <row r="972" spans="1:5" ht="30" customHeight="1">
      <c r="A972" s="4">
        <v>970</v>
      </c>
      <c r="B972" s="5" t="str">
        <f>"2644202010122312131747"</f>
        <v>2644202010122312131747</v>
      </c>
      <c r="C972" s="5" t="s">
        <v>14</v>
      </c>
      <c r="D972" s="5" t="str">
        <f>"陈洁"</f>
        <v>陈洁</v>
      </c>
      <c r="E972" s="5" t="str">
        <f t="shared" si="35"/>
        <v>女</v>
      </c>
    </row>
    <row r="973" spans="1:5" ht="30" customHeight="1">
      <c r="A973" s="4">
        <v>971</v>
      </c>
      <c r="B973" s="5" t="str">
        <f>"2644202010130017291755"</f>
        <v>2644202010130017291755</v>
      </c>
      <c r="C973" s="5" t="s">
        <v>14</v>
      </c>
      <c r="D973" s="5" t="str">
        <f>"戴海丹"</f>
        <v>戴海丹</v>
      </c>
      <c r="E973" s="5" t="str">
        <f t="shared" si="35"/>
        <v>女</v>
      </c>
    </row>
    <row r="974" spans="1:5" ht="30" customHeight="1">
      <c r="A974" s="4">
        <v>972</v>
      </c>
      <c r="B974" s="5" t="str">
        <f>"2644202010130035261758"</f>
        <v>2644202010130035261758</v>
      </c>
      <c r="C974" s="5" t="s">
        <v>14</v>
      </c>
      <c r="D974" s="5" t="str">
        <f>"王仁彦"</f>
        <v>王仁彦</v>
      </c>
      <c r="E974" s="5" t="str">
        <f>"男"</f>
        <v>男</v>
      </c>
    </row>
    <row r="975" spans="1:5" ht="30" customHeight="1">
      <c r="A975" s="4">
        <v>973</v>
      </c>
      <c r="B975" s="5" t="str">
        <f>"2644202010130834011764"</f>
        <v>2644202010130834011764</v>
      </c>
      <c r="C975" s="5" t="s">
        <v>14</v>
      </c>
      <c r="D975" s="5" t="str">
        <f>"符健鹤"</f>
        <v>符健鹤</v>
      </c>
      <c r="E975" s="5" t="str">
        <f aca="true" t="shared" si="36" ref="E975:E983">"女"</f>
        <v>女</v>
      </c>
    </row>
    <row r="976" spans="1:5" ht="30" customHeight="1">
      <c r="A976" s="4">
        <v>974</v>
      </c>
      <c r="B976" s="5" t="str">
        <f>"2644202010130938531789"</f>
        <v>2644202010130938531789</v>
      </c>
      <c r="C976" s="5" t="s">
        <v>14</v>
      </c>
      <c r="D976" s="5" t="str">
        <f>"王蕊"</f>
        <v>王蕊</v>
      </c>
      <c r="E976" s="5" t="str">
        <f t="shared" si="36"/>
        <v>女</v>
      </c>
    </row>
    <row r="977" spans="1:5" ht="30" customHeight="1">
      <c r="A977" s="4">
        <v>975</v>
      </c>
      <c r="B977" s="5" t="str">
        <f>"2644202010131005131798"</f>
        <v>2644202010131005131798</v>
      </c>
      <c r="C977" s="5" t="s">
        <v>14</v>
      </c>
      <c r="D977" s="5" t="str">
        <f>"郑媛元"</f>
        <v>郑媛元</v>
      </c>
      <c r="E977" s="5" t="str">
        <f t="shared" si="36"/>
        <v>女</v>
      </c>
    </row>
    <row r="978" spans="1:5" ht="30" customHeight="1">
      <c r="A978" s="4">
        <v>976</v>
      </c>
      <c r="B978" s="5" t="str">
        <f>"2644202010131030331807"</f>
        <v>2644202010131030331807</v>
      </c>
      <c r="C978" s="5" t="s">
        <v>14</v>
      </c>
      <c r="D978" s="5" t="str">
        <f>"吴涵秋"</f>
        <v>吴涵秋</v>
      </c>
      <c r="E978" s="5" t="str">
        <f t="shared" si="36"/>
        <v>女</v>
      </c>
    </row>
    <row r="979" spans="1:5" ht="30" customHeight="1">
      <c r="A979" s="4">
        <v>977</v>
      </c>
      <c r="B979" s="5" t="str">
        <f>"2644202010131324191858"</f>
        <v>2644202010131324191858</v>
      </c>
      <c r="C979" s="5" t="s">
        <v>14</v>
      </c>
      <c r="D979" s="5" t="str">
        <f>"王妹"</f>
        <v>王妹</v>
      </c>
      <c r="E979" s="5" t="str">
        <f t="shared" si="36"/>
        <v>女</v>
      </c>
    </row>
    <row r="980" spans="1:5" ht="30" customHeight="1">
      <c r="A980" s="4">
        <v>978</v>
      </c>
      <c r="B980" s="5" t="str">
        <f>"2644202010131324541859"</f>
        <v>2644202010131324541859</v>
      </c>
      <c r="C980" s="5" t="s">
        <v>14</v>
      </c>
      <c r="D980" s="5" t="str">
        <f>"杜桢"</f>
        <v>杜桢</v>
      </c>
      <c r="E980" s="5" t="str">
        <f t="shared" si="36"/>
        <v>女</v>
      </c>
    </row>
    <row r="981" spans="1:5" ht="30" customHeight="1">
      <c r="A981" s="4">
        <v>979</v>
      </c>
      <c r="B981" s="5" t="str">
        <f>"2644202010131341421862"</f>
        <v>2644202010131341421862</v>
      </c>
      <c r="C981" s="5" t="s">
        <v>14</v>
      </c>
      <c r="D981" s="5" t="str">
        <f>"张赛楠"</f>
        <v>张赛楠</v>
      </c>
      <c r="E981" s="5" t="str">
        <f t="shared" si="36"/>
        <v>女</v>
      </c>
    </row>
    <row r="982" spans="1:5" ht="30" customHeight="1">
      <c r="A982" s="4">
        <v>980</v>
      </c>
      <c r="B982" s="5" t="str">
        <f>"2644202010131359521865"</f>
        <v>2644202010131359521865</v>
      </c>
      <c r="C982" s="5" t="s">
        <v>14</v>
      </c>
      <c r="D982" s="5" t="str">
        <f>"卓诗婧"</f>
        <v>卓诗婧</v>
      </c>
      <c r="E982" s="5" t="str">
        <f t="shared" si="36"/>
        <v>女</v>
      </c>
    </row>
    <row r="983" spans="1:5" ht="30" customHeight="1">
      <c r="A983" s="4">
        <v>981</v>
      </c>
      <c r="B983" s="5" t="str">
        <f>"2644202010131431461873"</f>
        <v>2644202010131431461873</v>
      </c>
      <c r="C983" s="5" t="s">
        <v>14</v>
      </c>
      <c r="D983" s="5" t="str">
        <f>"吴凌妹"</f>
        <v>吴凌妹</v>
      </c>
      <c r="E983" s="5" t="str">
        <f t="shared" si="36"/>
        <v>女</v>
      </c>
    </row>
    <row r="984" spans="1:5" ht="30" customHeight="1">
      <c r="A984" s="4">
        <v>982</v>
      </c>
      <c r="B984" s="5" t="str">
        <f>"2644202010131436351874"</f>
        <v>2644202010131436351874</v>
      </c>
      <c r="C984" s="5" t="s">
        <v>14</v>
      </c>
      <c r="D984" s="5" t="str">
        <f>"莫绪钟"</f>
        <v>莫绪钟</v>
      </c>
      <c r="E984" s="5" t="str">
        <f>"男"</f>
        <v>男</v>
      </c>
    </row>
    <row r="985" spans="1:5" ht="30" customHeight="1">
      <c r="A985" s="4">
        <v>983</v>
      </c>
      <c r="B985" s="5" t="str">
        <f>"2644202010131451031880"</f>
        <v>2644202010131451031880</v>
      </c>
      <c r="C985" s="5" t="s">
        <v>14</v>
      </c>
      <c r="D985" s="5" t="str">
        <f>"陈蓓淑"</f>
        <v>陈蓓淑</v>
      </c>
      <c r="E985" s="5" t="str">
        <f aca="true" t="shared" si="37" ref="E985:E998">"女"</f>
        <v>女</v>
      </c>
    </row>
    <row r="986" spans="1:5" ht="30" customHeight="1">
      <c r="A986" s="4">
        <v>984</v>
      </c>
      <c r="B986" s="5" t="str">
        <f>"2644202010131501341882"</f>
        <v>2644202010131501341882</v>
      </c>
      <c r="C986" s="5" t="s">
        <v>14</v>
      </c>
      <c r="D986" s="5" t="str">
        <f>"杨绮萱"</f>
        <v>杨绮萱</v>
      </c>
      <c r="E986" s="5" t="str">
        <f t="shared" si="37"/>
        <v>女</v>
      </c>
    </row>
    <row r="987" spans="1:5" ht="30" customHeight="1">
      <c r="A987" s="4">
        <v>985</v>
      </c>
      <c r="B987" s="5" t="str">
        <f>"2644202010131526011889"</f>
        <v>2644202010131526011889</v>
      </c>
      <c r="C987" s="5" t="s">
        <v>14</v>
      </c>
      <c r="D987" s="5" t="str">
        <f>"王秀玲"</f>
        <v>王秀玲</v>
      </c>
      <c r="E987" s="5" t="str">
        <f t="shared" si="37"/>
        <v>女</v>
      </c>
    </row>
    <row r="988" spans="1:5" ht="30" customHeight="1">
      <c r="A988" s="4">
        <v>986</v>
      </c>
      <c r="B988" s="5" t="str">
        <f>"2644202010131535021895"</f>
        <v>2644202010131535021895</v>
      </c>
      <c r="C988" s="5" t="s">
        <v>14</v>
      </c>
      <c r="D988" s="5" t="str">
        <f>"邓雅欣"</f>
        <v>邓雅欣</v>
      </c>
      <c r="E988" s="5" t="str">
        <f t="shared" si="37"/>
        <v>女</v>
      </c>
    </row>
    <row r="989" spans="1:5" ht="30" customHeight="1">
      <c r="A989" s="4">
        <v>987</v>
      </c>
      <c r="B989" s="5" t="str">
        <f>"2644202010131542491899"</f>
        <v>2644202010131542491899</v>
      </c>
      <c r="C989" s="5" t="s">
        <v>14</v>
      </c>
      <c r="D989" s="5" t="str">
        <f>"符玉亭"</f>
        <v>符玉亭</v>
      </c>
      <c r="E989" s="5" t="str">
        <f t="shared" si="37"/>
        <v>女</v>
      </c>
    </row>
    <row r="990" spans="1:5" ht="30" customHeight="1">
      <c r="A990" s="4">
        <v>988</v>
      </c>
      <c r="B990" s="5" t="str">
        <f>"2644202010131640371916"</f>
        <v>2644202010131640371916</v>
      </c>
      <c r="C990" s="5" t="s">
        <v>14</v>
      </c>
      <c r="D990" s="5" t="str">
        <f>"吉训萍"</f>
        <v>吉训萍</v>
      </c>
      <c r="E990" s="5" t="str">
        <f t="shared" si="37"/>
        <v>女</v>
      </c>
    </row>
    <row r="991" spans="1:5" ht="30" customHeight="1">
      <c r="A991" s="4">
        <v>989</v>
      </c>
      <c r="B991" s="5" t="str">
        <f>"2644202010131752041930"</f>
        <v>2644202010131752041930</v>
      </c>
      <c r="C991" s="5" t="s">
        <v>14</v>
      </c>
      <c r="D991" s="5" t="str">
        <f>"王晶晶"</f>
        <v>王晶晶</v>
      </c>
      <c r="E991" s="5" t="str">
        <f t="shared" si="37"/>
        <v>女</v>
      </c>
    </row>
    <row r="992" spans="1:5" ht="30" customHeight="1">
      <c r="A992" s="4">
        <v>990</v>
      </c>
      <c r="B992" s="5" t="str">
        <f>"2644202010131752271931"</f>
        <v>2644202010131752271931</v>
      </c>
      <c r="C992" s="5" t="s">
        <v>14</v>
      </c>
      <c r="D992" s="5" t="str">
        <f>"柯萍"</f>
        <v>柯萍</v>
      </c>
      <c r="E992" s="5" t="str">
        <f t="shared" si="37"/>
        <v>女</v>
      </c>
    </row>
    <row r="993" spans="1:5" ht="30" customHeight="1">
      <c r="A993" s="4">
        <v>991</v>
      </c>
      <c r="B993" s="5" t="str">
        <f>"2644202010131937581950"</f>
        <v>2644202010131937581950</v>
      </c>
      <c r="C993" s="5" t="s">
        <v>14</v>
      </c>
      <c r="D993" s="5" t="str">
        <f>"符秋果"</f>
        <v>符秋果</v>
      </c>
      <c r="E993" s="5" t="str">
        <f t="shared" si="37"/>
        <v>女</v>
      </c>
    </row>
    <row r="994" spans="1:5" ht="30" customHeight="1">
      <c r="A994" s="4">
        <v>992</v>
      </c>
      <c r="B994" s="5" t="str">
        <f>"2644202010132054321967"</f>
        <v>2644202010132054321967</v>
      </c>
      <c r="C994" s="5" t="s">
        <v>14</v>
      </c>
      <c r="D994" s="5" t="str">
        <f>"符金燕"</f>
        <v>符金燕</v>
      </c>
      <c r="E994" s="5" t="str">
        <f t="shared" si="37"/>
        <v>女</v>
      </c>
    </row>
    <row r="995" spans="1:5" ht="30" customHeight="1">
      <c r="A995" s="4">
        <v>993</v>
      </c>
      <c r="B995" s="5" t="str">
        <f>"2644202010132103381970"</f>
        <v>2644202010132103381970</v>
      </c>
      <c r="C995" s="5" t="s">
        <v>14</v>
      </c>
      <c r="D995" s="5" t="str">
        <f>"何丽莉"</f>
        <v>何丽莉</v>
      </c>
      <c r="E995" s="5" t="str">
        <f t="shared" si="37"/>
        <v>女</v>
      </c>
    </row>
    <row r="996" spans="1:5" ht="30" customHeight="1">
      <c r="A996" s="4">
        <v>994</v>
      </c>
      <c r="B996" s="5" t="str">
        <f>"2644202010132125261975"</f>
        <v>2644202010132125261975</v>
      </c>
      <c r="C996" s="5" t="s">
        <v>14</v>
      </c>
      <c r="D996" s="5" t="str">
        <f>"蔡芊芊"</f>
        <v>蔡芊芊</v>
      </c>
      <c r="E996" s="5" t="str">
        <f t="shared" si="37"/>
        <v>女</v>
      </c>
    </row>
    <row r="997" spans="1:5" ht="30" customHeight="1">
      <c r="A997" s="4">
        <v>995</v>
      </c>
      <c r="B997" s="5" t="str">
        <f>"2644202010132217301995"</f>
        <v>2644202010132217301995</v>
      </c>
      <c r="C997" s="5" t="s">
        <v>14</v>
      </c>
      <c r="D997" s="5" t="str">
        <f>"陈言纯"</f>
        <v>陈言纯</v>
      </c>
      <c r="E997" s="5" t="str">
        <f t="shared" si="37"/>
        <v>女</v>
      </c>
    </row>
    <row r="998" spans="1:5" ht="30" customHeight="1">
      <c r="A998" s="4">
        <v>996</v>
      </c>
      <c r="B998" s="5" t="str">
        <f>"2644202010132320032011"</f>
        <v>2644202010132320032011</v>
      </c>
      <c r="C998" s="5" t="s">
        <v>14</v>
      </c>
      <c r="D998" s="5" t="str">
        <f>"孙露露"</f>
        <v>孙露露</v>
      </c>
      <c r="E998" s="5" t="str">
        <f t="shared" si="37"/>
        <v>女</v>
      </c>
    </row>
    <row r="999" spans="1:5" ht="30" customHeight="1">
      <c r="A999" s="4">
        <v>997</v>
      </c>
      <c r="B999" s="5" t="str">
        <f>"2644202010141039452059"</f>
        <v>2644202010141039452059</v>
      </c>
      <c r="C999" s="5" t="s">
        <v>14</v>
      </c>
      <c r="D999" s="5" t="str">
        <f>"郭金仁"</f>
        <v>郭金仁</v>
      </c>
      <c r="E999" s="5" t="str">
        <f>"男"</f>
        <v>男</v>
      </c>
    </row>
    <row r="1000" spans="1:5" ht="30" customHeight="1">
      <c r="A1000" s="4">
        <v>998</v>
      </c>
      <c r="B1000" s="5" t="str">
        <f>"2644202010141125572066"</f>
        <v>2644202010141125572066</v>
      </c>
      <c r="C1000" s="5" t="s">
        <v>14</v>
      </c>
      <c r="D1000" s="5" t="str">
        <f>"黎怡君"</f>
        <v>黎怡君</v>
      </c>
      <c r="E1000" s="5" t="str">
        <f>"女"</f>
        <v>女</v>
      </c>
    </row>
    <row r="1001" spans="1:5" ht="30" customHeight="1">
      <c r="A1001" s="4">
        <v>999</v>
      </c>
      <c r="B1001" s="5" t="str">
        <f>"2644202010141156242074"</f>
        <v>2644202010141156242074</v>
      </c>
      <c r="C1001" s="5" t="s">
        <v>14</v>
      </c>
      <c r="D1001" s="5" t="str">
        <f>"陈可昕"</f>
        <v>陈可昕</v>
      </c>
      <c r="E1001" s="5" t="str">
        <f>"女"</f>
        <v>女</v>
      </c>
    </row>
    <row r="1002" spans="1:5" ht="30" customHeight="1">
      <c r="A1002" s="4">
        <v>1000</v>
      </c>
      <c r="B1002" s="5" t="str">
        <f>"2644202010141233022087"</f>
        <v>2644202010141233022087</v>
      </c>
      <c r="C1002" s="5" t="s">
        <v>14</v>
      </c>
      <c r="D1002" s="5" t="str">
        <f>"文万祝"</f>
        <v>文万祝</v>
      </c>
      <c r="E1002" s="5" t="str">
        <f>"男"</f>
        <v>男</v>
      </c>
    </row>
    <row r="1003" spans="1:5" ht="30" customHeight="1">
      <c r="A1003" s="4">
        <v>1001</v>
      </c>
      <c r="B1003" s="5" t="str">
        <f>"2644202010141241292088"</f>
        <v>2644202010141241292088</v>
      </c>
      <c r="C1003" s="5" t="s">
        <v>14</v>
      </c>
      <c r="D1003" s="5" t="str">
        <f>"谢婕妤"</f>
        <v>谢婕妤</v>
      </c>
      <c r="E1003" s="5" t="str">
        <f>"女"</f>
        <v>女</v>
      </c>
    </row>
    <row r="1004" spans="1:5" ht="30" customHeight="1">
      <c r="A1004" s="4">
        <v>1002</v>
      </c>
      <c r="B1004" s="5" t="str">
        <f>"2644202010141338042097"</f>
        <v>2644202010141338042097</v>
      </c>
      <c r="C1004" s="5" t="s">
        <v>14</v>
      </c>
      <c r="D1004" s="5" t="str">
        <f>"邓玉金"</f>
        <v>邓玉金</v>
      </c>
      <c r="E1004" s="5" t="str">
        <f>"女"</f>
        <v>女</v>
      </c>
    </row>
    <row r="1005" spans="1:5" ht="30" customHeight="1">
      <c r="A1005" s="4">
        <v>1003</v>
      </c>
      <c r="B1005" s="5" t="str">
        <f>"2644202010141440022112"</f>
        <v>2644202010141440022112</v>
      </c>
      <c r="C1005" s="5" t="s">
        <v>14</v>
      </c>
      <c r="D1005" s="5" t="str">
        <f>"梁宇"</f>
        <v>梁宇</v>
      </c>
      <c r="E1005" s="5" t="str">
        <f>"女"</f>
        <v>女</v>
      </c>
    </row>
    <row r="1006" spans="1:5" ht="30" customHeight="1">
      <c r="A1006" s="4">
        <v>1004</v>
      </c>
      <c r="B1006" s="5" t="str">
        <f>"2644202010141620582154"</f>
        <v>2644202010141620582154</v>
      </c>
      <c r="C1006" s="5" t="s">
        <v>14</v>
      </c>
      <c r="D1006" s="5" t="str">
        <f>"王琳"</f>
        <v>王琳</v>
      </c>
      <c r="E1006" s="5" t="str">
        <f>"女"</f>
        <v>女</v>
      </c>
    </row>
    <row r="1007" spans="1:5" ht="30" customHeight="1">
      <c r="A1007" s="4">
        <v>1005</v>
      </c>
      <c r="B1007" s="5" t="str">
        <f>"2644202010141816202185"</f>
        <v>2644202010141816202185</v>
      </c>
      <c r="C1007" s="5" t="s">
        <v>14</v>
      </c>
      <c r="D1007" s="5" t="str">
        <f>"杨玉洁"</f>
        <v>杨玉洁</v>
      </c>
      <c r="E1007" s="5" t="str">
        <f>"女"</f>
        <v>女</v>
      </c>
    </row>
    <row r="1008" spans="1:5" ht="30" customHeight="1">
      <c r="A1008" s="4">
        <v>1006</v>
      </c>
      <c r="B1008" s="5" t="str">
        <f>"2644202010141831342189"</f>
        <v>2644202010141831342189</v>
      </c>
      <c r="C1008" s="5" t="s">
        <v>14</v>
      </c>
      <c r="D1008" s="5" t="str">
        <f>"容伟栋"</f>
        <v>容伟栋</v>
      </c>
      <c r="E1008" s="5" t="str">
        <f>"男"</f>
        <v>男</v>
      </c>
    </row>
    <row r="1009" spans="1:5" ht="30" customHeight="1">
      <c r="A1009" s="4">
        <v>1007</v>
      </c>
      <c r="B1009" s="5" t="str">
        <f>"2644202010141946482213"</f>
        <v>2644202010141946482213</v>
      </c>
      <c r="C1009" s="5" t="s">
        <v>14</v>
      </c>
      <c r="D1009" s="5" t="str">
        <f>"陈二英"</f>
        <v>陈二英</v>
      </c>
      <c r="E1009" s="5" t="str">
        <f>"女"</f>
        <v>女</v>
      </c>
    </row>
    <row r="1010" spans="1:5" ht="30" customHeight="1">
      <c r="A1010" s="4">
        <v>1008</v>
      </c>
      <c r="B1010" s="5" t="str">
        <f>"2644202010142033162232"</f>
        <v>2644202010142033162232</v>
      </c>
      <c r="C1010" s="5" t="s">
        <v>14</v>
      </c>
      <c r="D1010" s="5" t="str">
        <f>"张岚岚"</f>
        <v>张岚岚</v>
      </c>
      <c r="E1010" s="5" t="str">
        <f>"女"</f>
        <v>女</v>
      </c>
    </row>
    <row r="1011" spans="1:5" ht="30" customHeight="1">
      <c r="A1011" s="4">
        <v>1009</v>
      </c>
      <c r="B1011" s="5" t="str">
        <f>"2644202010142121302246"</f>
        <v>2644202010142121302246</v>
      </c>
      <c r="C1011" s="5" t="s">
        <v>14</v>
      </c>
      <c r="D1011" s="5" t="str">
        <f>"叶润泽"</f>
        <v>叶润泽</v>
      </c>
      <c r="E1011" s="5" t="str">
        <f>"男"</f>
        <v>男</v>
      </c>
    </row>
    <row r="1012" spans="1:5" ht="30" customHeight="1">
      <c r="A1012" s="4">
        <v>1010</v>
      </c>
      <c r="B1012" s="5" t="str">
        <f>"2644202010142140112250"</f>
        <v>2644202010142140112250</v>
      </c>
      <c r="C1012" s="5" t="s">
        <v>14</v>
      </c>
      <c r="D1012" s="5" t="str">
        <f>"代秋姗"</f>
        <v>代秋姗</v>
      </c>
      <c r="E1012" s="5" t="str">
        <f>"女"</f>
        <v>女</v>
      </c>
    </row>
    <row r="1013" spans="1:5" ht="30" customHeight="1">
      <c r="A1013" s="4">
        <v>1011</v>
      </c>
      <c r="B1013" s="5" t="str">
        <f>"2644202010142210422265"</f>
        <v>2644202010142210422265</v>
      </c>
      <c r="C1013" s="5" t="s">
        <v>14</v>
      </c>
      <c r="D1013" s="5" t="str">
        <f>"陈传鸿"</f>
        <v>陈传鸿</v>
      </c>
      <c r="E1013" s="5" t="str">
        <f>"男"</f>
        <v>男</v>
      </c>
    </row>
    <row r="1014" spans="1:5" ht="30" customHeight="1">
      <c r="A1014" s="4">
        <v>1012</v>
      </c>
      <c r="B1014" s="5" t="str">
        <f>"2644202010142320322291"</f>
        <v>2644202010142320322291</v>
      </c>
      <c r="C1014" s="5" t="s">
        <v>14</v>
      </c>
      <c r="D1014" s="5" t="str">
        <f>"黄惠琳"</f>
        <v>黄惠琳</v>
      </c>
      <c r="E1014" s="5" t="str">
        <f>"女"</f>
        <v>女</v>
      </c>
    </row>
    <row r="1015" spans="1:5" ht="30" customHeight="1">
      <c r="A1015" s="4">
        <v>1013</v>
      </c>
      <c r="B1015" s="5" t="str">
        <f>"2644202010150109092314"</f>
        <v>2644202010150109092314</v>
      </c>
      <c r="C1015" s="5" t="s">
        <v>14</v>
      </c>
      <c r="D1015" s="5" t="str">
        <f>"廖晨"</f>
        <v>廖晨</v>
      </c>
      <c r="E1015" s="5" t="str">
        <f>"女"</f>
        <v>女</v>
      </c>
    </row>
    <row r="1016" spans="1:5" ht="30" customHeight="1">
      <c r="A1016" s="4">
        <v>1014</v>
      </c>
      <c r="B1016" s="5" t="str">
        <f>"2644202010150114312315"</f>
        <v>2644202010150114312315</v>
      </c>
      <c r="C1016" s="5" t="s">
        <v>14</v>
      </c>
      <c r="D1016" s="5" t="str">
        <f>"赵安"</f>
        <v>赵安</v>
      </c>
      <c r="E1016" s="5" t="str">
        <f>"男"</f>
        <v>男</v>
      </c>
    </row>
    <row r="1017" spans="1:5" ht="30" customHeight="1">
      <c r="A1017" s="4">
        <v>1015</v>
      </c>
      <c r="B1017" s="5" t="str">
        <f>"2644202010150809182322"</f>
        <v>2644202010150809182322</v>
      </c>
      <c r="C1017" s="5" t="s">
        <v>14</v>
      </c>
      <c r="D1017" s="5" t="str">
        <f>" 黎冬琳"</f>
        <v> 黎冬琳</v>
      </c>
      <c r="E1017" s="5" t="str">
        <f aca="true" t="shared" si="38" ref="E1017:E1023">"女"</f>
        <v>女</v>
      </c>
    </row>
    <row r="1018" spans="1:5" ht="30" customHeight="1">
      <c r="A1018" s="4">
        <v>1016</v>
      </c>
      <c r="B1018" s="5" t="str">
        <f>"2644202010150826522327"</f>
        <v>2644202010150826522327</v>
      </c>
      <c r="C1018" s="5" t="s">
        <v>14</v>
      </c>
      <c r="D1018" s="5" t="str">
        <f>"林栩卉"</f>
        <v>林栩卉</v>
      </c>
      <c r="E1018" s="5" t="str">
        <f t="shared" si="38"/>
        <v>女</v>
      </c>
    </row>
    <row r="1019" spans="1:5" ht="30" customHeight="1">
      <c r="A1019" s="4">
        <v>1017</v>
      </c>
      <c r="B1019" s="5" t="str">
        <f>"2644202010151014192361"</f>
        <v>2644202010151014192361</v>
      </c>
      <c r="C1019" s="5" t="s">
        <v>14</v>
      </c>
      <c r="D1019" s="5" t="str">
        <f>"潘婉怡"</f>
        <v>潘婉怡</v>
      </c>
      <c r="E1019" s="5" t="str">
        <f t="shared" si="38"/>
        <v>女</v>
      </c>
    </row>
    <row r="1020" spans="1:5" ht="30" customHeight="1">
      <c r="A1020" s="4">
        <v>1018</v>
      </c>
      <c r="B1020" s="5" t="str">
        <f>"2644202010151015262362"</f>
        <v>2644202010151015262362</v>
      </c>
      <c r="C1020" s="5" t="s">
        <v>14</v>
      </c>
      <c r="D1020" s="5" t="str">
        <f>"钟欣欣"</f>
        <v>钟欣欣</v>
      </c>
      <c r="E1020" s="5" t="str">
        <f t="shared" si="38"/>
        <v>女</v>
      </c>
    </row>
    <row r="1021" spans="1:5" ht="30" customHeight="1">
      <c r="A1021" s="4">
        <v>1019</v>
      </c>
      <c r="B1021" s="5" t="str">
        <f>"2644202010151031132368"</f>
        <v>2644202010151031132368</v>
      </c>
      <c r="C1021" s="5" t="s">
        <v>14</v>
      </c>
      <c r="D1021" s="5" t="str">
        <f>"符文一"</f>
        <v>符文一</v>
      </c>
      <c r="E1021" s="5" t="str">
        <f t="shared" si="38"/>
        <v>女</v>
      </c>
    </row>
    <row r="1022" spans="1:5" ht="30" customHeight="1">
      <c r="A1022" s="4">
        <v>1020</v>
      </c>
      <c r="B1022" s="5" t="str">
        <f>"2644202010151103382378"</f>
        <v>2644202010151103382378</v>
      </c>
      <c r="C1022" s="5" t="s">
        <v>14</v>
      </c>
      <c r="D1022" s="5" t="str">
        <f>"刘偲"</f>
        <v>刘偲</v>
      </c>
      <c r="E1022" s="5" t="str">
        <f t="shared" si="38"/>
        <v>女</v>
      </c>
    </row>
    <row r="1023" spans="1:5" ht="30" customHeight="1">
      <c r="A1023" s="4">
        <v>1021</v>
      </c>
      <c r="B1023" s="5" t="str">
        <f>"2644202010151117092381"</f>
        <v>2644202010151117092381</v>
      </c>
      <c r="C1023" s="5" t="s">
        <v>14</v>
      </c>
      <c r="D1023" s="5" t="str">
        <f>"高心丽"</f>
        <v>高心丽</v>
      </c>
      <c r="E1023" s="5" t="str">
        <f t="shared" si="38"/>
        <v>女</v>
      </c>
    </row>
    <row r="1024" spans="1:5" ht="30" customHeight="1">
      <c r="A1024" s="4">
        <v>1022</v>
      </c>
      <c r="B1024" s="5" t="str">
        <f>"2644202010151218422394"</f>
        <v>2644202010151218422394</v>
      </c>
      <c r="C1024" s="5" t="s">
        <v>14</v>
      </c>
      <c r="D1024" s="5" t="str">
        <f>"黎昌煜"</f>
        <v>黎昌煜</v>
      </c>
      <c r="E1024" s="5" t="str">
        <f>"男"</f>
        <v>男</v>
      </c>
    </row>
    <row r="1025" spans="1:5" ht="30" customHeight="1">
      <c r="A1025" s="4">
        <v>1023</v>
      </c>
      <c r="B1025" s="5" t="str">
        <f>"26442020100908464530"</f>
        <v>26442020100908464530</v>
      </c>
      <c r="C1025" s="5" t="s">
        <v>15</v>
      </c>
      <c r="D1025" s="5" t="str">
        <f>"覃明"</f>
        <v>覃明</v>
      </c>
      <c r="E1025" s="5" t="str">
        <f>"男"</f>
        <v>男</v>
      </c>
    </row>
    <row r="1026" spans="1:5" ht="30" customHeight="1">
      <c r="A1026" s="4">
        <v>1024</v>
      </c>
      <c r="B1026" s="5" t="str">
        <f>"26442020100909325193"</f>
        <v>26442020100909325193</v>
      </c>
      <c r="C1026" s="5" t="s">
        <v>15</v>
      </c>
      <c r="D1026" s="5" t="str">
        <f>"陈首乾"</f>
        <v>陈首乾</v>
      </c>
      <c r="E1026" s="5" t="str">
        <f>"男"</f>
        <v>男</v>
      </c>
    </row>
    <row r="1027" spans="1:5" ht="30" customHeight="1">
      <c r="A1027" s="4">
        <v>1025</v>
      </c>
      <c r="B1027" s="5" t="str">
        <f>"264420201009093807102"</f>
        <v>264420201009093807102</v>
      </c>
      <c r="C1027" s="5" t="s">
        <v>15</v>
      </c>
      <c r="D1027" s="5" t="str">
        <f>"陈小山"</f>
        <v>陈小山</v>
      </c>
      <c r="E1027" s="5" t="str">
        <f>"男"</f>
        <v>男</v>
      </c>
    </row>
    <row r="1028" spans="1:5" ht="30" customHeight="1">
      <c r="A1028" s="4">
        <v>1026</v>
      </c>
      <c r="B1028" s="5" t="str">
        <f>"264420201009095000115"</f>
        <v>264420201009095000115</v>
      </c>
      <c r="C1028" s="5" t="s">
        <v>15</v>
      </c>
      <c r="D1028" s="5" t="str">
        <f>"王婉婷"</f>
        <v>王婉婷</v>
      </c>
      <c r="E1028" s="5" t="str">
        <f>"女"</f>
        <v>女</v>
      </c>
    </row>
    <row r="1029" spans="1:5" ht="30" customHeight="1">
      <c r="A1029" s="4">
        <v>1027</v>
      </c>
      <c r="B1029" s="5" t="str">
        <f>"264420201009102607163"</f>
        <v>264420201009102607163</v>
      </c>
      <c r="C1029" s="5" t="s">
        <v>15</v>
      </c>
      <c r="D1029" s="5" t="str">
        <f>"陈名庆"</f>
        <v>陈名庆</v>
      </c>
      <c r="E1029" s="5" t="str">
        <f>"男"</f>
        <v>男</v>
      </c>
    </row>
    <row r="1030" spans="1:5" ht="30" customHeight="1">
      <c r="A1030" s="4">
        <v>1028</v>
      </c>
      <c r="B1030" s="5" t="str">
        <f>"264420201009103008170"</f>
        <v>264420201009103008170</v>
      </c>
      <c r="C1030" s="5" t="s">
        <v>15</v>
      </c>
      <c r="D1030" s="5" t="str">
        <f>"吴宗进"</f>
        <v>吴宗进</v>
      </c>
      <c r="E1030" s="5" t="str">
        <f>"男"</f>
        <v>男</v>
      </c>
    </row>
    <row r="1031" spans="1:5" ht="30" customHeight="1">
      <c r="A1031" s="4">
        <v>1029</v>
      </c>
      <c r="B1031" s="5" t="str">
        <f>"264420201009103651181"</f>
        <v>264420201009103651181</v>
      </c>
      <c r="C1031" s="5" t="s">
        <v>15</v>
      </c>
      <c r="D1031" s="5" t="str">
        <f>"江成"</f>
        <v>江成</v>
      </c>
      <c r="E1031" s="5" t="str">
        <f>"男"</f>
        <v>男</v>
      </c>
    </row>
    <row r="1032" spans="1:5" ht="30" customHeight="1">
      <c r="A1032" s="4">
        <v>1030</v>
      </c>
      <c r="B1032" s="5" t="str">
        <f>"264420201009103746184"</f>
        <v>264420201009103746184</v>
      </c>
      <c r="C1032" s="5" t="s">
        <v>15</v>
      </c>
      <c r="D1032" s="5" t="str">
        <f>"杜林森"</f>
        <v>杜林森</v>
      </c>
      <c r="E1032" s="5" t="str">
        <f>"男"</f>
        <v>男</v>
      </c>
    </row>
    <row r="1033" spans="1:5" ht="30" customHeight="1">
      <c r="A1033" s="4">
        <v>1031</v>
      </c>
      <c r="B1033" s="5" t="str">
        <f>"264420201009104610191"</f>
        <v>264420201009104610191</v>
      </c>
      <c r="C1033" s="5" t="s">
        <v>15</v>
      </c>
      <c r="D1033" s="5" t="str">
        <f>"随文厦"</f>
        <v>随文厦</v>
      </c>
      <c r="E1033" s="5" t="str">
        <f>"男"</f>
        <v>男</v>
      </c>
    </row>
    <row r="1034" spans="1:5" ht="30" customHeight="1">
      <c r="A1034" s="4">
        <v>1032</v>
      </c>
      <c r="B1034" s="5" t="str">
        <f>"264420201009114245271"</f>
        <v>264420201009114245271</v>
      </c>
      <c r="C1034" s="5" t="s">
        <v>15</v>
      </c>
      <c r="D1034" s="5" t="str">
        <f>"王佩茹"</f>
        <v>王佩茹</v>
      </c>
      <c r="E1034" s="5" t="str">
        <f>"女"</f>
        <v>女</v>
      </c>
    </row>
    <row r="1035" spans="1:5" ht="30" customHeight="1">
      <c r="A1035" s="4">
        <v>1033</v>
      </c>
      <c r="B1035" s="5" t="str">
        <f>"264420201009115558281"</f>
        <v>264420201009115558281</v>
      </c>
      <c r="C1035" s="5" t="s">
        <v>15</v>
      </c>
      <c r="D1035" s="5" t="str">
        <f>"王北和"</f>
        <v>王北和</v>
      </c>
      <c r="E1035" s="5" t="str">
        <f aca="true" t="shared" si="39" ref="E1035:E1041">"男"</f>
        <v>男</v>
      </c>
    </row>
    <row r="1036" spans="1:5" ht="30" customHeight="1">
      <c r="A1036" s="4">
        <v>1034</v>
      </c>
      <c r="B1036" s="5" t="str">
        <f>"264420201009121628300"</f>
        <v>264420201009121628300</v>
      </c>
      <c r="C1036" s="5" t="s">
        <v>15</v>
      </c>
      <c r="D1036" s="5" t="str">
        <f>"符家泽"</f>
        <v>符家泽</v>
      </c>
      <c r="E1036" s="5" t="str">
        <f t="shared" si="39"/>
        <v>男</v>
      </c>
    </row>
    <row r="1037" spans="1:5" ht="30" customHeight="1">
      <c r="A1037" s="4">
        <v>1035</v>
      </c>
      <c r="B1037" s="5" t="str">
        <f>"264420201009123708313"</f>
        <v>264420201009123708313</v>
      </c>
      <c r="C1037" s="5" t="s">
        <v>15</v>
      </c>
      <c r="D1037" s="5" t="str">
        <f>"洪永宸"</f>
        <v>洪永宸</v>
      </c>
      <c r="E1037" s="5" t="str">
        <f t="shared" si="39"/>
        <v>男</v>
      </c>
    </row>
    <row r="1038" spans="1:5" ht="30" customHeight="1">
      <c r="A1038" s="4">
        <v>1036</v>
      </c>
      <c r="B1038" s="5" t="str">
        <f>"264420201009141012361"</f>
        <v>264420201009141012361</v>
      </c>
      <c r="C1038" s="5" t="s">
        <v>15</v>
      </c>
      <c r="D1038" s="5" t="str">
        <f>"黄荣昊"</f>
        <v>黄荣昊</v>
      </c>
      <c r="E1038" s="5" t="str">
        <f t="shared" si="39"/>
        <v>男</v>
      </c>
    </row>
    <row r="1039" spans="1:5" ht="30" customHeight="1">
      <c r="A1039" s="4">
        <v>1037</v>
      </c>
      <c r="B1039" s="5" t="str">
        <f>"264420201009144726385"</f>
        <v>264420201009144726385</v>
      </c>
      <c r="C1039" s="5" t="s">
        <v>15</v>
      </c>
      <c r="D1039" s="5" t="str">
        <f>"裴才宏"</f>
        <v>裴才宏</v>
      </c>
      <c r="E1039" s="5" t="str">
        <f t="shared" si="39"/>
        <v>男</v>
      </c>
    </row>
    <row r="1040" spans="1:5" ht="30" customHeight="1">
      <c r="A1040" s="4">
        <v>1038</v>
      </c>
      <c r="B1040" s="5" t="str">
        <f>"264420201009151551412"</f>
        <v>264420201009151551412</v>
      </c>
      <c r="C1040" s="5" t="s">
        <v>15</v>
      </c>
      <c r="D1040" s="5" t="str">
        <f>"吴心心"</f>
        <v>吴心心</v>
      </c>
      <c r="E1040" s="5" t="str">
        <f t="shared" si="39"/>
        <v>男</v>
      </c>
    </row>
    <row r="1041" spans="1:5" ht="30" customHeight="1">
      <c r="A1041" s="4">
        <v>1039</v>
      </c>
      <c r="B1041" s="5" t="str">
        <f>"264420201009160335461"</f>
        <v>264420201009160335461</v>
      </c>
      <c r="C1041" s="5" t="s">
        <v>15</v>
      </c>
      <c r="D1041" s="5" t="str">
        <f>"陈盛"</f>
        <v>陈盛</v>
      </c>
      <c r="E1041" s="5" t="str">
        <f t="shared" si="39"/>
        <v>男</v>
      </c>
    </row>
    <row r="1042" spans="1:5" ht="30" customHeight="1">
      <c r="A1042" s="4">
        <v>1040</v>
      </c>
      <c r="B1042" s="5" t="str">
        <f>"264420201009160620467"</f>
        <v>264420201009160620467</v>
      </c>
      <c r="C1042" s="5" t="s">
        <v>15</v>
      </c>
      <c r="D1042" s="5" t="str">
        <f>"陈风梅"</f>
        <v>陈风梅</v>
      </c>
      <c r="E1042" s="5" t="str">
        <f>"女"</f>
        <v>女</v>
      </c>
    </row>
    <row r="1043" spans="1:5" ht="30" customHeight="1">
      <c r="A1043" s="4">
        <v>1041</v>
      </c>
      <c r="B1043" s="5" t="str">
        <f>"264420201009161517476"</f>
        <v>264420201009161517476</v>
      </c>
      <c r="C1043" s="5" t="s">
        <v>15</v>
      </c>
      <c r="D1043" s="5" t="str">
        <f>"符荣宝"</f>
        <v>符荣宝</v>
      </c>
      <c r="E1043" s="5" t="str">
        <f>"男"</f>
        <v>男</v>
      </c>
    </row>
    <row r="1044" spans="1:5" ht="30" customHeight="1">
      <c r="A1044" s="4">
        <v>1042</v>
      </c>
      <c r="B1044" s="5" t="str">
        <f>"264420201009162545483"</f>
        <v>264420201009162545483</v>
      </c>
      <c r="C1044" s="5" t="s">
        <v>15</v>
      </c>
      <c r="D1044" s="5" t="str">
        <f>"梅向南"</f>
        <v>梅向南</v>
      </c>
      <c r="E1044" s="5" t="str">
        <f>"男"</f>
        <v>男</v>
      </c>
    </row>
    <row r="1045" spans="1:5" ht="30" customHeight="1">
      <c r="A1045" s="4">
        <v>1043</v>
      </c>
      <c r="B1045" s="5" t="str">
        <f>"264420201009163759497"</f>
        <v>264420201009163759497</v>
      </c>
      <c r="C1045" s="5" t="s">
        <v>15</v>
      </c>
      <c r="D1045" s="5" t="str">
        <f>"吴小娜"</f>
        <v>吴小娜</v>
      </c>
      <c r="E1045" s="5" t="str">
        <f>"女"</f>
        <v>女</v>
      </c>
    </row>
    <row r="1046" spans="1:5" ht="30" customHeight="1">
      <c r="A1046" s="4">
        <v>1044</v>
      </c>
      <c r="B1046" s="5" t="str">
        <f>"264420201009164917506"</f>
        <v>264420201009164917506</v>
      </c>
      <c r="C1046" s="5" t="s">
        <v>15</v>
      </c>
      <c r="D1046" s="5" t="str">
        <f>"王欣"</f>
        <v>王欣</v>
      </c>
      <c r="E1046" s="5" t="str">
        <f>"女"</f>
        <v>女</v>
      </c>
    </row>
    <row r="1047" spans="1:5" ht="30" customHeight="1">
      <c r="A1047" s="4">
        <v>1045</v>
      </c>
      <c r="B1047" s="5" t="str">
        <f>"264420201009165353510"</f>
        <v>264420201009165353510</v>
      </c>
      <c r="C1047" s="5" t="s">
        <v>15</v>
      </c>
      <c r="D1047" s="5" t="str">
        <f>"吴其平"</f>
        <v>吴其平</v>
      </c>
      <c r="E1047" s="5" t="str">
        <f>"男"</f>
        <v>男</v>
      </c>
    </row>
    <row r="1048" spans="1:5" ht="30" customHeight="1">
      <c r="A1048" s="4">
        <v>1046</v>
      </c>
      <c r="B1048" s="5" t="str">
        <f>"264420201009171640527"</f>
        <v>264420201009171640527</v>
      </c>
      <c r="C1048" s="5" t="s">
        <v>15</v>
      </c>
      <c r="D1048" s="5" t="str">
        <f>"梁振广"</f>
        <v>梁振广</v>
      </c>
      <c r="E1048" s="5" t="str">
        <f>"男"</f>
        <v>男</v>
      </c>
    </row>
    <row r="1049" spans="1:5" ht="30" customHeight="1">
      <c r="A1049" s="4">
        <v>1047</v>
      </c>
      <c r="B1049" s="5" t="str">
        <f>"264420201009172918539"</f>
        <v>264420201009172918539</v>
      </c>
      <c r="C1049" s="5" t="s">
        <v>15</v>
      </c>
      <c r="D1049" s="5" t="str">
        <f>"郑利伟"</f>
        <v>郑利伟</v>
      </c>
      <c r="E1049" s="5" t="str">
        <f>"男"</f>
        <v>男</v>
      </c>
    </row>
    <row r="1050" spans="1:5" ht="30" customHeight="1">
      <c r="A1050" s="4">
        <v>1048</v>
      </c>
      <c r="B1050" s="5" t="str">
        <f>"264420201009190802596"</f>
        <v>264420201009190802596</v>
      </c>
      <c r="C1050" s="5" t="s">
        <v>15</v>
      </c>
      <c r="D1050" s="5" t="str">
        <f>"王淑"</f>
        <v>王淑</v>
      </c>
      <c r="E1050" s="5" t="str">
        <f>"女"</f>
        <v>女</v>
      </c>
    </row>
    <row r="1051" spans="1:5" ht="30" customHeight="1">
      <c r="A1051" s="4">
        <v>1049</v>
      </c>
      <c r="B1051" s="5" t="str">
        <f>"264420201009191019599"</f>
        <v>264420201009191019599</v>
      </c>
      <c r="C1051" s="5" t="s">
        <v>15</v>
      </c>
      <c r="D1051" s="5" t="str">
        <f>"邓珍珍"</f>
        <v>邓珍珍</v>
      </c>
      <c r="E1051" s="5" t="str">
        <f>"女"</f>
        <v>女</v>
      </c>
    </row>
    <row r="1052" spans="1:5" ht="30" customHeight="1">
      <c r="A1052" s="4">
        <v>1050</v>
      </c>
      <c r="B1052" s="5" t="str">
        <f>"264420201009193442616"</f>
        <v>264420201009193442616</v>
      </c>
      <c r="C1052" s="5" t="s">
        <v>15</v>
      </c>
      <c r="D1052" s="5" t="str">
        <f>"吴佳佳"</f>
        <v>吴佳佳</v>
      </c>
      <c r="E1052" s="5" t="str">
        <f>"女"</f>
        <v>女</v>
      </c>
    </row>
    <row r="1053" spans="1:5" ht="30" customHeight="1">
      <c r="A1053" s="4">
        <v>1051</v>
      </c>
      <c r="B1053" s="5" t="str">
        <f>"264420201009195328630"</f>
        <v>264420201009195328630</v>
      </c>
      <c r="C1053" s="5" t="s">
        <v>15</v>
      </c>
      <c r="D1053" s="5" t="str">
        <f>"杨冠卿"</f>
        <v>杨冠卿</v>
      </c>
      <c r="E1053" s="5" t="str">
        <f>"男"</f>
        <v>男</v>
      </c>
    </row>
    <row r="1054" spans="1:5" ht="30" customHeight="1">
      <c r="A1054" s="4">
        <v>1052</v>
      </c>
      <c r="B1054" s="5" t="str">
        <f>"264420201009195946638"</f>
        <v>264420201009195946638</v>
      </c>
      <c r="C1054" s="5" t="s">
        <v>15</v>
      </c>
      <c r="D1054" s="5" t="str">
        <f>"符再超"</f>
        <v>符再超</v>
      </c>
      <c r="E1054" s="5" t="str">
        <f>"男"</f>
        <v>男</v>
      </c>
    </row>
    <row r="1055" spans="1:5" ht="30" customHeight="1">
      <c r="A1055" s="4">
        <v>1053</v>
      </c>
      <c r="B1055" s="5" t="str">
        <f>"264420201009205806702"</f>
        <v>264420201009205806702</v>
      </c>
      <c r="C1055" s="5" t="s">
        <v>15</v>
      </c>
      <c r="D1055" s="5" t="str">
        <f>"潘孝健"</f>
        <v>潘孝健</v>
      </c>
      <c r="E1055" s="5" t="str">
        <f>"男"</f>
        <v>男</v>
      </c>
    </row>
    <row r="1056" spans="1:5" ht="30" customHeight="1">
      <c r="A1056" s="4">
        <v>1054</v>
      </c>
      <c r="B1056" s="5" t="str">
        <f>"264420201009210404708"</f>
        <v>264420201009210404708</v>
      </c>
      <c r="C1056" s="5" t="s">
        <v>15</v>
      </c>
      <c r="D1056" s="5" t="str">
        <f>"吴宏波"</f>
        <v>吴宏波</v>
      </c>
      <c r="E1056" s="5" t="str">
        <f>"男"</f>
        <v>男</v>
      </c>
    </row>
    <row r="1057" spans="1:5" ht="30" customHeight="1">
      <c r="A1057" s="4">
        <v>1055</v>
      </c>
      <c r="B1057" s="5" t="str">
        <f>"264420201009211332717"</f>
        <v>264420201009211332717</v>
      </c>
      <c r="C1057" s="5" t="s">
        <v>15</v>
      </c>
      <c r="D1057" s="5" t="str">
        <f>"廉千慧"</f>
        <v>廉千慧</v>
      </c>
      <c r="E1057" s="5" t="str">
        <f>"女"</f>
        <v>女</v>
      </c>
    </row>
    <row r="1058" spans="1:5" ht="30" customHeight="1">
      <c r="A1058" s="4">
        <v>1056</v>
      </c>
      <c r="B1058" s="5" t="str">
        <f>"264420201009212216721"</f>
        <v>264420201009212216721</v>
      </c>
      <c r="C1058" s="5" t="s">
        <v>15</v>
      </c>
      <c r="D1058" s="5" t="str">
        <f>"陈起维"</f>
        <v>陈起维</v>
      </c>
      <c r="E1058" s="5" t="str">
        <f>"男"</f>
        <v>男</v>
      </c>
    </row>
    <row r="1059" spans="1:5" ht="30" customHeight="1">
      <c r="A1059" s="4">
        <v>1057</v>
      </c>
      <c r="B1059" s="5" t="str">
        <f>"264420201009221235755"</f>
        <v>264420201009221235755</v>
      </c>
      <c r="C1059" s="5" t="s">
        <v>15</v>
      </c>
      <c r="D1059" s="5" t="str">
        <f>"张堆荣"</f>
        <v>张堆荣</v>
      </c>
      <c r="E1059" s="5" t="str">
        <f>"男"</f>
        <v>男</v>
      </c>
    </row>
    <row r="1060" spans="1:5" ht="30" customHeight="1">
      <c r="A1060" s="4">
        <v>1058</v>
      </c>
      <c r="B1060" s="5" t="str">
        <f>"264420201009224442772"</f>
        <v>264420201009224442772</v>
      </c>
      <c r="C1060" s="5" t="s">
        <v>15</v>
      </c>
      <c r="D1060" s="5" t="str">
        <f>"刘如梦"</f>
        <v>刘如梦</v>
      </c>
      <c r="E1060" s="5" t="str">
        <f>"女"</f>
        <v>女</v>
      </c>
    </row>
    <row r="1061" spans="1:5" ht="30" customHeight="1">
      <c r="A1061" s="4">
        <v>1059</v>
      </c>
      <c r="B1061" s="5" t="str">
        <f>"264420201009234221797"</f>
        <v>264420201009234221797</v>
      </c>
      <c r="C1061" s="5" t="s">
        <v>15</v>
      </c>
      <c r="D1061" s="5" t="str">
        <f>"张文丽"</f>
        <v>张文丽</v>
      </c>
      <c r="E1061" s="5" t="str">
        <f>"女"</f>
        <v>女</v>
      </c>
    </row>
    <row r="1062" spans="1:5" ht="30" customHeight="1">
      <c r="A1062" s="4">
        <v>1060</v>
      </c>
      <c r="B1062" s="5" t="str">
        <f>"264420201009234954799"</f>
        <v>264420201009234954799</v>
      </c>
      <c r="C1062" s="5" t="s">
        <v>15</v>
      </c>
      <c r="D1062" s="5" t="str">
        <f>"黄祥劲"</f>
        <v>黄祥劲</v>
      </c>
      <c r="E1062" s="5" t="str">
        <f>"男"</f>
        <v>男</v>
      </c>
    </row>
    <row r="1063" spans="1:5" ht="30" customHeight="1">
      <c r="A1063" s="4">
        <v>1061</v>
      </c>
      <c r="B1063" s="5" t="str">
        <f>"264420201009235534801"</f>
        <v>264420201009235534801</v>
      </c>
      <c r="C1063" s="5" t="s">
        <v>15</v>
      </c>
      <c r="D1063" s="5" t="str">
        <f>"吴才欣"</f>
        <v>吴才欣</v>
      </c>
      <c r="E1063" s="5" t="str">
        <f>"女"</f>
        <v>女</v>
      </c>
    </row>
    <row r="1064" spans="1:5" ht="30" customHeight="1">
      <c r="A1064" s="4">
        <v>1062</v>
      </c>
      <c r="B1064" s="5" t="str">
        <f>"264420201010000735802"</f>
        <v>264420201010000735802</v>
      </c>
      <c r="C1064" s="5" t="s">
        <v>15</v>
      </c>
      <c r="D1064" s="5" t="str">
        <f>"周义勃"</f>
        <v>周义勃</v>
      </c>
      <c r="E1064" s="5" t="str">
        <f>"男"</f>
        <v>男</v>
      </c>
    </row>
    <row r="1065" spans="1:5" ht="30" customHeight="1">
      <c r="A1065" s="4">
        <v>1063</v>
      </c>
      <c r="B1065" s="5" t="str">
        <f>"264420201010075712814"</f>
        <v>264420201010075712814</v>
      </c>
      <c r="C1065" s="5" t="s">
        <v>15</v>
      </c>
      <c r="D1065" s="5" t="str">
        <f>"陈捷"</f>
        <v>陈捷</v>
      </c>
      <c r="E1065" s="5" t="str">
        <f>"男"</f>
        <v>男</v>
      </c>
    </row>
    <row r="1066" spans="1:5" ht="30" customHeight="1">
      <c r="A1066" s="4">
        <v>1064</v>
      </c>
      <c r="B1066" s="5" t="str">
        <f>"264420201010085417831"</f>
        <v>264420201010085417831</v>
      </c>
      <c r="C1066" s="5" t="s">
        <v>15</v>
      </c>
      <c r="D1066" s="5" t="str">
        <f>"符春祝"</f>
        <v>符春祝</v>
      </c>
      <c r="E1066" s="5" t="str">
        <f>"女"</f>
        <v>女</v>
      </c>
    </row>
    <row r="1067" spans="1:5" ht="30" customHeight="1">
      <c r="A1067" s="4">
        <v>1065</v>
      </c>
      <c r="B1067" s="5" t="str">
        <f>"264420201010085753837"</f>
        <v>264420201010085753837</v>
      </c>
      <c r="C1067" s="5" t="s">
        <v>15</v>
      </c>
      <c r="D1067" s="5" t="str">
        <f>"符艳菲"</f>
        <v>符艳菲</v>
      </c>
      <c r="E1067" s="5" t="str">
        <f>"女"</f>
        <v>女</v>
      </c>
    </row>
    <row r="1068" spans="1:5" ht="30" customHeight="1">
      <c r="A1068" s="4">
        <v>1066</v>
      </c>
      <c r="B1068" s="5" t="str">
        <f>"264420201010100630874"</f>
        <v>264420201010100630874</v>
      </c>
      <c r="C1068" s="5" t="s">
        <v>15</v>
      </c>
      <c r="D1068" s="5" t="str">
        <f>"吉星宇"</f>
        <v>吉星宇</v>
      </c>
      <c r="E1068" s="5" t="str">
        <f>"男"</f>
        <v>男</v>
      </c>
    </row>
    <row r="1069" spans="1:5" ht="30" customHeight="1">
      <c r="A1069" s="4">
        <v>1067</v>
      </c>
      <c r="B1069" s="5" t="str">
        <f>"264420201010101356879"</f>
        <v>264420201010101356879</v>
      </c>
      <c r="C1069" s="5" t="s">
        <v>15</v>
      </c>
      <c r="D1069" s="5" t="str">
        <f>"王朋"</f>
        <v>王朋</v>
      </c>
      <c r="E1069" s="5" t="str">
        <f>"男"</f>
        <v>男</v>
      </c>
    </row>
    <row r="1070" spans="1:5" ht="30" customHeight="1">
      <c r="A1070" s="4">
        <v>1068</v>
      </c>
      <c r="B1070" s="5" t="str">
        <f>"264420201010101547880"</f>
        <v>264420201010101547880</v>
      </c>
      <c r="C1070" s="5" t="s">
        <v>15</v>
      </c>
      <c r="D1070" s="5" t="str">
        <f>"李茂帆"</f>
        <v>李茂帆</v>
      </c>
      <c r="E1070" s="5" t="str">
        <f>"男"</f>
        <v>男</v>
      </c>
    </row>
    <row r="1071" spans="1:5" ht="30" customHeight="1">
      <c r="A1071" s="4">
        <v>1069</v>
      </c>
      <c r="B1071" s="5" t="str">
        <f>"264420201010120647940"</f>
        <v>264420201010120647940</v>
      </c>
      <c r="C1071" s="5" t="s">
        <v>15</v>
      </c>
      <c r="D1071" s="5" t="str">
        <f>"戴慧敏"</f>
        <v>戴慧敏</v>
      </c>
      <c r="E1071" s="5" t="str">
        <f>"女"</f>
        <v>女</v>
      </c>
    </row>
    <row r="1072" spans="1:5" ht="30" customHeight="1">
      <c r="A1072" s="4">
        <v>1070</v>
      </c>
      <c r="B1072" s="5" t="str">
        <f>"2644202010101717471054"</f>
        <v>2644202010101717471054</v>
      </c>
      <c r="C1072" s="5" t="s">
        <v>15</v>
      </c>
      <c r="D1072" s="5" t="str">
        <f>"周业旺"</f>
        <v>周业旺</v>
      </c>
      <c r="E1072" s="5" t="str">
        <f>"男"</f>
        <v>男</v>
      </c>
    </row>
    <row r="1073" spans="1:5" ht="30" customHeight="1">
      <c r="A1073" s="4">
        <v>1071</v>
      </c>
      <c r="B1073" s="5" t="str">
        <f>"2644202010101741541062"</f>
        <v>2644202010101741541062</v>
      </c>
      <c r="C1073" s="5" t="s">
        <v>15</v>
      </c>
      <c r="D1073" s="5" t="str">
        <f>"张裕明"</f>
        <v>张裕明</v>
      </c>
      <c r="E1073" s="5" t="str">
        <f>"男"</f>
        <v>男</v>
      </c>
    </row>
    <row r="1074" spans="1:5" ht="30" customHeight="1">
      <c r="A1074" s="4">
        <v>1072</v>
      </c>
      <c r="B1074" s="5" t="str">
        <f>"2644202010101810081071"</f>
        <v>2644202010101810081071</v>
      </c>
      <c r="C1074" s="5" t="s">
        <v>15</v>
      </c>
      <c r="D1074" s="5" t="str">
        <f>"吴淑新"</f>
        <v>吴淑新</v>
      </c>
      <c r="E1074" s="5" t="str">
        <f>"男"</f>
        <v>男</v>
      </c>
    </row>
    <row r="1075" spans="1:5" ht="30" customHeight="1">
      <c r="A1075" s="4">
        <v>1073</v>
      </c>
      <c r="B1075" s="5" t="str">
        <f>"2644202010101939521093"</f>
        <v>2644202010101939521093</v>
      </c>
      <c r="C1075" s="5" t="s">
        <v>15</v>
      </c>
      <c r="D1075" s="5" t="str">
        <f>"孙世洪"</f>
        <v>孙世洪</v>
      </c>
      <c r="E1075" s="5" t="str">
        <f>"男"</f>
        <v>男</v>
      </c>
    </row>
    <row r="1076" spans="1:5" ht="30" customHeight="1">
      <c r="A1076" s="4">
        <v>1074</v>
      </c>
      <c r="B1076" s="5" t="str">
        <f>"2644202010102053391109"</f>
        <v>2644202010102053391109</v>
      </c>
      <c r="C1076" s="5" t="s">
        <v>15</v>
      </c>
      <c r="D1076" s="5" t="str">
        <f>"黄雯佳"</f>
        <v>黄雯佳</v>
      </c>
      <c r="E1076" s="5" t="str">
        <f>"女"</f>
        <v>女</v>
      </c>
    </row>
    <row r="1077" spans="1:5" ht="30" customHeight="1">
      <c r="A1077" s="4">
        <v>1075</v>
      </c>
      <c r="B1077" s="5" t="str">
        <f>"2644202010102056001113"</f>
        <v>2644202010102056001113</v>
      </c>
      <c r="C1077" s="5" t="s">
        <v>15</v>
      </c>
      <c r="D1077" s="5" t="str">
        <f>" 黄祥芬"</f>
        <v> 黄祥芬</v>
      </c>
      <c r="E1077" s="5" t="str">
        <f>"女"</f>
        <v>女</v>
      </c>
    </row>
    <row r="1078" spans="1:5" ht="30" customHeight="1">
      <c r="A1078" s="4">
        <v>1076</v>
      </c>
      <c r="B1078" s="5" t="str">
        <f>"2644202010102110381120"</f>
        <v>2644202010102110381120</v>
      </c>
      <c r="C1078" s="5" t="s">
        <v>15</v>
      </c>
      <c r="D1078" s="5" t="str">
        <f>"梁振伟"</f>
        <v>梁振伟</v>
      </c>
      <c r="E1078" s="5" t="str">
        <f>"男"</f>
        <v>男</v>
      </c>
    </row>
    <row r="1079" spans="1:5" ht="30" customHeight="1">
      <c r="A1079" s="4">
        <v>1077</v>
      </c>
      <c r="B1079" s="5" t="str">
        <f>"2644202010111409571273"</f>
        <v>2644202010111409571273</v>
      </c>
      <c r="C1079" s="5" t="s">
        <v>15</v>
      </c>
      <c r="D1079" s="5" t="str">
        <f>"黄显惠"</f>
        <v>黄显惠</v>
      </c>
      <c r="E1079" s="5" t="str">
        <f>"女"</f>
        <v>女</v>
      </c>
    </row>
    <row r="1080" spans="1:5" ht="30" customHeight="1">
      <c r="A1080" s="4">
        <v>1078</v>
      </c>
      <c r="B1080" s="5" t="str">
        <f>"2644202010111440061279"</f>
        <v>2644202010111440061279</v>
      </c>
      <c r="C1080" s="5" t="s">
        <v>15</v>
      </c>
      <c r="D1080" s="5" t="str">
        <f>"吴侨"</f>
        <v>吴侨</v>
      </c>
      <c r="E1080" s="5" t="str">
        <f>"女"</f>
        <v>女</v>
      </c>
    </row>
    <row r="1081" spans="1:5" ht="30" customHeight="1">
      <c r="A1081" s="4">
        <v>1079</v>
      </c>
      <c r="B1081" s="5" t="str">
        <f>"2644202010111446291283"</f>
        <v>2644202010111446291283</v>
      </c>
      <c r="C1081" s="5" t="s">
        <v>15</v>
      </c>
      <c r="D1081" s="5" t="str">
        <f>"王子翼"</f>
        <v>王子翼</v>
      </c>
      <c r="E1081" s="5" t="str">
        <f>"男"</f>
        <v>男</v>
      </c>
    </row>
    <row r="1082" spans="1:5" ht="30" customHeight="1">
      <c r="A1082" s="4">
        <v>1080</v>
      </c>
      <c r="B1082" s="5" t="str">
        <f>"2644202010111502341290"</f>
        <v>2644202010111502341290</v>
      </c>
      <c r="C1082" s="5" t="s">
        <v>15</v>
      </c>
      <c r="D1082" s="5" t="str">
        <f>"许琳涓"</f>
        <v>许琳涓</v>
      </c>
      <c r="E1082" s="5" t="str">
        <f>"女"</f>
        <v>女</v>
      </c>
    </row>
    <row r="1083" spans="1:5" ht="30" customHeight="1">
      <c r="A1083" s="4">
        <v>1081</v>
      </c>
      <c r="B1083" s="5" t="str">
        <f>"2644202010111532131297"</f>
        <v>2644202010111532131297</v>
      </c>
      <c r="C1083" s="5" t="s">
        <v>15</v>
      </c>
      <c r="D1083" s="5" t="str">
        <f>"梁祖贤"</f>
        <v>梁祖贤</v>
      </c>
      <c r="E1083" s="5" t="str">
        <f>"男"</f>
        <v>男</v>
      </c>
    </row>
    <row r="1084" spans="1:5" ht="30" customHeight="1">
      <c r="A1084" s="4">
        <v>1082</v>
      </c>
      <c r="B1084" s="5" t="str">
        <f>"2644202010111620321312"</f>
        <v>2644202010111620321312</v>
      </c>
      <c r="C1084" s="5" t="s">
        <v>15</v>
      </c>
      <c r="D1084" s="5" t="str">
        <f>"徐月圆"</f>
        <v>徐月圆</v>
      </c>
      <c r="E1084" s="5" t="str">
        <f>"女"</f>
        <v>女</v>
      </c>
    </row>
    <row r="1085" spans="1:5" ht="30" customHeight="1">
      <c r="A1085" s="4">
        <v>1083</v>
      </c>
      <c r="B1085" s="5" t="str">
        <f>"2644202010111700451332"</f>
        <v>2644202010111700451332</v>
      </c>
      <c r="C1085" s="5" t="s">
        <v>15</v>
      </c>
      <c r="D1085" s="5" t="str">
        <f>"曾杨棨"</f>
        <v>曾杨棨</v>
      </c>
      <c r="E1085" s="5" t="str">
        <f>"男"</f>
        <v>男</v>
      </c>
    </row>
    <row r="1086" spans="1:5" ht="30" customHeight="1">
      <c r="A1086" s="4">
        <v>1084</v>
      </c>
      <c r="B1086" s="5" t="str">
        <f>"2644202010111736021345"</f>
        <v>2644202010111736021345</v>
      </c>
      <c r="C1086" s="5" t="s">
        <v>15</v>
      </c>
      <c r="D1086" s="5" t="str">
        <f>"符雪怡"</f>
        <v>符雪怡</v>
      </c>
      <c r="E1086" s="5" t="str">
        <f>"女"</f>
        <v>女</v>
      </c>
    </row>
    <row r="1087" spans="1:5" ht="30" customHeight="1">
      <c r="A1087" s="4">
        <v>1085</v>
      </c>
      <c r="B1087" s="5" t="str">
        <f>"2644202010111845441359"</f>
        <v>2644202010111845441359</v>
      </c>
      <c r="C1087" s="5" t="s">
        <v>15</v>
      </c>
      <c r="D1087" s="5" t="str">
        <f>"张宁"</f>
        <v>张宁</v>
      </c>
      <c r="E1087" s="5" t="str">
        <f>"女"</f>
        <v>女</v>
      </c>
    </row>
    <row r="1088" spans="1:5" ht="30" customHeight="1">
      <c r="A1088" s="4">
        <v>1086</v>
      </c>
      <c r="B1088" s="5" t="str">
        <f>"2644202010112116531411"</f>
        <v>2644202010112116531411</v>
      </c>
      <c r="C1088" s="5" t="s">
        <v>15</v>
      </c>
      <c r="D1088" s="5" t="str">
        <f>"王振宇"</f>
        <v>王振宇</v>
      </c>
      <c r="E1088" s="5" t="str">
        <f>"男"</f>
        <v>男</v>
      </c>
    </row>
    <row r="1089" spans="1:5" ht="30" customHeight="1">
      <c r="A1089" s="4">
        <v>1087</v>
      </c>
      <c r="B1089" s="5" t="str">
        <f>"2644202010112200331428"</f>
        <v>2644202010112200331428</v>
      </c>
      <c r="C1089" s="5" t="s">
        <v>15</v>
      </c>
      <c r="D1089" s="5" t="str">
        <f>"赵鸿平"</f>
        <v>赵鸿平</v>
      </c>
      <c r="E1089" s="5" t="str">
        <f>"男"</f>
        <v>男</v>
      </c>
    </row>
    <row r="1090" spans="1:5" ht="30" customHeight="1">
      <c r="A1090" s="4">
        <v>1088</v>
      </c>
      <c r="B1090" s="5" t="str">
        <f>"2644202010120131041459"</f>
        <v>2644202010120131041459</v>
      </c>
      <c r="C1090" s="5" t="s">
        <v>15</v>
      </c>
      <c r="D1090" s="5" t="str">
        <f>"罗宁尹"</f>
        <v>罗宁尹</v>
      </c>
      <c r="E1090" s="5" t="str">
        <f>"女"</f>
        <v>女</v>
      </c>
    </row>
    <row r="1091" spans="1:5" ht="30" customHeight="1">
      <c r="A1091" s="4">
        <v>1089</v>
      </c>
      <c r="B1091" s="5" t="str">
        <f>"2644202010120823301465"</f>
        <v>2644202010120823301465</v>
      </c>
      <c r="C1091" s="5" t="s">
        <v>15</v>
      </c>
      <c r="D1091" s="5" t="str">
        <f>"马茂凯"</f>
        <v>马茂凯</v>
      </c>
      <c r="E1091" s="5" t="str">
        <f>"男"</f>
        <v>男</v>
      </c>
    </row>
    <row r="1092" spans="1:5" ht="30" customHeight="1">
      <c r="A1092" s="4">
        <v>1090</v>
      </c>
      <c r="B1092" s="5" t="str">
        <f>"2644202010120925551482"</f>
        <v>2644202010120925551482</v>
      </c>
      <c r="C1092" s="5" t="s">
        <v>15</v>
      </c>
      <c r="D1092" s="5" t="str">
        <f>"刘嘉祺"</f>
        <v>刘嘉祺</v>
      </c>
      <c r="E1092" s="5" t="str">
        <f>"女"</f>
        <v>女</v>
      </c>
    </row>
    <row r="1093" spans="1:5" ht="30" customHeight="1">
      <c r="A1093" s="4">
        <v>1091</v>
      </c>
      <c r="B1093" s="5" t="str">
        <f>"2644202010120937481488"</f>
        <v>2644202010120937481488</v>
      </c>
      <c r="C1093" s="5" t="s">
        <v>15</v>
      </c>
      <c r="D1093" s="5" t="str">
        <f>"吕悦"</f>
        <v>吕悦</v>
      </c>
      <c r="E1093" s="5" t="str">
        <f>"女"</f>
        <v>女</v>
      </c>
    </row>
    <row r="1094" spans="1:5" ht="30" customHeight="1">
      <c r="A1094" s="4">
        <v>1092</v>
      </c>
      <c r="B1094" s="5" t="str">
        <f>"2644202010121016071502"</f>
        <v>2644202010121016071502</v>
      </c>
      <c r="C1094" s="5" t="s">
        <v>15</v>
      </c>
      <c r="D1094" s="5" t="str">
        <f>"朱南放"</f>
        <v>朱南放</v>
      </c>
      <c r="E1094" s="5" t="str">
        <f>"男"</f>
        <v>男</v>
      </c>
    </row>
    <row r="1095" spans="1:5" ht="30" customHeight="1">
      <c r="A1095" s="4">
        <v>1093</v>
      </c>
      <c r="B1095" s="5" t="str">
        <f>"2644202010121113481525"</f>
        <v>2644202010121113481525</v>
      </c>
      <c r="C1095" s="5" t="s">
        <v>15</v>
      </c>
      <c r="D1095" s="5" t="str">
        <f>"莫卓榕"</f>
        <v>莫卓榕</v>
      </c>
      <c r="E1095" s="5" t="str">
        <f>"女"</f>
        <v>女</v>
      </c>
    </row>
    <row r="1096" spans="1:5" ht="30" customHeight="1">
      <c r="A1096" s="4">
        <v>1094</v>
      </c>
      <c r="B1096" s="5" t="str">
        <f>"2644202010121119101527"</f>
        <v>2644202010121119101527</v>
      </c>
      <c r="C1096" s="5" t="s">
        <v>15</v>
      </c>
      <c r="D1096" s="5" t="str">
        <f>"王腾"</f>
        <v>王腾</v>
      </c>
      <c r="E1096" s="5" t="str">
        <f aca="true" t="shared" si="40" ref="E1096:E1104">"男"</f>
        <v>男</v>
      </c>
    </row>
    <row r="1097" spans="1:5" ht="30" customHeight="1">
      <c r="A1097" s="4">
        <v>1095</v>
      </c>
      <c r="B1097" s="5" t="str">
        <f>"2644202010121140391541"</f>
        <v>2644202010121140391541</v>
      </c>
      <c r="C1097" s="5" t="s">
        <v>15</v>
      </c>
      <c r="D1097" s="5" t="str">
        <f>"王俊棚"</f>
        <v>王俊棚</v>
      </c>
      <c r="E1097" s="5" t="str">
        <f t="shared" si="40"/>
        <v>男</v>
      </c>
    </row>
    <row r="1098" spans="1:5" ht="30" customHeight="1">
      <c r="A1098" s="4">
        <v>1096</v>
      </c>
      <c r="B1098" s="5" t="str">
        <f>"2644202010121349281574"</f>
        <v>2644202010121349281574</v>
      </c>
      <c r="C1098" s="5" t="s">
        <v>15</v>
      </c>
      <c r="D1098" s="5" t="str">
        <f>"符重阳"</f>
        <v>符重阳</v>
      </c>
      <c r="E1098" s="5" t="str">
        <f t="shared" si="40"/>
        <v>男</v>
      </c>
    </row>
    <row r="1099" spans="1:5" ht="30" customHeight="1">
      <c r="A1099" s="4">
        <v>1097</v>
      </c>
      <c r="B1099" s="5" t="str">
        <f>"2644202010121400481577"</f>
        <v>2644202010121400481577</v>
      </c>
      <c r="C1099" s="5" t="s">
        <v>15</v>
      </c>
      <c r="D1099" s="5" t="str">
        <f>"王航光"</f>
        <v>王航光</v>
      </c>
      <c r="E1099" s="5" t="str">
        <f t="shared" si="40"/>
        <v>男</v>
      </c>
    </row>
    <row r="1100" spans="1:5" ht="30" customHeight="1">
      <c r="A1100" s="4">
        <v>1098</v>
      </c>
      <c r="B1100" s="5" t="str">
        <f>"2644202010121416411582"</f>
        <v>2644202010121416411582</v>
      </c>
      <c r="C1100" s="5" t="s">
        <v>15</v>
      </c>
      <c r="D1100" s="5" t="str">
        <f>"吴开绩"</f>
        <v>吴开绩</v>
      </c>
      <c r="E1100" s="5" t="str">
        <f t="shared" si="40"/>
        <v>男</v>
      </c>
    </row>
    <row r="1101" spans="1:5" ht="30" customHeight="1">
      <c r="A1101" s="4">
        <v>1099</v>
      </c>
      <c r="B1101" s="5" t="str">
        <f>"2644202010121429151588"</f>
        <v>2644202010121429151588</v>
      </c>
      <c r="C1101" s="5" t="s">
        <v>15</v>
      </c>
      <c r="D1101" s="5" t="str">
        <f>"王国天"</f>
        <v>王国天</v>
      </c>
      <c r="E1101" s="5" t="str">
        <f t="shared" si="40"/>
        <v>男</v>
      </c>
    </row>
    <row r="1102" spans="1:5" ht="30" customHeight="1">
      <c r="A1102" s="4">
        <v>1100</v>
      </c>
      <c r="B1102" s="5" t="str">
        <f>"2644202010121448551592"</f>
        <v>2644202010121448551592</v>
      </c>
      <c r="C1102" s="5" t="s">
        <v>15</v>
      </c>
      <c r="D1102" s="5" t="str">
        <f>"覃进"</f>
        <v>覃进</v>
      </c>
      <c r="E1102" s="5" t="str">
        <f t="shared" si="40"/>
        <v>男</v>
      </c>
    </row>
    <row r="1103" spans="1:5" ht="30" customHeight="1">
      <c r="A1103" s="4">
        <v>1101</v>
      </c>
      <c r="B1103" s="5" t="str">
        <f>"2644202010121512451605"</f>
        <v>2644202010121512451605</v>
      </c>
      <c r="C1103" s="5" t="s">
        <v>15</v>
      </c>
      <c r="D1103" s="5" t="str">
        <f>"金吉轩"</f>
        <v>金吉轩</v>
      </c>
      <c r="E1103" s="5" t="str">
        <f t="shared" si="40"/>
        <v>男</v>
      </c>
    </row>
    <row r="1104" spans="1:5" ht="30" customHeight="1">
      <c r="A1104" s="4">
        <v>1102</v>
      </c>
      <c r="B1104" s="5" t="str">
        <f>"2644202010121547321626"</f>
        <v>2644202010121547321626</v>
      </c>
      <c r="C1104" s="5" t="s">
        <v>15</v>
      </c>
      <c r="D1104" s="5" t="str">
        <f>"李志"</f>
        <v>李志</v>
      </c>
      <c r="E1104" s="5" t="str">
        <f t="shared" si="40"/>
        <v>男</v>
      </c>
    </row>
    <row r="1105" spans="1:5" ht="30" customHeight="1">
      <c r="A1105" s="4">
        <v>1103</v>
      </c>
      <c r="B1105" s="5" t="str">
        <f>"2644202010121844351680"</f>
        <v>2644202010121844351680</v>
      </c>
      <c r="C1105" s="5" t="s">
        <v>15</v>
      </c>
      <c r="D1105" s="5" t="str">
        <f>"陶起慧"</f>
        <v>陶起慧</v>
      </c>
      <c r="E1105" s="5" t="str">
        <f>"女"</f>
        <v>女</v>
      </c>
    </row>
    <row r="1106" spans="1:5" ht="30" customHeight="1">
      <c r="A1106" s="4">
        <v>1104</v>
      </c>
      <c r="B1106" s="5" t="str">
        <f>"2644202010121854211683"</f>
        <v>2644202010121854211683</v>
      </c>
      <c r="C1106" s="5" t="s">
        <v>15</v>
      </c>
      <c r="D1106" s="5" t="str">
        <f>"张国杨"</f>
        <v>张国杨</v>
      </c>
      <c r="E1106" s="5" t="str">
        <f>"男"</f>
        <v>男</v>
      </c>
    </row>
    <row r="1107" spans="1:5" ht="30" customHeight="1">
      <c r="A1107" s="4">
        <v>1105</v>
      </c>
      <c r="B1107" s="5" t="str">
        <f>"2644202010122038391703"</f>
        <v>2644202010122038391703</v>
      </c>
      <c r="C1107" s="5" t="s">
        <v>15</v>
      </c>
      <c r="D1107" s="5" t="str">
        <f>"詹丰铭"</f>
        <v>詹丰铭</v>
      </c>
      <c r="E1107" s="5" t="str">
        <f>"男"</f>
        <v>男</v>
      </c>
    </row>
    <row r="1108" spans="1:5" ht="30" customHeight="1">
      <c r="A1108" s="4">
        <v>1106</v>
      </c>
      <c r="B1108" s="5" t="str">
        <f>"2644202010122051481709"</f>
        <v>2644202010122051481709</v>
      </c>
      <c r="C1108" s="5" t="s">
        <v>15</v>
      </c>
      <c r="D1108" s="5" t="str">
        <f>"林三妹"</f>
        <v>林三妹</v>
      </c>
      <c r="E1108" s="5" t="str">
        <f>"女"</f>
        <v>女</v>
      </c>
    </row>
    <row r="1109" spans="1:5" ht="30" customHeight="1">
      <c r="A1109" s="4">
        <v>1107</v>
      </c>
      <c r="B1109" s="5" t="str">
        <f>"2644202010122122381719"</f>
        <v>2644202010122122381719</v>
      </c>
      <c r="C1109" s="5" t="s">
        <v>15</v>
      </c>
      <c r="D1109" s="5" t="str">
        <f>"韦美英"</f>
        <v>韦美英</v>
      </c>
      <c r="E1109" s="5" t="str">
        <f>"女"</f>
        <v>女</v>
      </c>
    </row>
    <row r="1110" spans="1:5" ht="30" customHeight="1">
      <c r="A1110" s="4">
        <v>1108</v>
      </c>
      <c r="B1110" s="5" t="str">
        <f>"2644202010122311361746"</f>
        <v>2644202010122311361746</v>
      </c>
      <c r="C1110" s="5" t="s">
        <v>15</v>
      </c>
      <c r="D1110" s="5" t="str">
        <f>"何炜"</f>
        <v>何炜</v>
      </c>
      <c r="E1110" s="5" t="str">
        <f>"男"</f>
        <v>男</v>
      </c>
    </row>
    <row r="1111" spans="1:5" ht="30" customHeight="1">
      <c r="A1111" s="4">
        <v>1109</v>
      </c>
      <c r="B1111" s="5" t="str">
        <f>"2644202010122320491748"</f>
        <v>2644202010122320491748</v>
      </c>
      <c r="C1111" s="5" t="s">
        <v>15</v>
      </c>
      <c r="D1111" s="5" t="str">
        <f>"陈佳"</f>
        <v>陈佳</v>
      </c>
      <c r="E1111" s="5" t="str">
        <f>"男"</f>
        <v>男</v>
      </c>
    </row>
    <row r="1112" spans="1:5" ht="30" customHeight="1">
      <c r="A1112" s="4">
        <v>1110</v>
      </c>
      <c r="B1112" s="5" t="str">
        <f>"2644202010131002151797"</f>
        <v>2644202010131002151797</v>
      </c>
      <c r="C1112" s="5" t="s">
        <v>15</v>
      </c>
      <c r="D1112" s="5" t="str">
        <f>"蒙艺"</f>
        <v>蒙艺</v>
      </c>
      <c r="E1112" s="5" t="str">
        <f>"男"</f>
        <v>男</v>
      </c>
    </row>
    <row r="1113" spans="1:5" ht="30" customHeight="1">
      <c r="A1113" s="4">
        <v>1111</v>
      </c>
      <c r="B1113" s="5" t="str">
        <f>"2644202010131024361804"</f>
        <v>2644202010131024361804</v>
      </c>
      <c r="C1113" s="5" t="s">
        <v>15</v>
      </c>
      <c r="D1113" s="5" t="str">
        <f>"李秋婷"</f>
        <v>李秋婷</v>
      </c>
      <c r="E1113" s="5" t="str">
        <f>"女"</f>
        <v>女</v>
      </c>
    </row>
    <row r="1114" spans="1:5" ht="30" customHeight="1">
      <c r="A1114" s="4">
        <v>1112</v>
      </c>
      <c r="B1114" s="5" t="str">
        <f>"2644202010131048011815"</f>
        <v>2644202010131048011815</v>
      </c>
      <c r="C1114" s="5" t="s">
        <v>15</v>
      </c>
      <c r="D1114" s="5" t="str">
        <f>"洪颜"</f>
        <v>洪颜</v>
      </c>
      <c r="E1114" s="5" t="str">
        <f>"女"</f>
        <v>女</v>
      </c>
    </row>
    <row r="1115" spans="1:5" ht="30" customHeight="1">
      <c r="A1115" s="4">
        <v>1113</v>
      </c>
      <c r="B1115" s="5" t="str">
        <f>"2644202010131059061820"</f>
        <v>2644202010131059061820</v>
      </c>
      <c r="C1115" s="5" t="s">
        <v>15</v>
      </c>
      <c r="D1115" s="5" t="str">
        <f>"郑碧丹"</f>
        <v>郑碧丹</v>
      </c>
      <c r="E1115" s="5" t="str">
        <f>"女"</f>
        <v>女</v>
      </c>
    </row>
    <row r="1116" spans="1:5" ht="30" customHeight="1">
      <c r="A1116" s="4">
        <v>1114</v>
      </c>
      <c r="B1116" s="5" t="str">
        <f>"2644202010131139391836"</f>
        <v>2644202010131139391836</v>
      </c>
      <c r="C1116" s="5" t="s">
        <v>15</v>
      </c>
      <c r="D1116" s="5" t="str">
        <f>"罗智惠"</f>
        <v>罗智惠</v>
      </c>
      <c r="E1116" s="5" t="str">
        <f>"女"</f>
        <v>女</v>
      </c>
    </row>
    <row r="1117" spans="1:5" ht="30" customHeight="1">
      <c r="A1117" s="4">
        <v>1115</v>
      </c>
      <c r="B1117" s="5" t="str">
        <f>"2644202010131207421844"</f>
        <v>2644202010131207421844</v>
      </c>
      <c r="C1117" s="5" t="s">
        <v>15</v>
      </c>
      <c r="D1117" s="5" t="str">
        <f>"何发俊"</f>
        <v>何发俊</v>
      </c>
      <c r="E1117" s="5" t="str">
        <f>"男"</f>
        <v>男</v>
      </c>
    </row>
    <row r="1118" spans="1:5" ht="30" customHeight="1">
      <c r="A1118" s="4">
        <v>1116</v>
      </c>
      <c r="B1118" s="5" t="str">
        <f>"2644202010131409501867"</f>
        <v>2644202010131409501867</v>
      </c>
      <c r="C1118" s="5" t="s">
        <v>15</v>
      </c>
      <c r="D1118" s="5" t="str">
        <f>"韩鸣定"</f>
        <v>韩鸣定</v>
      </c>
      <c r="E1118" s="5" t="str">
        <f>"男"</f>
        <v>男</v>
      </c>
    </row>
    <row r="1119" spans="1:5" ht="30" customHeight="1">
      <c r="A1119" s="4">
        <v>1117</v>
      </c>
      <c r="B1119" s="5" t="str">
        <f>"2644202010131520261887"</f>
        <v>2644202010131520261887</v>
      </c>
      <c r="C1119" s="5" t="s">
        <v>15</v>
      </c>
      <c r="D1119" s="5" t="str">
        <f>"张琰"</f>
        <v>张琰</v>
      </c>
      <c r="E1119" s="5" t="str">
        <f>"女"</f>
        <v>女</v>
      </c>
    </row>
    <row r="1120" spans="1:5" ht="30" customHeight="1">
      <c r="A1120" s="4">
        <v>1118</v>
      </c>
      <c r="B1120" s="5" t="str">
        <f>"2644202010131527341890"</f>
        <v>2644202010131527341890</v>
      </c>
      <c r="C1120" s="5" t="s">
        <v>15</v>
      </c>
      <c r="D1120" s="5" t="str">
        <f>"邓晰"</f>
        <v>邓晰</v>
      </c>
      <c r="E1120" s="5" t="str">
        <f>"女"</f>
        <v>女</v>
      </c>
    </row>
    <row r="1121" spans="1:5" ht="30" customHeight="1">
      <c r="A1121" s="4">
        <v>1119</v>
      </c>
      <c r="B1121" s="5" t="str">
        <f>"2644202010131801021935"</f>
        <v>2644202010131801021935</v>
      </c>
      <c r="C1121" s="5" t="s">
        <v>15</v>
      </c>
      <c r="D1121" s="5" t="str">
        <f>"程怡"</f>
        <v>程怡</v>
      </c>
      <c r="E1121" s="5" t="str">
        <f>"女"</f>
        <v>女</v>
      </c>
    </row>
    <row r="1122" spans="1:5" ht="30" customHeight="1">
      <c r="A1122" s="4">
        <v>1120</v>
      </c>
      <c r="B1122" s="5" t="str">
        <f>"2644202010132050211964"</f>
        <v>2644202010132050211964</v>
      </c>
      <c r="C1122" s="5" t="s">
        <v>15</v>
      </c>
      <c r="D1122" s="5" t="str">
        <f>"符晓珏"</f>
        <v>符晓珏</v>
      </c>
      <c r="E1122" s="5" t="str">
        <f>"女"</f>
        <v>女</v>
      </c>
    </row>
    <row r="1123" spans="1:5" ht="30" customHeight="1">
      <c r="A1123" s="4">
        <v>1121</v>
      </c>
      <c r="B1123" s="5" t="str">
        <f>"2644202010132122181974"</f>
        <v>2644202010132122181974</v>
      </c>
      <c r="C1123" s="5" t="s">
        <v>15</v>
      </c>
      <c r="D1123" s="5" t="str">
        <f>"文嘉烨"</f>
        <v>文嘉烨</v>
      </c>
      <c r="E1123" s="5" t="str">
        <f>"女"</f>
        <v>女</v>
      </c>
    </row>
    <row r="1124" spans="1:5" ht="30" customHeight="1">
      <c r="A1124" s="4">
        <v>1122</v>
      </c>
      <c r="B1124" s="5" t="str">
        <f>"2644202010132137161980"</f>
        <v>2644202010132137161980</v>
      </c>
      <c r="C1124" s="5" t="s">
        <v>15</v>
      </c>
      <c r="D1124" s="5" t="str">
        <f>"郑可为"</f>
        <v>郑可为</v>
      </c>
      <c r="E1124" s="5" t="str">
        <f>"男"</f>
        <v>男</v>
      </c>
    </row>
    <row r="1125" spans="1:5" ht="30" customHeight="1">
      <c r="A1125" s="4">
        <v>1123</v>
      </c>
      <c r="B1125" s="5" t="str">
        <f>"2644202010140025002018"</f>
        <v>2644202010140025002018</v>
      </c>
      <c r="C1125" s="5" t="s">
        <v>15</v>
      </c>
      <c r="D1125" s="5" t="str">
        <f>"巫康康"</f>
        <v>巫康康</v>
      </c>
      <c r="E1125" s="5" t="str">
        <f>"男"</f>
        <v>男</v>
      </c>
    </row>
    <row r="1126" spans="1:5" ht="30" customHeight="1">
      <c r="A1126" s="4">
        <v>1124</v>
      </c>
      <c r="B1126" s="5" t="str">
        <f>"2644202010140853222028"</f>
        <v>2644202010140853222028</v>
      </c>
      <c r="C1126" s="5" t="s">
        <v>15</v>
      </c>
      <c r="D1126" s="5" t="str">
        <f>"刘镇源"</f>
        <v>刘镇源</v>
      </c>
      <c r="E1126" s="5" t="str">
        <f>"男"</f>
        <v>男</v>
      </c>
    </row>
    <row r="1127" spans="1:5" ht="30" customHeight="1">
      <c r="A1127" s="4">
        <v>1125</v>
      </c>
      <c r="B1127" s="5" t="str">
        <f>"2644202010141143092069"</f>
        <v>2644202010141143092069</v>
      </c>
      <c r="C1127" s="5" t="s">
        <v>15</v>
      </c>
      <c r="D1127" s="5" t="str">
        <f>"李万登"</f>
        <v>李万登</v>
      </c>
      <c r="E1127" s="5" t="str">
        <f>"男"</f>
        <v>男</v>
      </c>
    </row>
    <row r="1128" spans="1:5" ht="30" customHeight="1">
      <c r="A1128" s="4">
        <v>1126</v>
      </c>
      <c r="B1128" s="5" t="str">
        <f>"2644202010141202452077"</f>
        <v>2644202010141202452077</v>
      </c>
      <c r="C1128" s="5" t="s">
        <v>15</v>
      </c>
      <c r="D1128" s="5" t="str">
        <f>"劳海健 "</f>
        <v>劳海健 </v>
      </c>
      <c r="E1128" s="5" t="str">
        <f>"女"</f>
        <v>女</v>
      </c>
    </row>
    <row r="1129" spans="1:5" ht="30" customHeight="1">
      <c r="A1129" s="4">
        <v>1127</v>
      </c>
      <c r="B1129" s="5" t="str">
        <f>"2644202010141458462120"</f>
        <v>2644202010141458462120</v>
      </c>
      <c r="C1129" s="5" t="s">
        <v>15</v>
      </c>
      <c r="D1129" s="5" t="str">
        <f>"潘垂霞"</f>
        <v>潘垂霞</v>
      </c>
      <c r="E1129" s="5" t="str">
        <f>"女"</f>
        <v>女</v>
      </c>
    </row>
    <row r="1130" spans="1:5" ht="30" customHeight="1">
      <c r="A1130" s="4">
        <v>1128</v>
      </c>
      <c r="B1130" s="5" t="str">
        <f>"2644202010141526422128"</f>
        <v>2644202010141526422128</v>
      </c>
      <c r="C1130" s="5" t="s">
        <v>15</v>
      </c>
      <c r="D1130" s="5" t="str">
        <f>"符大伟"</f>
        <v>符大伟</v>
      </c>
      <c r="E1130" s="5" t="str">
        <f aca="true" t="shared" si="41" ref="E1130:E1135">"男"</f>
        <v>男</v>
      </c>
    </row>
    <row r="1131" spans="1:5" ht="30" customHeight="1">
      <c r="A1131" s="4">
        <v>1129</v>
      </c>
      <c r="B1131" s="5" t="str">
        <f>"2644202010141552112136"</f>
        <v>2644202010141552112136</v>
      </c>
      <c r="C1131" s="5" t="s">
        <v>15</v>
      </c>
      <c r="D1131" s="5" t="str">
        <f>"周德晟"</f>
        <v>周德晟</v>
      </c>
      <c r="E1131" s="5" t="str">
        <f t="shared" si="41"/>
        <v>男</v>
      </c>
    </row>
    <row r="1132" spans="1:5" ht="30" customHeight="1">
      <c r="A1132" s="4">
        <v>1130</v>
      </c>
      <c r="B1132" s="5" t="str">
        <f>"2644202010141637352162"</f>
        <v>2644202010141637352162</v>
      </c>
      <c r="C1132" s="5" t="s">
        <v>15</v>
      </c>
      <c r="D1132" s="5" t="str">
        <f>"符存林"</f>
        <v>符存林</v>
      </c>
      <c r="E1132" s="5" t="str">
        <f t="shared" si="41"/>
        <v>男</v>
      </c>
    </row>
    <row r="1133" spans="1:5" ht="30" customHeight="1">
      <c r="A1133" s="4">
        <v>1131</v>
      </c>
      <c r="B1133" s="5" t="str">
        <f>"2644202010141906272202"</f>
        <v>2644202010141906272202</v>
      </c>
      <c r="C1133" s="5" t="s">
        <v>15</v>
      </c>
      <c r="D1133" s="5" t="str">
        <f>"朱崇明"</f>
        <v>朱崇明</v>
      </c>
      <c r="E1133" s="5" t="str">
        <f t="shared" si="41"/>
        <v>男</v>
      </c>
    </row>
    <row r="1134" spans="1:5" ht="30" customHeight="1">
      <c r="A1134" s="4">
        <v>1132</v>
      </c>
      <c r="B1134" s="5" t="str">
        <f>"2644202010142003532219"</f>
        <v>2644202010142003532219</v>
      </c>
      <c r="C1134" s="5" t="s">
        <v>15</v>
      </c>
      <c r="D1134" s="5" t="str">
        <f>"王威"</f>
        <v>王威</v>
      </c>
      <c r="E1134" s="5" t="str">
        <f t="shared" si="41"/>
        <v>男</v>
      </c>
    </row>
    <row r="1135" spans="1:5" ht="30" customHeight="1">
      <c r="A1135" s="4">
        <v>1133</v>
      </c>
      <c r="B1135" s="5" t="str">
        <f>"2644202010142021372225"</f>
        <v>2644202010142021372225</v>
      </c>
      <c r="C1135" s="5" t="s">
        <v>15</v>
      </c>
      <c r="D1135" s="5" t="str">
        <f>"李可可"</f>
        <v>李可可</v>
      </c>
      <c r="E1135" s="5" t="str">
        <f t="shared" si="41"/>
        <v>男</v>
      </c>
    </row>
    <row r="1136" spans="1:5" ht="30" customHeight="1">
      <c r="A1136" s="4">
        <v>1134</v>
      </c>
      <c r="B1136" s="5" t="str">
        <f>"2644202010142200112261"</f>
        <v>2644202010142200112261</v>
      </c>
      <c r="C1136" s="5" t="s">
        <v>15</v>
      </c>
      <c r="D1136" s="5" t="str">
        <f>"林江丽"</f>
        <v>林江丽</v>
      </c>
      <c r="E1136" s="5" t="str">
        <f>"女"</f>
        <v>女</v>
      </c>
    </row>
    <row r="1137" spans="1:5" ht="30" customHeight="1">
      <c r="A1137" s="4">
        <v>1135</v>
      </c>
      <c r="B1137" s="5" t="str">
        <f>"2644202010142218042266"</f>
        <v>2644202010142218042266</v>
      </c>
      <c r="C1137" s="5" t="s">
        <v>15</v>
      </c>
      <c r="D1137" s="5" t="str">
        <f>"符运策"</f>
        <v>符运策</v>
      </c>
      <c r="E1137" s="5" t="str">
        <f>"男"</f>
        <v>男</v>
      </c>
    </row>
    <row r="1138" spans="1:5" ht="30" customHeight="1">
      <c r="A1138" s="4">
        <v>1136</v>
      </c>
      <c r="B1138" s="5" t="str">
        <f>"2644202010150819092324"</f>
        <v>2644202010150819092324</v>
      </c>
      <c r="C1138" s="5" t="s">
        <v>15</v>
      </c>
      <c r="D1138" s="5" t="str">
        <f>"陈苒"</f>
        <v>陈苒</v>
      </c>
      <c r="E1138" s="5" t="str">
        <f>"女"</f>
        <v>女</v>
      </c>
    </row>
    <row r="1139" spans="1:5" ht="30" customHeight="1">
      <c r="A1139" s="4">
        <v>1137</v>
      </c>
      <c r="B1139" s="5" t="str">
        <f>"2644202010151446422420"</f>
        <v>2644202010151446422420</v>
      </c>
      <c r="C1139" s="5" t="s">
        <v>15</v>
      </c>
      <c r="D1139" s="5" t="str">
        <f>"符哲源"</f>
        <v>符哲源</v>
      </c>
      <c r="E1139" s="5" t="str">
        <f>"男"</f>
        <v>男</v>
      </c>
    </row>
    <row r="1140" spans="1:5" ht="30" customHeight="1">
      <c r="A1140" s="4">
        <v>1138</v>
      </c>
      <c r="B1140" s="5" t="str">
        <f>"2644202010151547132444"</f>
        <v>2644202010151547132444</v>
      </c>
      <c r="C1140" s="5" t="s">
        <v>15</v>
      </c>
      <c r="D1140" s="5" t="str">
        <f>"沈苑睿"</f>
        <v>沈苑睿</v>
      </c>
      <c r="E1140" s="5" t="str">
        <f>"女"</f>
        <v>女</v>
      </c>
    </row>
    <row r="1141" spans="1:5" ht="30" customHeight="1">
      <c r="A1141" s="4">
        <v>1139</v>
      </c>
      <c r="B1141" s="5" t="str">
        <f>"2644202010151552322447"</f>
        <v>2644202010151552322447</v>
      </c>
      <c r="C1141" s="5" t="s">
        <v>15</v>
      </c>
      <c r="D1141" s="5" t="str">
        <f>"方岚"</f>
        <v>方岚</v>
      </c>
      <c r="E1141" s="5" t="str">
        <f>"女"</f>
        <v>女</v>
      </c>
    </row>
    <row r="1142" spans="1:5" ht="30" customHeight="1">
      <c r="A1142" s="4">
        <v>1140</v>
      </c>
      <c r="B1142" s="5" t="str">
        <f>"26442020100908462228"</f>
        <v>26442020100908462228</v>
      </c>
      <c r="C1142" s="5" t="s">
        <v>16</v>
      </c>
      <c r="D1142" s="5" t="str">
        <f>"林贵阳"</f>
        <v>林贵阳</v>
      </c>
      <c r="E1142" s="5" t="str">
        <f>"男"</f>
        <v>男</v>
      </c>
    </row>
    <row r="1143" spans="1:5" ht="30" customHeight="1">
      <c r="A1143" s="4">
        <v>1141</v>
      </c>
      <c r="B1143" s="5" t="str">
        <f>"26442020100908512035"</f>
        <v>26442020100908512035</v>
      </c>
      <c r="C1143" s="5" t="s">
        <v>16</v>
      </c>
      <c r="D1143" s="5" t="str">
        <f>"杨欣"</f>
        <v>杨欣</v>
      </c>
      <c r="E1143" s="5" t="str">
        <f>"女"</f>
        <v>女</v>
      </c>
    </row>
    <row r="1144" spans="1:5" ht="30" customHeight="1">
      <c r="A1144" s="4">
        <v>1142</v>
      </c>
      <c r="B1144" s="5" t="str">
        <f>"264420201009094855113"</f>
        <v>264420201009094855113</v>
      </c>
      <c r="C1144" s="5" t="s">
        <v>16</v>
      </c>
      <c r="D1144" s="5" t="str">
        <f>"王紫萍"</f>
        <v>王紫萍</v>
      </c>
      <c r="E1144" s="5" t="str">
        <f>"女"</f>
        <v>女</v>
      </c>
    </row>
    <row r="1145" spans="1:5" ht="30" customHeight="1">
      <c r="A1145" s="4">
        <v>1143</v>
      </c>
      <c r="B1145" s="5" t="str">
        <f>"264420201009100343131"</f>
        <v>264420201009100343131</v>
      </c>
      <c r="C1145" s="5" t="s">
        <v>16</v>
      </c>
      <c r="D1145" s="5" t="str">
        <f>"叶民龙"</f>
        <v>叶民龙</v>
      </c>
      <c r="E1145" s="5" t="str">
        <f>"男"</f>
        <v>男</v>
      </c>
    </row>
    <row r="1146" spans="1:5" ht="30" customHeight="1">
      <c r="A1146" s="4">
        <v>1144</v>
      </c>
      <c r="B1146" s="5" t="str">
        <f>"264420201009102128153"</f>
        <v>264420201009102128153</v>
      </c>
      <c r="C1146" s="5" t="s">
        <v>16</v>
      </c>
      <c r="D1146" s="5" t="str">
        <f>"杨家耀"</f>
        <v>杨家耀</v>
      </c>
      <c r="E1146" s="5" t="str">
        <f>"男"</f>
        <v>男</v>
      </c>
    </row>
    <row r="1147" spans="1:5" ht="30" customHeight="1">
      <c r="A1147" s="4">
        <v>1145</v>
      </c>
      <c r="B1147" s="5" t="str">
        <f>"264420201009104027185"</f>
        <v>264420201009104027185</v>
      </c>
      <c r="C1147" s="5" t="s">
        <v>16</v>
      </c>
      <c r="D1147" s="5" t="str">
        <f>"陈丹"</f>
        <v>陈丹</v>
      </c>
      <c r="E1147" s="5" t="str">
        <f aca="true" t="shared" si="42" ref="E1147:E1158">"女"</f>
        <v>女</v>
      </c>
    </row>
    <row r="1148" spans="1:5" ht="30" customHeight="1">
      <c r="A1148" s="4">
        <v>1146</v>
      </c>
      <c r="B1148" s="5" t="str">
        <f>"264420201009105851214"</f>
        <v>264420201009105851214</v>
      </c>
      <c r="C1148" s="5" t="s">
        <v>16</v>
      </c>
      <c r="D1148" s="5" t="str">
        <f>"符钰瑜"</f>
        <v>符钰瑜</v>
      </c>
      <c r="E1148" s="5" t="str">
        <f t="shared" si="42"/>
        <v>女</v>
      </c>
    </row>
    <row r="1149" spans="1:5" ht="30" customHeight="1">
      <c r="A1149" s="4">
        <v>1147</v>
      </c>
      <c r="B1149" s="5" t="str">
        <f>"264420201009111228232"</f>
        <v>264420201009111228232</v>
      </c>
      <c r="C1149" s="5" t="s">
        <v>16</v>
      </c>
      <c r="D1149" s="5" t="str">
        <f>"陈杏芸"</f>
        <v>陈杏芸</v>
      </c>
      <c r="E1149" s="5" t="str">
        <f t="shared" si="42"/>
        <v>女</v>
      </c>
    </row>
    <row r="1150" spans="1:5" ht="30" customHeight="1">
      <c r="A1150" s="4">
        <v>1148</v>
      </c>
      <c r="B1150" s="5" t="str">
        <f>"264420201009112928252"</f>
        <v>264420201009112928252</v>
      </c>
      <c r="C1150" s="5" t="s">
        <v>16</v>
      </c>
      <c r="D1150" s="5" t="str">
        <f>"吴钟淦"</f>
        <v>吴钟淦</v>
      </c>
      <c r="E1150" s="5" t="str">
        <f t="shared" si="42"/>
        <v>女</v>
      </c>
    </row>
    <row r="1151" spans="1:5" ht="30" customHeight="1">
      <c r="A1151" s="4">
        <v>1149</v>
      </c>
      <c r="B1151" s="5" t="str">
        <f>"264420201009123518312"</f>
        <v>264420201009123518312</v>
      </c>
      <c r="C1151" s="5" t="s">
        <v>16</v>
      </c>
      <c r="D1151" s="5" t="str">
        <f>"朱珍莹"</f>
        <v>朱珍莹</v>
      </c>
      <c r="E1151" s="5" t="str">
        <f t="shared" si="42"/>
        <v>女</v>
      </c>
    </row>
    <row r="1152" spans="1:5" ht="30" customHeight="1">
      <c r="A1152" s="4">
        <v>1150</v>
      </c>
      <c r="B1152" s="5" t="str">
        <f>"264420201009143109374"</f>
        <v>264420201009143109374</v>
      </c>
      <c r="C1152" s="5" t="s">
        <v>16</v>
      </c>
      <c r="D1152" s="5" t="str">
        <f>"林珍珍"</f>
        <v>林珍珍</v>
      </c>
      <c r="E1152" s="5" t="str">
        <f t="shared" si="42"/>
        <v>女</v>
      </c>
    </row>
    <row r="1153" spans="1:5" ht="30" customHeight="1">
      <c r="A1153" s="4">
        <v>1151</v>
      </c>
      <c r="B1153" s="5" t="str">
        <f>"264420201009152102416"</f>
        <v>264420201009152102416</v>
      </c>
      <c r="C1153" s="5" t="s">
        <v>16</v>
      </c>
      <c r="D1153" s="5" t="str">
        <f>"庞妙玲"</f>
        <v>庞妙玲</v>
      </c>
      <c r="E1153" s="5" t="str">
        <f t="shared" si="42"/>
        <v>女</v>
      </c>
    </row>
    <row r="1154" spans="1:5" ht="30" customHeight="1">
      <c r="A1154" s="4">
        <v>1152</v>
      </c>
      <c r="B1154" s="5" t="str">
        <f>"264420201009181036559"</f>
        <v>264420201009181036559</v>
      </c>
      <c r="C1154" s="5" t="s">
        <v>16</v>
      </c>
      <c r="D1154" s="5" t="str">
        <f>"曾宪崖"</f>
        <v>曾宪崖</v>
      </c>
      <c r="E1154" s="5" t="str">
        <f t="shared" si="42"/>
        <v>女</v>
      </c>
    </row>
    <row r="1155" spans="1:5" ht="30" customHeight="1">
      <c r="A1155" s="4">
        <v>1153</v>
      </c>
      <c r="B1155" s="5" t="str">
        <f>"264420201009192002608"</f>
        <v>264420201009192002608</v>
      </c>
      <c r="C1155" s="5" t="s">
        <v>16</v>
      </c>
      <c r="D1155" s="5" t="str">
        <f>"严香芬"</f>
        <v>严香芬</v>
      </c>
      <c r="E1155" s="5" t="str">
        <f t="shared" si="42"/>
        <v>女</v>
      </c>
    </row>
    <row r="1156" spans="1:5" ht="30" customHeight="1">
      <c r="A1156" s="4">
        <v>1154</v>
      </c>
      <c r="B1156" s="5" t="str">
        <f>"264420201009200053643"</f>
        <v>264420201009200053643</v>
      </c>
      <c r="C1156" s="5" t="s">
        <v>16</v>
      </c>
      <c r="D1156" s="5" t="str">
        <f>"林靖"</f>
        <v>林靖</v>
      </c>
      <c r="E1156" s="5" t="str">
        <f t="shared" si="42"/>
        <v>女</v>
      </c>
    </row>
    <row r="1157" spans="1:5" ht="30" customHeight="1">
      <c r="A1157" s="4">
        <v>1155</v>
      </c>
      <c r="B1157" s="5" t="str">
        <f>"264420201009220600747"</f>
        <v>264420201009220600747</v>
      </c>
      <c r="C1157" s="5" t="s">
        <v>16</v>
      </c>
      <c r="D1157" s="5" t="str">
        <f>"林磊"</f>
        <v>林磊</v>
      </c>
      <c r="E1157" s="5" t="str">
        <f t="shared" si="42"/>
        <v>女</v>
      </c>
    </row>
    <row r="1158" spans="1:5" ht="30" customHeight="1">
      <c r="A1158" s="4">
        <v>1156</v>
      </c>
      <c r="B1158" s="5" t="str">
        <f>"264420201010122510943"</f>
        <v>264420201010122510943</v>
      </c>
      <c r="C1158" s="5" t="s">
        <v>16</v>
      </c>
      <c r="D1158" s="5" t="str">
        <f>"吴秋芳"</f>
        <v>吴秋芳</v>
      </c>
      <c r="E1158" s="5" t="str">
        <f t="shared" si="42"/>
        <v>女</v>
      </c>
    </row>
    <row r="1159" spans="1:5" ht="30" customHeight="1">
      <c r="A1159" s="4">
        <v>1157</v>
      </c>
      <c r="B1159" s="5" t="str">
        <f>"2644202010101608081022"</f>
        <v>2644202010101608081022</v>
      </c>
      <c r="C1159" s="5" t="s">
        <v>16</v>
      </c>
      <c r="D1159" s="5" t="str">
        <f>"陈泽培"</f>
        <v>陈泽培</v>
      </c>
      <c r="E1159" s="5" t="str">
        <f>"男"</f>
        <v>男</v>
      </c>
    </row>
    <row r="1160" spans="1:5" ht="30" customHeight="1">
      <c r="A1160" s="4">
        <v>1158</v>
      </c>
      <c r="B1160" s="5" t="str">
        <f>"2644202010101621121027"</f>
        <v>2644202010101621121027</v>
      </c>
      <c r="C1160" s="5" t="s">
        <v>16</v>
      </c>
      <c r="D1160" s="5" t="str">
        <f>"邢谷桦"</f>
        <v>邢谷桦</v>
      </c>
      <c r="E1160" s="5" t="str">
        <f>"男"</f>
        <v>男</v>
      </c>
    </row>
    <row r="1161" spans="1:5" ht="30" customHeight="1">
      <c r="A1161" s="4">
        <v>1159</v>
      </c>
      <c r="B1161" s="5" t="str">
        <f>"2644202010101920031088"</f>
        <v>2644202010101920031088</v>
      </c>
      <c r="C1161" s="5" t="s">
        <v>16</v>
      </c>
      <c r="D1161" s="5" t="str">
        <f>"王丹丹"</f>
        <v>王丹丹</v>
      </c>
      <c r="E1161" s="5" t="str">
        <f>"女"</f>
        <v>女</v>
      </c>
    </row>
    <row r="1162" spans="1:5" ht="30" customHeight="1">
      <c r="A1162" s="4">
        <v>1160</v>
      </c>
      <c r="B1162" s="5" t="str">
        <f>"2644202010102348241164"</f>
        <v>2644202010102348241164</v>
      </c>
      <c r="C1162" s="5" t="s">
        <v>16</v>
      </c>
      <c r="D1162" s="5" t="str">
        <f>"冯晓玲"</f>
        <v>冯晓玲</v>
      </c>
      <c r="E1162" s="5" t="str">
        <f>"女"</f>
        <v>女</v>
      </c>
    </row>
    <row r="1163" spans="1:5" ht="30" customHeight="1">
      <c r="A1163" s="4">
        <v>1161</v>
      </c>
      <c r="B1163" s="5" t="str">
        <f>"2644202010111043101214"</f>
        <v>2644202010111043101214</v>
      </c>
      <c r="C1163" s="5" t="s">
        <v>16</v>
      </c>
      <c r="D1163" s="5" t="str">
        <f>"杨树羽"</f>
        <v>杨树羽</v>
      </c>
      <c r="E1163" s="5" t="str">
        <f>"男"</f>
        <v>男</v>
      </c>
    </row>
    <row r="1164" spans="1:5" ht="30" customHeight="1">
      <c r="A1164" s="4">
        <v>1162</v>
      </c>
      <c r="B1164" s="5" t="str">
        <f>"2644202010111100381217"</f>
        <v>2644202010111100381217</v>
      </c>
      <c r="C1164" s="5" t="s">
        <v>16</v>
      </c>
      <c r="D1164" s="5" t="str">
        <f>"陈俊龙"</f>
        <v>陈俊龙</v>
      </c>
      <c r="E1164" s="5" t="str">
        <f>"男"</f>
        <v>男</v>
      </c>
    </row>
    <row r="1165" spans="1:5" ht="30" customHeight="1">
      <c r="A1165" s="4">
        <v>1163</v>
      </c>
      <c r="B1165" s="5" t="str">
        <f>"2644202010111102051218"</f>
        <v>2644202010111102051218</v>
      </c>
      <c r="C1165" s="5" t="s">
        <v>16</v>
      </c>
      <c r="D1165" s="5" t="str">
        <f>"沈小珠"</f>
        <v>沈小珠</v>
      </c>
      <c r="E1165" s="5" t="str">
        <f>"女"</f>
        <v>女</v>
      </c>
    </row>
    <row r="1166" spans="1:5" ht="30" customHeight="1">
      <c r="A1166" s="4">
        <v>1164</v>
      </c>
      <c r="B1166" s="5" t="str">
        <f>"2644202010111146061233"</f>
        <v>2644202010111146061233</v>
      </c>
      <c r="C1166" s="5" t="s">
        <v>16</v>
      </c>
      <c r="D1166" s="5" t="str">
        <f>"陈若如"</f>
        <v>陈若如</v>
      </c>
      <c r="E1166" s="5" t="str">
        <f>"女"</f>
        <v>女</v>
      </c>
    </row>
    <row r="1167" spans="1:5" ht="30" customHeight="1">
      <c r="A1167" s="4">
        <v>1165</v>
      </c>
      <c r="B1167" s="5" t="str">
        <f>"2644202010121722011658"</f>
        <v>2644202010121722011658</v>
      </c>
      <c r="C1167" s="5" t="s">
        <v>16</v>
      </c>
      <c r="D1167" s="5" t="str">
        <f>"陈元程"</f>
        <v>陈元程</v>
      </c>
      <c r="E1167" s="5" t="str">
        <f>"男"</f>
        <v>男</v>
      </c>
    </row>
    <row r="1168" spans="1:5" ht="30" customHeight="1">
      <c r="A1168" s="4">
        <v>1166</v>
      </c>
      <c r="B1168" s="5" t="str">
        <f>"2644202010132128111976"</f>
        <v>2644202010132128111976</v>
      </c>
      <c r="C1168" s="5" t="s">
        <v>16</v>
      </c>
      <c r="D1168" s="5" t="str">
        <f>"陈炉爱"</f>
        <v>陈炉爱</v>
      </c>
      <c r="E1168" s="5" t="str">
        <f>"女"</f>
        <v>女</v>
      </c>
    </row>
    <row r="1169" spans="1:5" ht="30" customHeight="1">
      <c r="A1169" s="4">
        <v>1167</v>
      </c>
      <c r="B1169" s="5" t="str">
        <f>"2644202010141210192081"</f>
        <v>2644202010141210192081</v>
      </c>
      <c r="C1169" s="5" t="s">
        <v>16</v>
      </c>
      <c r="D1169" s="5" t="str">
        <f>"王蕊"</f>
        <v>王蕊</v>
      </c>
      <c r="E1169" s="5" t="str">
        <f>"女"</f>
        <v>女</v>
      </c>
    </row>
    <row r="1170" spans="1:5" ht="30" customHeight="1">
      <c r="A1170" s="4">
        <v>1168</v>
      </c>
      <c r="B1170" s="5" t="str">
        <f>"2644202010142209192263"</f>
        <v>2644202010142209192263</v>
      </c>
      <c r="C1170" s="5" t="s">
        <v>16</v>
      </c>
      <c r="D1170" s="5" t="str">
        <f>"邓菁翠"</f>
        <v>邓菁翠</v>
      </c>
      <c r="E1170" s="5" t="str">
        <f>"女"</f>
        <v>女</v>
      </c>
    </row>
    <row r="1171" spans="1:5" ht="30" customHeight="1">
      <c r="A1171" s="4">
        <v>1169</v>
      </c>
      <c r="B1171" s="5" t="str">
        <f>"2644202010151200042392"</f>
        <v>2644202010151200042392</v>
      </c>
      <c r="C1171" s="5" t="s">
        <v>16</v>
      </c>
      <c r="D1171" s="5" t="str">
        <f>"符秋宝"</f>
        <v>符秋宝</v>
      </c>
      <c r="E1171" s="5" t="str">
        <f>"女"</f>
        <v>女</v>
      </c>
    </row>
    <row r="1172" spans="1:5" ht="30" customHeight="1">
      <c r="A1172" s="4">
        <v>1170</v>
      </c>
      <c r="B1172" s="5" t="str">
        <f>"264420201009103723183"</f>
        <v>264420201009103723183</v>
      </c>
      <c r="C1172" s="5" t="s">
        <v>17</v>
      </c>
      <c r="D1172" s="5" t="str">
        <f>"陈泽"</f>
        <v>陈泽</v>
      </c>
      <c r="E1172" s="5" t="str">
        <f>"男"</f>
        <v>男</v>
      </c>
    </row>
    <row r="1173" spans="1:5" ht="30" customHeight="1">
      <c r="A1173" s="4">
        <v>1171</v>
      </c>
      <c r="B1173" s="5" t="str">
        <f>"264420201009111337234"</f>
        <v>264420201009111337234</v>
      </c>
      <c r="C1173" s="5" t="s">
        <v>17</v>
      </c>
      <c r="D1173" s="5" t="str">
        <f>"陈介"</f>
        <v>陈介</v>
      </c>
      <c r="E1173" s="5" t="str">
        <f>"男"</f>
        <v>男</v>
      </c>
    </row>
    <row r="1174" spans="1:5" ht="30" customHeight="1">
      <c r="A1174" s="4">
        <v>1172</v>
      </c>
      <c r="B1174" s="5" t="str">
        <f>"264420201009180944556"</f>
        <v>264420201009180944556</v>
      </c>
      <c r="C1174" s="5" t="s">
        <v>17</v>
      </c>
      <c r="D1174" s="5" t="str">
        <f>"李贵锦"</f>
        <v>李贵锦</v>
      </c>
      <c r="E1174" s="5" t="str">
        <f>"男"</f>
        <v>男</v>
      </c>
    </row>
    <row r="1175" spans="1:5" ht="30" customHeight="1">
      <c r="A1175" s="4">
        <v>1173</v>
      </c>
      <c r="B1175" s="5" t="str">
        <f>"264420201009201646657"</f>
        <v>264420201009201646657</v>
      </c>
      <c r="C1175" s="5" t="s">
        <v>17</v>
      </c>
      <c r="D1175" s="5" t="str">
        <f>"董蔚徳"</f>
        <v>董蔚徳</v>
      </c>
      <c r="E1175" s="5" t="str">
        <f>"男"</f>
        <v>男</v>
      </c>
    </row>
    <row r="1176" spans="1:5" ht="30" customHeight="1">
      <c r="A1176" s="4">
        <v>1174</v>
      </c>
      <c r="B1176" s="5" t="str">
        <f>"264420201009202110661"</f>
        <v>264420201009202110661</v>
      </c>
      <c r="C1176" s="5" t="s">
        <v>17</v>
      </c>
      <c r="D1176" s="5" t="str">
        <f>"林资杰"</f>
        <v>林资杰</v>
      </c>
      <c r="E1176" s="5" t="str">
        <f>"男"</f>
        <v>男</v>
      </c>
    </row>
    <row r="1177" spans="1:5" ht="30" customHeight="1">
      <c r="A1177" s="4">
        <v>1175</v>
      </c>
      <c r="B1177" s="5" t="str">
        <f>"264420201009202143662"</f>
        <v>264420201009202143662</v>
      </c>
      <c r="C1177" s="5" t="s">
        <v>17</v>
      </c>
      <c r="D1177" s="5" t="str">
        <f>"陈宝慧"</f>
        <v>陈宝慧</v>
      </c>
      <c r="E1177" s="5" t="str">
        <f>"女"</f>
        <v>女</v>
      </c>
    </row>
    <row r="1178" spans="1:5" ht="30" customHeight="1">
      <c r="A1178" s="4">
        <v>1176</v>
      </c>
      <c r="B1178" s="5" t="str">
        <f>"264420201009214314732"</f>
        <v>264420201009214314732</v>
      </c>
      <c r="C1178" s="5" t="s">
        <v>17</v>
      </c>
      <c r="D1178" s="5" t="str">
        <f>"黎秀玲"</f>
        <v>黎秀玲</v>
      </c>
      <c r="E1178" s="5" t="str">
        <f>"女"</f>
        <v>女</v>
      </c>
    </row>
    <row r="1179" spans="1:5" ht="30" customHeight="1">
      <c r="A1179" s="4">
        <v>1177</v>
      </c>
      <c r="B1179" s="5" t="str">
        <f>"264420201009214425734"</f>
        <v>264420201009214425734</v>
      </c>
      <c r="C1179" s="5" t="s">
        <v>17</v>
      </c>
      <c r="D1179" s="5" t="str">
        <f>"王石龙"</f>
        <v>王石龙</v>
      </c>
      <c r="E1179" s="5" t="str">
        <f>"男"</f>
        <v>男</v>
      </c>
    </row>
    <row r="1180" spans="1:5" ht="30" customHeight="1">
      <c r="A1180" s="4">
        <v>1178</v>
      </c>
      <c r="B1180" s="5" t="str">
        <f>"264420201010080240816"</f>
        <v>264420201010080240816</v>
      </c>
      <c r="C1180" s="5" t="s">
        <v>17</v>
      </c>
      <c r="D1180" s="5" t="str">
        <f>"吴仪"</f>
        <v>吴仪</v>
      </c>
      <c r="E1180" s="5" t="str">
        <f>"女"</f>
        <v>女</v>
      </c>
    </row>
    <row r="1181" spans="1:5" ht="30" customHeight="1">
      <c r="A1181" s="4">
        <v>1179</v>
      </c>
      <c r="B1181" s="5" t="str">
        <f>"264420201010094841861"</f>
        <v>264420201010094841861</v>
      </c>
      <c r="C1181" s="5" t="s">
        <v>17</v>
      </c>
      <c r="D1181" s="5" t="str">
        <f>"蒙玉丹"</f>
        <v>蒙玉丹</v>
      </c>
      <c r="E1181" s="5" t="str">
        <f>"女"</f>
        <v>女</v>
      </c>
    </row>
    <row r="1182" spans="1:5" ht="30" customHeight="1">
      <c r="A1182" s="4">
        <v>1180</v>
      </c>
      <c r="B1182" s="5" t="str">
        <f>"264420201010131909963"</f>
        <v>264420201010131909963</v>
      </c>
      <c r="C1182" s="5" t="s">
        <v>17</v>
      </c>
      <c r="D1182" s="5" t="str">
        <f>"李定良"</f>
        <v>李定良</v>
      </c>
      <c r="E1182" s="5" t="str">
        <f>"男"</f>
        <v>男</v>
      </c>
    </row>
    <row r="1183" spans="1:5" ht="30" customHeight="1">
      <c r="A1183" s="4">
        <v>1181</v>
      </c>
      <c r="B1183" s="5" t="str">
        <f>"264420201010145347990"</f>
        <v>264420201010145347990</v>
      </c>
      <c r="C1183" s="5" t="s">
        <v>17</v>
      </c>
      <c r="D1183" s="5" t="str">
        <f>"蒙依婷"</f>
        <v>蒙依婷</v>
      </c>
      <c r="E1183" s="5" t="str">
        <f>"女"</f>
        <v>女</v>
      </c>
    </row>
    <row r="1184" spans="1:5" ht="30" customHeight="1">
      <c r="A1184" s="4">
        <v>1182</v>
      </c>
      <c r="B1184" s="5" t="str">
        <f>"264420201010145955993"</f>
        <v>264420201010145955993</v>
      </c>
      <c r="C1184" s="5" t="s">
        <v>17</v>
      </c>
      <c r="D1184" s="5" t="str">
        <f>"王宦"</f>
        <v>王宦</v>
      </c>
      <c r="E1184" s="5" t="str">
        <f>"男"</f>
        <v>男</v>
      </c>
    </row>
    <row r="1185" spans="1:5" ht="30" customHeight="1">
      <c r="A1185" s="4">
        <v>1183</v>
      </c>
      <c r="B1185" s="5" t="str">
        <f>"2644202010102055411112"</f>
        <v>2644202010102055411112</v>
      </c>
      <c r="C1185" s="5" t="s">
        <v>17</v>
      </c>
      <c r="D1185" s="5" t="str">
        <f>"周秀鸿"</f>
        <v>周秀鸿</v>
      </c>
      <c r="E1185" s="5" t="str">
        <f>"男"</f>
        <v>男</v>
      </c>
    </row>
    <row r="1186" spans="1:5" ht="30" customHeight="1">
      <c r="A1186" s="4">
        <v>1184</v>
      </c>
      <c r="B1186" s="5" t="str">
        <f>"2644202010102149551139"</f>
        <v>2644202010102149551139</v>
      </c>
      <c r="C1186" s="5" t="s">
        <v>17</v>
      </c>
      <c r="D1186" s="5" t="str">
        <f>"钟晓雨"</f>
        <v>钟晓雨</v>
      </c>
      <c r="E1186" s="5" t="str">
        <f>"女"</f>
        <v>女</v>
      </c>
    </row>
    <row r="1187" spans="1:5" ht="30" customHeight="1">
      <c r="A1187" s="4">
        <v>1185</v>
      </c>
      <c r="B1187" s="5" t="str">
        <f>"2644202010110640161177"</f>
        <v>2644202010110640161177</v>
      </c>
      <c r="C1187" s="5" t="s">
        <v>17</v>
      </c>
      <c r="D1187" s="5" t="str">
        <f>"符光忠"</f>
        <v>符光忠</v>
      </c>
      <c r="E1187" s="5" t="str">
        <f>"男"</f>
        <v>男</v>
      </c>
    </row>
    <row r="1188" spans="1:5" ht="30" customHeight="1">
      <c r="A1188" s="4">
        <v>1186</v>
      </c>
      <c r="B1188" s="5" t="str">
        <f>"2644202010111311411256"</f>
        <v>2644202010111311411256</v>
      </c>
      <c r="C1188" s="5" t="s">
        <v>17</v>
      </c>
      <c r="D1188" s="5" t="str">
        <f>"秦伟师"</f>
        <v>秦伟师</v>
      </c>
      <c r="E1188" s="5" t="str">
        <f>"男"</f>
        <v>男</v>
      </c>
    </row>
    <row r="1189" spans="1:5" ht="30" customHeight="1">
      <c r="A1189" s="4">
        <v>1187</v>
      </c>
      <c r="B1189" s="5" t="str">
        <f>"2644202010111343591267"</f>
        <v>2644202010111343591267</v>
      </c>
      <c r="C1189" s="5" t="s">
        <v>17</v>
      </c>
      <c r="D1189" s="5" t="str">
        <f>"王明鑫"</f>
        <v>王明鑫</v>
      </c>
      <c r="E1189" s="5" t="str">
        <f>"男"</f>
        <v>男</v>
      </c>
    </row>
    <row r="1190" spans="1:5" ht="30" customHeight="1">
      <c r="A1190" s="4">
        <v>1188</v>
      </c>
      <c r="B1190" s="5" t="str">
        <f>"2644202010111639161322"</f>
        <v>2644202010111639161322</v>
      </c>
      <c r="C1190" s="5" t="s">
        <v>17</v>
      </c>
      <c r="D1190" s="5" t="str">
        <f>"陈鹏翔"</f>
        <v>陈鹏翔</v>
      </c>
      <c r="E1190" s="5" t="str">
        <f>"男"</f>
        <v>男</v>
      </c>
    </row>
    <row r="1191" spans="1:5" ht="30" customHeight="1">
      <c r="A1191" s="4">
        <v>1189</v>
      </c>
      <c r="B1191" s="5" t="str">
        <f>"2644202010112011401392"</f>
        <v>2644202010112011401392</v>
      </c>
      <c r="C1191" s="5" t="s">
        <v>17</v>
      </c>
      <c r="D1191" s="5" t="str">
        <f>"罗圣辉"</f>
        <v>罗圣辉</v>
      </c>
      <c r="E1191" s="5" t="str">
        <f>"男"</f>
        <v>男</v>
      </c>
    </row>
    <row r="1192" spans="1:5" ht="30" customHeight="1">
      <c r="A1192" s="4">
        <v>1190</v>
      </c>
      <c r="B1192" s="5" t="str">
        <f>"2644202010121026591506"</f>
        <v>2644202010121026591506</v>
      </c>
      <c r="C1192" s="5" t="s">
        <v>17</v>
      </c>
      <c r="D1192" s="5" t="str">
        <f>"许慧玲"</f>
        <v>许慧玲</v>
      </c>
      <c r="E1192" s="5" t="str">
        <f>"女"</f>
        <v>女</v>
      </c>
    </row>
    <row r="1193" spans="1:5" ht="30" customHeight="1">
      <c r="A1193" s="4">
        <v>1191</v>
      </c>
      <c r="B1193" s="5" t="str">
        <f>"2644202010121511251603"</f>
        <v>2644202010121511251603</v>
      </c>
      <c r="C1193" s="5" t="s">
        <v>17</v>
      </c>
      <c r="D1193" s="5" t="str">
        <f>"羊周宏"</f>
        <v>羊周宏</v>
      </c>
      <c r="E1193" s="5" t="str">
        <f>"男"</f>
        <v>男</v>
      </c>
    </row>
    <row r="1194" spans="1:5" ht="30" customHeight="1">
      <c r="A1194" s="4">
        <v>1192</v>
      </c>
      <c r="B1194" s="5" t="str">
        <f>"2644202010122049051707"</f>
        <v>2644202010122049051707</v>
      </c>
      <c r="C1194" s="5" t="s">
        <v>17</v>
      </c>
      <c r="D1194" s="5" t="str">
        <f>"邓政源"</f>
        <v>邓政源</v>
      </c>
      <c r="E1194" s="5" t="str">
        <f>"男"</f>
        <v>男</v>
      </c>
    </row>
    <row r="1195" spans="1:5" ht="30" customHeight="1">
      <c r="A1195" s="4">
        <v>1193</v>
      </c>
      <c r="B1195" s="5" t="str">
        <f>"2644202010131620331911"</f>
        <v>2644202010131620331911</v>
      </c>
      <c r="C1195" s="5" t="s">
        <v>17</v>
      </c>
      <c r="D1195" s="5" t="str">
        <f>"黄修庆"</f>
        <v>黄修庆</v>
      </c>
      <c r="E1195" s="5" t="str">
        <f>"男"</f>
        <v>男</v>
      </c>
    </row>
    <row r="1196" spans="1:5" ht="30" customHeight="1">
      <c r="A1196" s="4">
        <v>1194</v>
      </c>
      <c r="B1196" s="5" t="str">
        <f>"2644202010151008542358"</f>
        <v>2644202010151008542358</v>
      </c>
      <c r="C1196" s="5" t="s">
        <v>17</v>
      </c>
      <c r="D1196" s="5" t="str">
        <f>"秦少钊"</f>
        <v>秦少钊</v>
      </c>
      <c r="E1196" s="5" t="str">
        <f>"男"</f>
        <v>男</v>
      </c>
    </row>
    <row r="1197" spans="1:5" ht="30" customHeight="1">
      <c r="A1197" s="4">
        <v>1195</v>
      </c>
      <c r="B1197" s="5" t="str">
        <f>"2644202010101725181056"</f>
        <v>2644202010101725181056</v>
      </c>
      <c r="C1197" s="5" t="s">
        <v>18</v>
      </c>
      <c r="D1197" s="5" t="str">
        <f>"黄思慧"</f>
        <v>黄思慧</v>
      </c>
      <c r="E1197" s="5" t="str">
        <f>"女"</f>
        <v>女</v>
      </c>
    </row>
    <row r="1198" spans="1:5" ht="30" customHeight="1">
      <c r="A1198" s="4">
        <v>1196</v>
      </c>
      <c r="B1198" s="5" t="str">
        <f>"2644202010130903091772"</f>
        <v>2644202010130903091772</v>
      </c>
      <c r="C1198" s="5" t="s">
        <v>18</v>
      </c>
      <c r="D1198" s="5" t="str">
        <f>"曾人珍"</f>
        <v>曾人珍</v>
      </c>
      <c r="E1198" s="5" t="str">
        <f>"女"</f>
        <v>女</v>
      </c>
    </row>
    <row r="1199" spans="1:5" ht="30" customHeight="1">
      <c r="A1199" s="4">
        <v>1197</v>
      </c>
      <c r="B1199" s="5" t="str">
        <f>"2644202010150918482344"</f>
        <v>2644202010150918482344</v>
      </c>
      <c r="C1199" s="5" t="s">
        <v>18</v>
      </c>
      <c r="D1199" s="5" t="str">
        <f>"符陈莉"</f>
        <v>符陈莉</v>
      </c>
      <c r="E1199" s="5" t="str">
        <f>"女"</f>
        <v>女</v>
      </c>
    </row>
    <row r="1200" spans="1:5" ht="30" customHeight="1">
      <c r="A1200" s="4">
        <v>1198</v>
      </c>
      <c r="B1200" s="5" t="str">
        <f>"264420201009095330120"</f>
        <v>264420201009095330120</v>
      </c>
      <c r="C1200" s="5" t="s">
        <v>19</v>
      </c>
      <c r="D1200" s="5" t="str">
        <f>"符海转"</f>
        <v>符海转</v>
      </c>
      <c r="E1200" s="5" t="str">
        <f>"女"</f>
        <v>女</v>
      </c>
    </row>
    <row r="1201" spans="1:5" ht="30" customHeight="1">
      <c r="A1201" s="4">
        <v>1199</v>
      </c>
      <c r="B1201" s="5" t="str">
        <f>"264420201009105958217"</f>
        <v>264420201009105958217</v>
      </c>
      <c r="C1201" s="5" t="s">
        <v>19</v>
      </c>
      <c r="D1201" s="5" t="str">
        <f>"韦新阳"</f>
        <v>韦新阳</v>
      </c>
      <c r="E1201" s="5" t="str">
        <f>"男"</f>
        <v>男</v>
      </c>
    </row>
    <row r="1202" spans="1:5" ht="30" customHeight="1">
      <c r="A1202" s="4">
        <v>1200</v>
      </c>
      <c r="B1202" s="5" t="str">
        <f>"264420201009145145389"</f>
        <v>264420201009145145389</v>
      </c>
      <c r="C1202" s="5" t="s">
        <v>19</v>
      </c>
      <c r="D1202" s="5" t="str">
        <f>"符丽琼"</f>
        <v>符丽琼</v>
      </c>
      <c r="E1202" s="5" t="str">
        <f>"女"</f>
        <v>女</v>
      </c>
    </row>
    <row r="1203" spans="1:5" ht="30" customHeight="1">
      <c r="A1203" s="4">
        <v>1201</v>
      </c>
      <c r="B1203" s="5" t="str">
        <f>"264420201009171459526"</f>
        <v>264420201009171459526</v>
      </c>
      <c r="C1203" s="5" t="s">
        <v>19</v>
      </c>
      <c r="D1203" s="5" t="str">
        <f>"杨钰楠"</f>
        <v>杨钰楠</v>
      </c>
      <c r="E1203" s="5" t="str">
        <f>"女"</f>
        <v>女</v>
      </c>
    </row>
    <row r="1204" spans="1:5" ht="30" customHeight="1">
      <c r="A1204" s="4">
        <v>1202</v>
      </c>
      <c r="B1204" s="5" t="str">
        <f>"264420201009182424568"</f>
        <v>264420201009182424568</v>
      </c>
      <c r="C1204" s="5" t="s">
        <v>19</v>
      </c>
      <c r="D1204" s="5" t="str">
        <f>"彭济民"</f>
        <v>彭济民</v>
      </c>
      <c r="E1204" s="5" t="str">
        <f>"男"</f>
        <v>男</v>
      </c>
    </row>
    <row r="1205" spans="1:5" ht="30" customHeight="1">
      <c r="A1205" s="4">
        <v>1203</v>
      </c>
      <c r="B1205" s="5" t="str">
        <f>"2644202010101636411034"</f>
        <v>2644202010101636411034</v>
      </c>
      <c r="C1205" s="5" t="s">
        <v>19</v>
      </c>
      <c r="D1205" s="5" t="str">
        <f>"吴婉桃"</f>
        <v>吴婉桃</v>
      </c>
      <c r="E1205" s="5" t="str">
        <f>"女"</f>
        <v>女</v>
      </c>
    </row>
    <row r="1206" spans="1:5" ht="30" customHeight="1">
      <c r="A1206" s="4">
        <v>1204</v>
      </c>
      <c r="B1206" s="5" t="str">
        <f>"2644202010102352371165"</f>
        <v>2644202010102352371165</v>
      </c>
      <c r="C1206" s="5" t="s">
        <v>19</v>
      </c>
      <c r="D1206" s="5" t="str">
        <f>"周菊秋"</f>
        <v>周菊秋</v>
      </c>
      <c r="E1206" s="5" t="str">
        <f>"女"</f>
        <v>女</v>
      </c>
    </row>
    <row r="1207" spans="1:5" ht="30" customHeight="1">
      <c r="A1207" s="4">
        <v>1205</v>
      </c>
      <c r="B1207" s="5" t="str">
        <f>"2644202010111039271212"</f>
        <v>2644202010111039271212</v>
      </c>
      <c r="C1207" s="5" t="s">
        <v>19</v>
      </c>
      <c r="D1207" s="5" t="str">
        <f>"邢青窈"</f>
        <v>邢青窈</v>
      </c>
      <c r="E1207" s="5" t="str">
        <f>"女"</f>
        <v>女</v>
      </c>
    </row>
    <row r="1208" spans="1:5" ht="30" customHeight="1">
      <c r="A1208" s="4">
        <v>1206</v>
      </c>
      <c r="B1208" s="5" t="str">
        <f>"2644202010131613381909"</f>
        <v>2644202010131613381909</v>
      </c>
      <c r="C1208" s="5" t="s">
        <v>19</v>
      </c>
      <c r="D1208" s="5" t="str">
        <f>"莫金丽"</f>
        <v>莫金丽</v>
      </c>
      <c r="E1208" s="5" t="str">
        <f>"女"</f>
        <v>女</v>
      </c>
    </row>
    <row r="1209" spans="1:5" ht="30" customHeight="1">
      <c r="A1209" s="4">
        <v>1207</v>
      </c>
      <c r="B1209" s="5" t="str">
        <f>"2644202010142210272264"</f>
        <v>2644202010142210272264</v>
      </c>
      <c r="C1209" s="5" t="s">
        <v>19</v>
      </c>
      <c r="D1209" s="5" t="str">
        <f>"关姜山"</f>
        <v>关姜山</v>
      </c>
      <c r="E1209" s="5" t="str">
        <f>"男"</f>
        <v>男</v>
      </c>
    </row>
    <row r="1210" spans="1:5" ht="30" customHeight="1">
      <c r="A1210" s="4">
        <v>1208</v>
      </c>
      <c r="B1210" s="5" t="str">
        <f>"2644202010150930022350"</f>
        <v>2644202010150930022350</v>
      </c>
      <c r="C1210" s="5" t="s">
        <v>19</v>
      </c>
      <c r="D1210" s="5" t="str">
        <f>"何叶"</f>
        <v>何叶</v>
      </c>
      <c r="E1210" s="5" t="str">
        <f aca="true" t="shared" si="43" ref="E1210:E1219">"女"</f>
        <v>女</v>
      </c>
    </row>
    <row r="1211" spans="1:5" ht="30" customHeight="1">
      <c r="A1211" s="4">
        <v>1209</v>
      </c>
      <c r="B1211" s="5" t="str">
        <f>"2644202010151414562412"</f>
        <v>2644202010151414562412</v>
      </c>
      <c r="C1211" s="5" t="s">
        <v>19</v>
      </c>
      <c r="D1211" s="5" t="str">
        <f>"解婉桢"</f>
        <v>解婉桢</v>
      </c>
      <c r="E1211" s="5" t="str">
        <f t="shared" si="43"/>
        <v>女</v>
      </c>
    </row>
    <row r="1212" spans="1:5" ht="30" customHeight="1">
      <c r="A1212" s="4">
        <v>1210</v>
      </c>
      <c r="B1212" s="5" t="str">
        <f>"264420201009103345176"</f>
        <v>264420201009103345176</v>
      </c>
      <c r="C1212" s="5" t="s">
        <v>20</v>
      </c>
      <c r="D1212" s="5" t="str">
        <f>"符梦雯"</f>
        <v>符梦雯</v>
      </c>
      <c r="E1212" s="5" t="str">
        <f t="shared" si="43"/>
        <v>女</v>
      </c>
    </row>
    <row r="1213" spans="1:5" ht="30" customHeight="1">
      <c r="A1213" s="4">
        <v>1211</v>
      </c>
      <c r="B1213" s="5" t="str">
        <f>"264420201009124143315"</f>
        <v>264420201009124143315</v>
      </c>
      <c r="C1213" s="5" t="s">
        <v>20</v>
      </c>
      <c r="D1213" s="5" t="str">
        <f>"刘瑾"</f>
        <v>刘瑾</v>
      </c>
      <c r="E1213" s="5" t="str">
        <f t="shared" si="43"/>
        <v>女</v>
      </c>
    </row>
    <row r="1214" spans="1:5" ht="30" customHeight="1">
      <c r="A1214" s="4">
        <v>1212</v>
      </c>
      <c r="B1214" s="5" t="str">
        <f>"264420201009184102580"</f>
        <v>264420201009184102580</v>
      </c>
      <c r="C1214" s="5" t="s">
        <v>20</v>
      </c>
      <c r="D1214" s="5" t="str">
        <f>"张明娟"</f>
        <v>张明娟</v>
      </c>
      <c r="E1214" s="5" t="str">
        <f t="shared" si="43"/>
        <v>女</v>
      </c>
    </row>
    <row r="1215" spans="1:5" ht="30" customHeight="1">
      <c r="A1215" s="4">
        <v>1213</v>
      </c>
      <c r="B1215" s="5" t="str">
        <f>"264420201010122732944"</f>
        <v>264420201010122732944</v>
      </c>
      <c r="C1215" s="5" t="s">
        <v>20</v>
      </c>
      <c r="D1215" s="5" t="str">
        <f>"刘璇"</f>
        <v>刘璇</v>
      </c>
      <c r="E1215" s="5" t="str">
        <f t="shared" si="43"/>
        <v>女</v>
      </c>
    </row>
    <row r="1216" spans="1:5" ht="30" customHeight="1">
      <c r="A1216" s="4">
        <v>1214</v>
      </c>
      <c r="B1216" s="5" t="str">
        <f>"2644202010101547541016"</f>
        <v>2644202010101547541016</v>
      </c>
      <c r="C1216" s="5" t="s">
        <v>20</v>
      </c>
      <c r="D1216" s="5" t="str">
        <f>"陈小应"</f>
        <v>陈小应</v>
      </c>
      <c r="E1216" s="5" t="str">
        <f t="shared" si="43"/>
        <v>女</v>
      </c>
    </row>
    <row r="1217" spans="1:5" ht="30" customHeight="1">
      <c r="A1217" s="4">
        <v>1215</v>
      </c>
      <c r="B1217" s="5" t="str">
        <f>"2644202010121006351499"</f>
        <v>2644202010121006351499</v>
      </c>
      <c r="C1217" s="5" t="s">
        <v>20</v>
      </c>
      <c r="D1217" s="5" t="str">
        <f>"容双"</f>
        <v>容双</v>
      </c>
      <c r="E1217" s="5" t="str">
        <f t="shared" si="43"/>
        <v>女</v>
      </c>
    </row>
    <row r="1218" spans="1:5" ht="30" customHeight="1">
      <c r="A1218" s="4">
        <v>1216</v>
      </c>
      <c r="B1218" s="5" t="str">
        <f>"2644202010121322371567"</f>
        <v>2644202010121322371567</v>
      </c>
      <c r="C1218" s="5" t="s">
        <v>20</v>
      </c>
      <c r="D1218" s="5" t="str">
        <f>"刘文灵"</f>
        <v>刘文灵</v>
      </c>
      <c r="E1218" s="5" t="str">
        <f t="shared" si="43"/>
        <v>女</v>
      </c>
    </row>
    <row r="1219" spans="1:5" ht="30" customHeight="1">
      <c r="A1219" s="4">
        <v>1217</v>
      </c>
      <c r="B1219" s="5" t="str">
        <f>"2644202010132111321972"</f>
        <v>2644202010132111321972</v>
      </c>
      <c r="C1219" s="5" t="s">
        <v>20</v>
      </c>
      <c r="D1219" s="5" t="str">
        <f>"陈颖莹"</f>
        <v>陈颖莹</v>
      </c>
      <c r="E1219" s="5" t="str">
        <f t="shared" si="43"/>
        <v>女</v>
      </c>
    </row>
    <row r="1220" spans="1:5" ht="30" customHeight="1">
      <c r="A1220" s="4">
        <v>1218</v>
      </c>
      <c r="B1220" s="5" t="str">
        <f>"2644202010132119521973"</f>
        <v>2644202010132119521973</v>
      </c>
      <c r="C1220" s="5" t="s">
        <v>20</v>
      </c>
      <c r="D1220" s="5" t="str">
        <f>"钟耀阳"</f>
        <v>钟耀阳</v>
      </c>
      <c r="E1220" s="5" t="str">
        <f>"男"</f>
        <v>男</v>
      </c>
    </row>
    <row r="1221" spans="1:5" ht="30" customHeight="1">
      <c r="A1221" s="4">
        <v>1219</v>
      </c>
      <c r="B1221" s="5" t="str">
        <f>"2644202010141215152082"</f>
        <v>2644202010141215152082</v>
      </c>
      <c r="C1221" s="5" t="s">
        <v>20</v>
      </c>
      <c r="D1221" s="5" t="str">
        <f>"陈梅初"</f>
        <v>陈梅初</v>
      </c>
      <c r="E1221" s="5" t="str">
        <f>"女"</f>
        <v>女</v>
      </c>
    </row>
    <row r="1222" spans="1:5" ht="30" customHeight="1">
      <c r="A1222" s="4">
        <v>1220</v>
      </c>
      <c r="B1222" s="5" t="str">
        <f>"2644202010142330292293"</f>
        <v>2644202010142330292293</v>
      </c>
      <c r="C1222" s="5" t="s">
        <v>20</v>
      </c>
      <c r="D1222" s="5" t="str">
        <f>"黎国铉"</f>
        <v>黎国铉</v>
      </c>
      <c r="E1222" s="5" t="str">
        <f>"男"</f>
        <v>男</v>
      </c>
    </row>
    <row r="1223" spans="1:5" ht="30" customHeight="1">
      <c r="A1223" s="4">
        <v>1221</v>
      </c>
      <c r="B1223" s="5" t="str">
        <f>"264420201009185923592"</f>
        <v>264420201009185923592</v>
      </c>
      <c r="C1223" s="5" t="s">
        <v>21</v>
      </c>
      <c r="D1223" s="5" t="str">
        <f>"吴多钟"</f>
        <v>吴多钟</v>
      </c>
      <c r="E1223" s="5" t="str">
        <f>"男"</f>
        <v>男</v>
      </c>
    </row>
    <row r="1224" spans="1:5" ht="30" customHeight="1">
      <c r="A1224" s="4">
        <v>1222</v>
      </c>
      <c r="B1224" s="5" t="str">
        <f>"264420201009200051642"</f>
        <v>264420201009200051642</v>
      </c>
      <c r="C1224" s="5" t="s">
        <v>21</v>
      </c>
      <c r="D1224" s="5" t="str">
        <f>"韦泽萱"</f>
        <v>韦泽萱</v>
      </c>
      <c r="E1224" s="5" t="str">
        <f>"男"</f>
        <v>男</v>
      </c>
    </row>
    <row r="1225" spans="1:5" ht="30" customHeight="1">
      <c r="A1225" s="4">
        <v>1223</v>
      </c>
      <c r="B1225" s="5" t="str">
        <f>"2644202010141208552078"</f>
        <v>2644202010141208552078</v>
      </c>
      <c r="C1225" s="5" t="s">
        <v>21</v>
      </c>
      <c r="D1225" s="5" t="str">
        <f>"陈方静"</f>
        <v>陈方静</v>
      </c>
      <c r="E1225" s="5" t="str">
        <f>"女"</f>
        <v>女</v>
      </c>
    </row>
    <row r="1226" spans="1:5" ht="30" customHeight="1">
      <c r="A1226" s="4">
        <v>1224</v>
      </c>
      <c r="B1226" s="5" t="str">
        <f>"2644202010151135172385"</f>
        <v>2644202010151135172385</v>
      </c>
      <c r="C1226" s="5" t="s">
        <v>21</v>
      </c>
      <c r="D1226" s="5" t="str">
        <f>"董紫静"</f>
        <v>董紫静</v>
      </c>
      <c r="E1226" s="5" t="str">
        <f>"女"</f>
        <v>女</v>
      </c>
    </row>
    <row r="1227" spans="1:5" ht="30" customHeight="1">
      <c r="A1227" s="4">
        <v>1225</v>
      </c>
      <c r="B1227" s="5" t="str">
        <f>"26442020100908404918"</f>
        <v>26442020100908404918</v>
      </c>
      <c r="C1227" s="5" t="s">
        <v>22</v>
      </c>
      <c r="D1227" s="5" t="str">
        <f>"李松泽"</f>
        <v>李松泽</v>
      </c>
      <c r="E1227" s="5" t="str">
        <f aca="true" t="shared" si="44" ref="E1227:E1235">"男"</f>
        <v>男</v>
      </c>
    </row>
    <row r="1228" spans="1:5" ht="30" customHeight="1">
      <c r="A1228" s="4">
        <v>1226</v>
      </c>
      <c r="B1228" s="5" t="str">
        <f>"26442020100909021150"</f>
        <v>26442020100909021150</v>
      </c>
      <c r="C1228" s="5" t="s">
        <v>22</v>
      </c>
      <c r="D1228" s="5" t="str">
        <f>"邱勃淳"</f>
        <v>邱勃淳</v>
      </c>
      <c r="E1228" s="5" t="str">
        <f t="shared" si="44"/>
        <v>男</v>
      </c>
    </row>
    <row r="1229" spans="1:5" ht="30" customHeight="1">
      <c r="A1229" s="4">
        <v>1227</v>
      </c>
      <c r="B1229" s="5" t="str">
        <f>"26442020100909233584"</f>
        <v>26442020100909233584</v>
      </c>
      <c r="C1229" s="5" t="s">
        <v>22</v>
      </c>
      <c r="D1229" s="5" t="str">
        <f>"杨举"</f>
        <v>杨举</v>
      </c>
      <c r="E1229" s="5" t="str">
        <f t="shared" si="44"/>
        <v>男</v>
      </c>
    </row>
    <row r="1230" spans="1:5" ht="30" customHeight="1">
      <c r="A1230" s="4">
        <v>1228</v>
      </c>
      <c r="B1230" s="5" t="str">
        <f>"264420201009094646110"</f>
        <v>264420201009094646110</v>
      </c>
      <c r="C1230" s="5" t="s">
        <v>22</v>
      </c>
      <c r="D1230" s="5" t="str">
        <f>"符倍铭"</f>
        <v>符倍铭</v>
      </c>
      <c r="E1230" s="5" t="str">
        <f t="shared" si="44"/>
        <v>男</v>
      </c>
    </row>
    <row r="1231" spans="1:5" ht="30" customHeight="1">
      <c r="A1231" s="4">
        <v>1229</v>
      </c>
      <c r="B1231" s="5" t="str">
        <f>"264420201009095227119"</f>
        <v>264420201009095227119</v>
      </c>
      <c r="C1231" s="5" t="s">
        <v>22</v>
      </c>
      <c r="D1231" s="5" t="str">
        <f>"邢增攀"</f>
        <v>邢增攀</v>
      </c>
      <c r="E1231" s="5" t="str">
        <f t="shared" si="44"/>
        <v>男</v>
      </c>
    </row>
    <row r="1232" spans="1:5" ht="30" customHeight="1">
      <c r="A1232" s="4">
        <v>1230</v>
      </c>
      <c r="B1232" s="5" t="str">
        <f>"264420201009105147202"</f>
        <v>264420201009105147202</v>
      </c>
      <c r="C1232" s="5" t="s">
        <v>22</v>
      </c>
      <c r="D1232" s="5" t="str">
        <f>"马传浩"</f>
        <v>马传浩</v>
      </c>
      <c r="E1232" s="5" t="str">
        <f t="shared" si="44"/>
        <v>男</v>
      </c>
    </row>
    <row r="1233" spans="1:5" ht="30" customHeight="1">
      <c r="A1233" s="4">
        <v>1231</v>
      </c>
      <c r="B1233" s="5" t="str">
        <f>"264420201009114038269"</f>
        <v>264420201009114038269</v>
      </c>
      <c r="C1233" s="5" t="s">
        <v>22</v>
      </c>
      <c r="D1233" s="5" t="str">
        <f>"颜用武"</f>
        <v>颜用武</v>
      </c>
      <c r="E1233" s="5" t="str">
        <f t="shared" si="44"/>
        <v>男</v>
      </c>
    </row>
    <row r="1234" spans="1:5" ht="30" customHeight="1">
      <c r="A1234" s="4">
        <v>1232</v>
      </c>
      <c r="B1234" s="5" t="str">
        <f>"264420201009122405306"</f>
        <v>264420201009122405306</v>
      </c>
      <c r="C1234" s="5" t="s">
        <v>22</v>
      </c>
      <c r="D1234" s="5" t="str">
        <f>"曹文聪"</f>
        <v>曹文聪</v>
      </c>
      <c r="E1234" s="5" t="str">
        <f t="shared" si="44"/>
        <v>男</v>
      </c>
    </row>
    <row r="1235" spans="1:5" ht="30" customHeight="1">
      <c r="A1235" s="4">
        <v>1233</v>
      </c>
      <c r="B1235" s="5" t="str">
        <f>"264420201009130810330"</f>
        <v>264420201009130810330</v>
      </c>
      <c r="C1235" s="5" t="s">
        <v>22</v>
      </c>
      <c r="D1235" s="5" t="str">
        <f>"李钱瑾"</f>
        <v>李钱瑾</v>
      </c>
      <c r="E1235" s="5" t="str">
        <f t="shared" si="44"/>
        <v>男</v>
      </c>
    </row>
    <row r="1236" spans="1:5" ht="30" customHeight="1">
      <c r="A1236" s="4">
        <v>1234</v>
      </c>
      <c r="B1236" s="5" t="str">
        <f>"264420201009131023332"</f>
        <v>264420201009131023332</v>
      </c>
      <c r="C1236" s="5" t="s">
        <v>22</v>
      </c>
      <c r="D1236" s="5" t="str">
        <f>"左芳仪"</f>
        <v>左芳仪</v>
      </c>
      <c r="E1236" s="5" t="str">
        <f>"女"</f>
        <v>女</v>
      </c>
    </row>
    <row r="1237" spans="1:5" ht="30" customHeight="1">
      <c r="A1237" s="4">
        <v>1235</v>
      </c>
      <c r="B1237" s="5" t="str">
        <f>"264420201009134201348"</f>
        <v>264420201009134201348</v>
      </c>
      <c r="C1237" s="5" t="s">
        <v>22</v>
      </c>
      <c r="D1237" s="5" t="str">
        <f>"文志宇"</f>
        <v>文志宇</v>
      </c>
      <c r="E1237" s="5" t="str">
        <f>"男"</f>
        <v>男</v>
      </c>
    </row>
    <row r="1238" spans="1:5" ht="30" customHeight="1">
      <c r="A1238" s="4">
        <v>1236</v>
      </c>
      <c r="B1238" s="5" t="str">
        <f>"264420201009140145357"</f>
        <v>264420201009140145357</v>
      </c>
      <c r="C1238" s="5" t="s">
        <v>22</v>
      </c>
      <c r="D1238" s="5" t="str">
        <f>"周会人"</f>
        <v>周会人</v>
      </c>
      <c r="E1238" s="5" t="str">
        <f>"男"</f>
        <v>男</v>
      </c>
    </row>
    <row r="1239" spans="1:5" ht="30" customHeight="1">
      <c r="A1239" s="4">
        <v>1237</v>
      </c>
      <c r="B1239" s="5" t="str">
        <f>"264420201009152710420"</f>
        <v>264420201009152710420</v>
      </c>
      <c r="C1239" s="5" t="s">
        <v>22</v>
      </c>
      <c r="D1239" s="5" t="str">
        <f>"郭泽山"</f>
        <v>郭泽山</v>
      </c>
      <c r="E1239" s="5" t="str">
        <f>"男"</f>
        <v>男</v>
      </c>
    </row>
    <row r="1240" spans="1:5" ht="30" customHeight="1">
      <c r="A1240" s="4">
        <v>1238</v>
      </c>
      <c r="B1240" s="5" t="str">
        <f>"264420201009162239481"</f>
        <v>264420201009162239481</v>
      </c>
      <c r="C1240" s="5" t="s">
        <v>22</v>
      </c>
      <c r="D1240" s="5" t="str">
        <f>"费新枝"</f>
        <v>费新枝</v>
      </c>
      <c r="E1240" s="5" t="str">
        <f>"男"</f>
        <v>男</v>
      </c>
    </row>
    <row r="1241" spans="1:5" ht="30" customHeight="1">
      <c r="A1241" s="4">
        <v>1239</v>
      </c>
      <c r="B1241" s="5" t="str">
        <f>"264420201009171749529"</f>
        <v>264420201009171749529</v>
      </c>
      <c r="C1241" s="5" t="s">
        <v>22</v>
      </c>
      <c r="D1241" s="5" t="str">
        <f>"吴伶俐"</f>
        <v>吴伶俐</v>
      </c>
      <c r="E1241" s="5" t="str">
        <f>"女"</f>
        <v>女</v>
      </c>
    </row>
    <row r="1242" spans="1:5" ht="30" customHeight="1">
      <c r="A1242" s="4">
        <v>1240</v>
      </c>
      <c r="B1242" s="5" t="str">
        <f>"264420201009173231541"</f>
        <v>264420201009173231541</v>
      </c>
      <c r="C1242" s="5" t="s">
        <v>22</v>
      </c>
      <c r="D1242" s="5" t="str">
        <f>"卢厚宇"</f>
        <v>卢厚宇</v>
      </c>
      <c r="E1242" s="5" t="str">
        <f>"男"</f>
        <v>男</v>
      </c>
    </row>
    <row r="1243" spans="1:5" ht="30" customHeight="1">
      <c r="A1243" s="4">
        <v>1241</v>
      </c>
      <c r="B1243" s="5" t="str">
        <f>"264420201009181603562"</f>
        <v>264420201009181603562</v>
      </c>
      <c r="C1243" s="5" t="s">
        <v>22</v>
      </c>
      <c r="D1243" s="5" t="str">
        <f>"符健霞"</f>
        <v>符健霞</v>
      </c>
      <c r="E1243" s="5" t="str">
        <f>"女"</f>
        <v>女</v>
      </c>
    </row>
    <row r="1244" spans="1:5" ht="30" customHeight="1">
      <c r="A1244" s="4">
        <v>1242</v>
      </c>
      <c r="B1244" s="5" t="str">
        <f>"264420201009184115581"</f>
        <v>264420201009184115581</v>
      </c>
      <c r="C1244" s="5" t="s">
        <v>22</v>
      </c>
      <c r="D1244" s="5" t="str">
        <f>"梁定铖"</f>
        <v>梁定铖</v>
      </c>
      <c r="E1244" s="5" t="str">
        <f>"男"</f>
        <v>男</v>
      </c>
    </row>
    <row r="1245" spans="1:5" ht="30" customHeight="1">
      <c r="A1245" s="4">
        <v>1243</v>
      </c>
      <c r="B1245" s="5" t="str">
        <f>"264420201009204249689"</f>
        <v>264420201009204249689</v>
      </c>
      <c r="C1245" s="5" t="s">
        <v>22</v>
      </c>
      <c r="D1245" s="5" t="str">
        <f>"林世建"</f>
        <v>林世建</v>
      </c>
      <c r="E1245" s="5" t="str">
        <f>"男"</f>
        <v>男</v>
      </c>
    </row>
    <row r="1246" spans="1:5" ht="30" customHeight="1">
      <c r="A1246" s="4">
        <v>1244</v>
      </c>
      <c r="B1246" s="5" t="str">
        <f>"264420201009205810703"</f>
        <v>264420201009205810703</v>
      </c>
      <c r="C1246" s="5" t="s">
        <v>22</v>
      </c>
      <c r="D1246" s="5" t="str">
        <f>"云玉卿"</f>
        <v>云玉卿</v>
      </c>
      <c r="E1246" s="5" t="str">
        <f>"女"</f>
        <v>女</v>
      </c>
    </row>
    <row r="1247" spans="1:5" ht="30" customHeight="1">
      <c r="A1247" s="4">
        <v>1245</v>
      </c>
      <c r="B1247" s="5" t="str">
        <f>"264420201009225607781"</f>
        <v>264420201009225607781</v>
      </c>
      <c r="C1247" s="5" t="s">
        <v>22</v>
      </c>
      <c r="D1247" s="5" t="str">
        <f>"耿雨欣"</f>
        <v>耿雨欣</v>
      </c>
      <c r="E1247" s="5" t="str">
        <f>"女"</f>
        <v>女</v>
      </c>
    </row>
    <row r="1248" spans="1:5" ht="30" customHeight="1">
      <c r="A1248" s="4">
        <v>1246</v>
      </c>
      <c r="B1248" s="5" t="str">
        <f>"264420201010095845867"</f>
        <v>264420201010095845867</v>
      </c>
      <c r="C1248" s="5" t="s">
        <v>22</v>
      </c>
      <c r="D1248" s="5" t="str">
        <f>"汤洋洋"</f>
        <v>汤洋洋</v>
      </c>
      <c r="E1248" s="5" t="str">
        <f>"女"</f>
        <v>女</v>
      </c>
    </row>
    <row r="1249" spans="1:5" ht="30" customHeight="1">
      <c r="A1249" s="4">
        <v>1247</v>
      </c>
      <c r="B1249" s="5" t="str">
        <f>"264420201010113303922"</f>
        <v>264420201010113303922</v>
      </c>
      <c r="C1249" s="5" t="s">
        <v>22</v>
      </c>
      <c r="D1249" s="5" t="str">
        <f>"伍彩蓉"</f>
        <v>伍彩蓉</v>
      </c>
      <c r="E1249" s="5" t="str">
        <f>"女"</f>
        <v>女</v>
      </c>
    </row>
    <row r="1250" spans="1:5" ht="30" customHeight="1">
      <c r="A1250" s="4">
        <v>1248</v>
      </c>
      <c r="B1250" s="5" t="str">
        <f>"2644202010101713511051"</f>
        <v>2644202010101713511051</v>
      </c>
      <c r="C1250" s="5" t="s">
        <v>22</v>
      </c>
      <c r="D1250" s="5" t="str">
        <f>"李芳勇"</f>
        <v>李芳勇</v>
      </c>
      <c r="E1250" s="5" t="str">
        <f>"男"</f>
        <v>男</v>
      </c>
    </row>
    <row r="1251" spans="1:5" ht="30" customHeight="1">
      <c r="A1251" s="4">
        <v>1249</v>
      </c>
      <c r="B1251" s="5" t="str">
        <f>"2644202010101726301058"</f>
        <v>2644202010101726301058</v>
      </c>
      <c r="C1251" s="5" t="s">
        <v>22</v>
      </c>
      <c r="D1251" s="5" t="str">
        <f>"何瑛仪"</f>
        <v>何瑛仪</v>
      </c>
      <c r="E1251" s="5" t="str">
        <f>"女"</f>
        <v>女</v>
      </c>
    </row>
    <row r="1252" spans="1:5" ht="30" customHeight="1">
      <c r="A1252" s="4">
        <v>1250</v>
      </c>
      <c r="B1252" s="5" t="str">
        <f>"2644202010102153181140"</f>
        <v>2644202010102153181140</v>
      </c>
      <c r="C1252" s="5" t="s">
        <v>22</v>
      </c>
      <c r="D1252" s="5" t="str">
        <f>"陈定康"</f>
        <v>陈定康</v>
      </c>
      <c r="E1252" s="5" t="str">
        <f>"男"</f>
        <v>男</v>
      </c>
    </row>
    <row r="1253" spans="1:5" ht="30" customHeight="1">
      <c r="A1253" s="4">
        <v>1251</v>
      </c>
      <c r="B1253" s="5" t="str">
        <f>"2644202010102331341160"</f>
        <v>2644202010102331341160</v>
      </c>
      <c r="C1253" s="5" t="s">
        <v>22</v>
      </c>
      <c r="D1253" s="5" t="str">
        <f>"王雅倩"</f>
        <v>王雅倩</v>
      </c>
      <c r="E1253" s="5" t="str">
        <f>"女"</f>
        <v>女</v>
      </c>
    </row>
    <row r="1254" spans="1:5" ht="30" customHeight="1">
      <c r="A1254" s="4">
        <v>1252</v>
      </c>
      <c r="B1254" s="5" t="str">
        <f>"2644202010110934381198"</f>
        <v>2644202010110934381198</v>
      </c>
      <c r="C1254" s="5" t="s">
        <v>22</v>
      </c>
      <c r="D1254" s="5" t="str">
        <f>"周仁琦"</f>
        <v>周仁琦</v>
      </c>
      <c r="E1254" s="5" t="str">
        <f>"男"</f>
        <v>男</v>
      </c>
    </row>
    <row r="1255" spans="1:5" ht="30" customHeight="1">
      <c r="A1255" s="4">
        <v>1253</v>
      </c>
      <c r="B1255" s="5" t="str">
        <f>"2644202010111112201223"</f>
        <v>2644202010111112201223</v>
      </c>
      <c r="C1255" s="5" t="s">
        <v>22</v>
      </c>
      <c r="D1255" s="5" t="str">
        <f>"符永利"</f>
        <v>符永利</v>
      </c>
      <c r="E1255" s="5" t="str">
        <f>"男"</f>
        <v>男</v>
      </c>
    </row>
    <row r="1256" spans="1:5" ht="30" customHeight="1">
      <c r="A1256" s="4">
        <v>1254</v>
      </c>
      <c r="B1256" s="5" t="str">
        <f>"2644202010111207021239"</f>
        <v>2644202010111207021239</v>
      </c>
      <c r="C1256" s="5" t="s">
        <v>22</v>
      </c>
      <c r="D1256" s="5" t="str">
        <f>"王乾泰"</f>
        <v>王乾泰</v>
      </c>
      <c r="E1256" s="5" t="str">
        <f>"男"</f>
        <v>男</v>
      </c>
    </row>
    <row r="1257" spans="1:5" ht="30" customHeight="1">
      <c r="A1257" s="4">
        <v>1255</v>
      </c>
      <c r="B1257" s="5" t="str">
        <f>"2644202010111959011384"</f>
        <v>2644202010111959011384</v>
      </c>
      <c r="C1257" s="5" t="s">
        <v>22</v>
      </c>
      <c r="D1257" s="5" t="str">
        <f>"吴梓瑜"</f>
        <v>吴梓瑜</v>
      </c>
      <c r="E1257" s="5" t="str">
        <f>"女"</f>
        <v>女</v>
      </c>
    </row>
    <row r="1258" spans="1:5" ht="30" customHeight="1">
      <c r="A1258" s="4">
        <v>1256</v>
      </c>
      <c r="B1258" s="5" t="str">
        <f>"2644202010112047291401"</f>
        <v>2644202010112047291401</v>
      </c>
      <c r="C1258" s="5" t="s">
        <v>22</v>
      </c>
      <c r="D1258" s="5" t="str">
        <f>"吴国栋"</f>
        <v>吴国栋</v>
      </c>
      <c r="E1258" s="5" t="str">
        <f>"男"</f>
        <v>男</v>
      </c>
    </row>
    <row r="1259" spans="1:5" ht="30" customHeight="1">
      <c r="A1259" s="4">
        <v>1257</v>
      </c>
      <c r="B1259" s="5" t="str">
        <f>"2644202010112314271443"</f>
        <v>2644202010112314271443</v>
      </c>
      <c r="C1259" s="5" t="s">
        <v>22</v>
      </c>
      <c r="D1259" s="5" t="str">
        <f>"王巧诗"</f>
        <v>王巧诗</v>
      </c>
      <c r="E1259" s="5" t="str">
        <f>"女"</f>
        <v>女</v>
      </c>
    </row>
    <row r="1260" spans="1:5" ht="30" customHeight="1">
      <c r="A1260" s="4">
        <v>1258</v>
      </c>
      <c r="B1260" s="5" t="str">
        <f>"2644202010120903351474"</f>
        <v>2644202010120903351474</v>
      </c>
      <c r="C1260" s="5" t="s">
        <v>22</v>
      </c>
      <c r="D1260" s="5" t="str">
        <f>"吴忠科"</f>
        <v>吴忠科</v>
      </c>
      <c r="E1260" s="5" t="str">
        <f>"男"</f>
        <v>男</v>
      </c>
    </row>
    <row r="1261" spans="1:5" ht="30" customHeight="1">
      <c r="A1261" s="4">
        <v>1259</v>
      </c>
      <c r="B1261" s="5" t="str">
        <f>"2644202010121426341587"</f>
        <v>2644202010121426341587</v>
      </c>
      <c r="C1261" s="5" t="s">
        <v>22</v>
      </c>
      <c r="D1261" s="5" t="str">
        <f>"林铃"</f>
        <v>林铃</v>
      </c>
      <c r="E1261" s="5" t="str">
        <f>"女"</f>
        <v>女</v>
      </c>
    </row>
    <row r="1262" spans="1:5" ht="30" customHeight="1">
      <c r="A1262" s="4">
        <v>1260</v>
      </c>
      <c r="B1262" s="5" t="str">
        <f>"2644202010121511571604"</f>
        <v>2644202010121511571604</v>
      </c>
      <c r="C1262" s="5" t="s">
        <v>22</v>
      </c>
      <c r="D1262" s="5" t="str">
        <f>"陈太梧"</f>
        <v>陈太梧</v>
      </c>
      <c r="E1262" s="5" t="str">
        <f>"男"</f>
        <v>男</v>
      </c>
    </row>
    <row r="1263" spans="1:5" ht="30" customHeight="1">
      <c r="A1263" s="4">
        <v>1261</v>
      </c>
      <c r="B1263" s="5" t="str">
        <f>"2644202010122235201737"</f>
        <v>2644202010122235201737</v>
      </c>
      <c r="C1263" s="5" t="s">
        <v>22</v>
      </c>
      <c r="D1263" s="5" t="str">
        <f>"唐良"</f>
        <v>唐良</v>
      </c>
      <c r="E1263" s="5" t="str">
        <f>"男"</f>
        <v>男</v>
      </c>
    </row>
    <row r="1264" spans="1:5" ht="30" customHeight="1">
      <c r="A1264" s="4">
        <v>1262</v>
      </c>
      <c r="B1264" s="5" t="str">
        <f>"2644202010131026461805"</f>
        <v>2644202010131026461805</v>
      </c>
      <c r="C1264" s="5" t="s">
        <v>22</v>
      </c>
      <c r="D1264" s="5" t="str">
        <f>"林芳杰"</f>
        <v>林芳杰</v>
      </c>
      <c r="E1264" s="5" t="str">
        <f>"男"</f>
        <v>男</v>
      </c>
    </row>
    <row r="1265" spans="1:5" ht="30" customHeight="1">
      <c r="A1265" s="4">
        <v>1263</v>
      </c>
      <c r="B1265" s="5" t="str">
        <f>"2644202010131206201842"</f>
        <v>2644202010131206201842</v>
      </c>
      <c r="C1265" s="5" t="s">
        <v>22</v>
      </c>
      <c r="D1265" s="5" t="str">
        <f>"林健仪"</f>
        <v>林健仪</v>
      </c>
      <c r="E1265" s="5" t="str">
        <f>"男"</f>
        <v>男</v>
      </c>
    </row>
    <row r="1266" spans="1:5" ht="30" customHeight="1">
      <c r="A1266" s="4">
        <v>1264</v>
      </c>
      <c r="B1266" s="5" t="str">
        <f>"2644202010131532411893"</f>
        <v>2644202010131532411893</v>
      </c>
      <c r="C1266" s="5" t="s">
        <v>22</v>
      </c>
      <c r="D1266" s="5" t="str">
        <f>"黄琪"</f>
        <v>黄琪</v>
      </c>
      <c r="E1266" s="5" t="str">
        <f>"女"</f>
        <v>女</v>
      </c>
    </row>
    <row r="1267" spans="1:5" ht="30" customHeight="1">
      <c r="A1267" s="4">
        <v>1265</v>
      </c>
      <c r="B1267" s="5" t="str">
        <f>"2644202010132101561969"</f>
        <v>2644202010132101561969</v>
      </c>
      <c r="C1267" s="5" t="s">
        <v>22</v>
      </c>
      <c r="D1267" s="5" t="str">
        <f>"王明杉"</f>
        <v>王明杉</v>
      </c>
      <c r="E1267" s="5" t="str">
        <f>"男"</f>
        <v>男</v>
      </c>
    </row>
    <row r="1268" spans="1:5" ht="30" customHeight="1">
      <c r="A1268" s="4">
        <v>1266</v>
      </c>
      <c r="B1268" s="5" t="str">
        <f>"2644202010141124292065"</f>
        <v>2644202010141124292065</v>
      </c>
      <c r="C1268" s="5" t="s">
        <v>22</v>
      </c>
      <c r="D1268" s="5" t="str">
        <f>"孙加强"</f>
        <v>孙加强</v>
      </c>
      <c r="E1268" s="5" t="str">
        <f>"男"</f>
        <v>男</v>
      </c>
    </row>
    <row r="1269" spans="1:5" ht="30" customHeight="1">
      <c r="A1269" s="4">
        <v>1267</v>
      </c>
      <c r="B1269" s="5" t="str">
        <f>"2644202010141159522076"</f>
        <v>2644202010141159522076</v>
      </c>
      <c r="C1269" s="5" t="s">
        <v>22</v>
      </c>
      <c r="D1269" s="5" t="str">
        <f>"郑莲莲"</f>
        <v>郑莲莲</v>
      </c>
      <c r="E1269" s="5" t="str">
        <f>"女"</f>
        <v>女</v>
      </c>
    </row>
    <row r="1270" spans="1:5" ht="30" customHeight="1">
      <c r="A1270" s="4">
        <v>1268</v>
      </c>
      <c r="B1270" s="5" t="str">
        <f>"2644202010141226222084"</f>
        <v>2644202010141226222084</v>
      </c>
      <c r="C1270" s="5" t="s">
        <v>22</v>
      </c>
      <c r="D1270" s="5" t="str">
        <f>"张晓旭"</f>
        <v>张晓旭</v>
      </c>
      <c r="E1270" s="5" t="str">
        <f>"女"</f>
        <v>女</v>
      </c>
    </row>
    <row r="1271" spans="1:5" ht="30" customHeight="1">
      <c r="A1271" s="4">
        <v>1269</v>
      </c>
      <c r="B1271" s="5" t="str">
        <f>"2644202010141245032089"</f>
        <v>2644202010141245032089</v>
      </c>
      <c r="C1271" s="5" t="s">
        <v>22</v>
      </c>
      <c r="D1271" s="5" t="str">
        <f>"吴雨芯"</f>
        <v>吴雨芯</v>
      </c>
      <c r="E1271" s="5" t="str">
        <f>"女"</f>
        <v>女</v>
      </c>
    </row>
    <row r="1272" spans="1:5" ht="30" customHeight="1">
      <c r="A1272" s="4">
        <v>1270</v>
      </c>
      <c r="B1272" s="5" t="str">
        <f>"2644202010141513342124"</f>
        <v>2644202010141513342124</v>
      </c>
      <c r="C1272" s="5" t="s">
        <v>22</v>
      </c>
      <c r="D1272" s="5" t="str">
        <f>"符芳诚"</f>
        <v>符芳诚</v>
      </c>
      <c r="E1272" s="5" t="str">
        <f aca="true" t="shared" si="45" ref="E1272:E1281">"男"</f>
        <v>男</v>
      </c>
    </row>
    <row r="1273" spans="1:5" ht="30" customHeight="1">
      <c r="A1273" s="4">
        <v>1271</v>
      </c>
      <c r="B1273" s="5" t="str">
        <f>"2644202010141629122158"</f>
        <v>2644202010141629122158</v>
      </c>
      <c r="C1273" s="5" t="s">
        <v>22</v>
      </c>
      <c r="D1273" s="5" t="str">
        <f>"陈教哲"</f>
        <v>陈教哲</v>
      </c>
      <c r="E1273" s="5" t="str">
        <f t="shared" si="45"/>
        <v>男</v>
      </c>
    </row>
    <row r="1274" spans="1:5" ht="30" customHeight="1">
      <c r="A1274" s="4">
        <v>1272</v>
      </c>
      <c r="B1274" s="5" t="str">
        <f>"2644202010142031562229"</f>
        <v>2644202010142031562229</v>
      </c>
      <c r="C1274" s="5" t="s">
        <v>22</v>
      </c>
      <c r="D1274" s="5" t="str">
        <f>"谢桔平"</f>
        <v>谢桔平</v>
      </c>
      <c r="E1274" s="5" t="str">
        <f t="shared" si="45"/>
        <v>男</v>
      </c>
    </row>
    <row r="1275" spans="1:5" ht="30" customHeight="1">
      <c r="A1275" s="4">
        <v>1273</v>
      </c>
      <c r="B1275" s="5" t="str">
        <f>"2644202010150802392320"</f>
        <v>2644202010150802392320</v>
      </c>
      <c r="C1275" s="5" t="s">
        <v>22</v>
      </c>
      <c r="D1275" s="5" t="str">
        <f>"陈克权"</f>
        <v>陈克权</v>
      </c>
      <c r="E1275" s="5" t="str">
        <f t="shared" si="45"/>
        <v>男</v>
      </c>
    </row>
    <row r="1276" spans="1:5" ht="30" customHeight="1">
      <c r="A1276" s="4">
        <v>1274</v>
      </c>
      <c r="B1276" s="5" t="str">
        <f>"2644202010150845262332"</f>
        <v>2644202010150845262332</v>
      </c>
      <c r="C1276" s="5" t="s">
        <v>22</v>
      </c>
      <c r="D1276" s="5" t="str">
        <f>"黄照辉"</f>
        <v>黄照辉</v>
      </c>
      <c r="E1276" s="5" t="str">
        <f t="shared" si="45"/>
        <v>男</v>
      </c>
    </row>
    <row r="1277" spans="1:5" ht="30" customHeight="1">
      <c r="A1277" s="4">
        <v>1275</v>
      </c>
      <c r="B1277" s="5" t="str">
        <f>"2644202010150909002343"</f>
        <v>2644202010150909002343</v>
      </c>
      <c r="C1277" s="5" t="s">
        <v>22</v>
      </c>
      <c r="D1277" s="5" t="str">
        <f>"杨定轩"</f>
        <v>杨定轩</v>
      </c>
      <c r="E1277" s="5" t="str">
        <f t="shared" si="45"/>
        <v>男</v>
      </c>
    </row>
    <row r="1278" spans="1:5" ht="30" customHeight="1">
      <c r="A1278" s="4">
        <v>1276</v>
      </c>
      <c r="B1278" s="5" t="str">
        <f>"2644202010151036462370"</f>
        <v>2644202010151036462370</v>
      </c>
      <c r="C1278" s="5" t="s">
        <v>22</v>
      </c>
      <c r="D1278" s="5" t="str">
        <f>"林柳"</f>
        <v>林柳</v>
      </c>
      <c r="E1278" s="5" t="str">
        <f t="shared" si="45"/>
        <v>男</v>
      </c>
    </row>
    <row r="1279" spans="1:5" ht="30" customHeight="1">
      <c r="A1279" s="4">
        <v>1277</v>
      </c>
      <c r="B1279" s="5" t="str">
        <f>"2644202010151547132445"</f>
        <v>2644202010151547132445</v>
      </c>
      <c r="C1279" s="5" t="s">
        <v>22</v>
      </c>
      <c r="D1279" s="5" t="str">
        <f>"林世敏"</f>
        <v>林世敏</v>
      </c>
      <c r="E1279" s="5" t="str">
        <f t="shared" si="45"/>
        <v>男</v>
      </c>
    </row>
    <row r="1280" spans="1:5" ht="30" customHeight="1">
      <c r="A1280" s="4">
        <v>1278</v>
      </c>
      <c r="B1280" s="5" t="str">
        <f>"264420201009135751354"</f>
        <v>264420201009135751354</v>
      </c>
      <c r="C1280" s="5" t="s">
        <v>23</v>
      </c>
      <c r="D1280" s="5" t="str">
        <f>"梁其锐"</f>
        <v>梁其锐</v>
      </c>
      <c r="E1280" s="5" t="str">
        <f t="shared" si="45"/>
        <v>男</v>
      </c>
    </row>
    <row r="1281" spans="1:5" ht="30" customHeight="1">
      <c r="A1281" s="4">
        <v>1279</v>
      </c>
      <c r="B1281" s="5" t="str">
        <f>"264420201009210810713"</f>
        <v>264420201009210810713</v>
      </c>
      <c r="C1281" s="5" t="s">
        <v>23</v>
      </c>
      <c r="D1281" s="5" t="str">
        <f>"吴钟文"</f>
        <v>吴钟文</v>
      </c>
      <c r="E1281" s="5" t="str">
        <f t="shared" si="45"/>
        <v>男</v>
      </c>
    </row>
    <row r="1282" spans="1:5" ht="30" customHeight="1">
      <c r="A1282" s="4">
        <v>1280</v>
      </c>
      <c r="B1282" s="5" t="str">
        <f>"2644202010141630002159"</f>
        <v>2644202010141630002159</v>
      </c>
      <c r="C1282" s="5" t="s">
        <v>23</v>
      </c>
      <c r="D1282" s="5" t="str">
        <f>"张瑜恋"</f>
        <v>张瑜恋</v>
      </c>
      <c r="E1282" s="5" t="str">
        <f>"女"</f>
        <v>女</v>
      </c>
    </row>
    <row r="1283" spans="1:5" ht="30" customHeight="1">
      <c r="A1283" s="4">
        <v>1281</v>
      </c>
      <c r="B1283" s="5" t="str">
        <f>"264420201009180234553"</f>
        <v>264420201009180234553</v>
      </c>
      <c r="C1283" s="5" t="s">
        <v>24</v>
      </c>
      <c r="D1283" s="5" t="str">
        <f>"林格格"</f>
        <v>林格格</v>
      </c>
      <c r="E1283" s="5" t="str">
        <f>"女"</f>
        <v>女</v>
      </c>
    </row>
    <row r="1284" spans="1:5" ht="30" customHeight="1">
      <c r="A1284" s="4">
        <v>1282</v>
      </c>
      <c r="B1284" s="5" t="str">
        <f>"264420201009203517678"</f>
        <v>264420201009203517678</v>
      </c>
      <c r="C1284" s="5" t="s">
        <v>24</v>
      </c>
      <c r="D1284" s="5" t="str">
        <f>"杜学毓"</f>
        <v>杜学毓</v>
      </c>
      <c r="E1284" s="5" t="str">
        <f>"男"</f>
        <v>男</v>
      </c>
    </row>
    <row r="1285" spans="1:5" ht="30" customHeight="1">
      <c r="A1285" s="4">
        <v>1283</v>
      </c>
      <c r="B1285" s="5" t="str">
        <f>"2644202010111653381328"</f>
        <v>2644202010111653381328</v>
      </c>
      <c r="C1285" s="5" t="s">
        <v>24</v>
      </c>
      <c r="D1285" s="5" t="str">
        <f>"陈花艳"</f>
        <v>陈花艳</v>
      </c>
      <c r="E1285" s="5" t="str">
        <f>"女"</f>
        <v>女</v>
      </c>
    </row>
    <row r="1286" spans="1:5" ht="30" customHeight="1">
      <c r="A1286" s="4">
        <v>1284</v>
      </c>
      <c r="B1286" s="5" t="str">
        <f>"2644202010112032531396"</f>
        <v>2644202010112032531396</v>
      </c>
      <c r="C1286" s="5" t="s">
        <v>24</v>
      </c>
      <c r="D1286" s="5" t="str">
        <f>"杜俊俊"</f>
        <v>杜俊俊</v>
      </c>
      <c r="E1286" s="5" t="str">
        <f>"女"</f>
        <v>女</v>
      </c>
    </row>
    <row r="1287" spans="1:5" ht="30" customHeight="1">
      <c r="A1287" s="4">
        <v>1285</v>
      </c>
      <c r="B1287" s="5" t="str">
        <f>"2644202010121720391657"</f>
        <v>2644202010121720391657</v>
      </c>
      <c r="C1287" s="5" t="s">
        <v>24</v>
      </c>
      <c r="D1287" s="5" t="str">
        <f>"吴刘丁"</f>
        <v>吴刘丁</v>
      </c>
      <c r="E1287" s="5" t="str">
        <f>"女"</f>
        <v>女</v>
      </c>
    </row>
    <row r="1288" spans="1:5" ht="30" customHeight="1">
      <c r="A1288" s="4">
        <v>1286</v>
      </c>
      <c r="B1288" s="5" t="str">
        <f>"2644202010131039371812"</f>
        <v>2644202010131039371812</v>
      </c>
      <c r="C1288" s="5" t="s">
        <v>24</v>
      </c>
      <c r="D1288" s="5" t="str">
        <f>"范奇柠"</f>
        <v>范奇柠</v>
      </c>
      <c r="E1288" s="5" t="str">
        <f>"男"</f>
        <v>男</v>
      </c>
    </row>
    <row r="1289" spans="1:5" ht="30" customHeight="1">
      <c r="A1289" s="4">
        <v>1287</v>
      </c>
      <c r="B1289" s="5" t="str">
        <f>"264420201009141145362"</f>
        <v>264420201009141145362</v>
      </c>
      <c r="C1289" s="5" t="s">
        <v>25</v>
      </c>
      <c r="D1289" s="5" t="str">
        <f>"陈小文"</f>
        <v>陈小文</v>
      </c>
      <c r="E1289" s="5" t="str">
        <f>"女"</f>
        <v>女</v>
      </c>
    </row>
    <row r="1290" spans="1:5" ht="30" customHeight="1">
      <c r="A1290" s="4">
        <v>1288</v>
      </c>
      <c r="B1290" s="5" t="str">
        <f>"264420201009212205720"</f>
        <v>264420201009212205720</v>
      </c>
      <c r="C1290" s="5" t="s">
        <v>25</v>
      </c>
      <c r="D1290" s="5" t="str">
        <f>"王叁益"</f>
        <v>王叁益</v>
      </c>
      <c r="E1290" s="5" t="str">
        <f>"男"</f>
        <v>男</v>
      </c>
    </row>
    <row r="1291" spans="1:5" ht="30" customHeight="1">
      <c r="A1291" s="4">
        <v>1289</v>
      </c>
      <c r="B1291" s="5" t="str">
        <f>"264420201010102622886"</f>
        <v>264420201010102622886</v>
      </c>
      <c r="C1291" s="5" t="s">
        <v>25</v>
      </c>
      <c r="D1291" s="5" t="str">
        <f>"蒙秋姑"</f>
        <v>蒙秋姑</v>
      </c>
      <c r="E1291" s="5" t="str">
        <f>"女"</f>
        <v>女</v>
      </c>
    </row>
    <row r="1292" spans="1:5" ht="30" customHeight="1">
      <c r="A1292" s="4">
        <v>1290</v>
      </c>
      <c r="B1292" s="5" t="str">
        <f>"2644202010110009331168"</f>
        <v>2644202010110009331168</v>
      </c>
      <c r="C1292" s="5" t="s">
        <v>25</v>
      </c>
      <c r="D1292" s="5" t="str">
        <f>"吴蕊"</f>
        <v>吴蕊</v>
      </c>
      <c r="E1292" s="5" t="str">
        <f>"女"</f>
        <v>女</v>
      </c>
    </row>
    <row r="1293" spans="1:5" ht="30" customHeight="1">
      <c r="A1293" s="4">
        <v>1291</v>
      </c>
      <c r="B1293" s="5" t="str">
        <f>"2644202010110159151173"</f>
        <v>2644202010110159151173</v>
      </c>
      <c r="C1293" s="5" t="s">
        <v>25</v>
      </c>
      <c r="D1293" s="5" t="str">
        <f>"梁丽婷"</f>
        <v>梁丽婷</v>
      </c>
      <c r="E1293" s="5" t="str">
        <f>"女"</f>
        <v>女</v>
      </c>
    </row>
    <row r="1294" spans="1:5" ht="30" customHeight="1">
      <c r="A1294" s="4">
        <v>1292</v>
      </c>
      <c r="B1294" s="5" t="str">
        <f>"2644202010112010061390"</f>
        <v>2644202010112010061390</v>
      </c>
      <c r="C1294" s="5" t="s">
        <v>25</v>
      </c>
      <c r="D1294" s="5" t="str">
        <f>"黄英容"</f>
        <v>黄英容</v>
      </c>
      <c r="E1294" s="5" t="str">
        <f>"女"</f>
        <v>女</v>
      </c>
    </row>
    <row r="1295" spans="1:5" ht="30" customHeight="1">
      <c r="A1295" s="4">
        <v>1293</v>
      </c>
      <c r="B1295" s="5" t="str">
        <f>"2644202010121107481524"</f>
        <v>2644202010121107481524</v>
      </c>
      <c r="C1295" s="5" t="s">
        <v>25</v>
      </c>
      <c r="D1295" s="5" t="str">
        <f>"王丰姑"</f>
        <v>王丰姑</v>
      </c>
      <c r="E1295" s="5" t="str">
        <f>"女"</f>
        <v>女</v>
      </c>
    </row>
    <row r="1296" spans="1:5" ht="30" customHeight="1">
      <c r="A1296" s="4">
        <v>1294</v>
      </c>
      <c r="B1296" s="5" t="str">
        <f>"26442020100909223179"</f>
        <v>26442020100909223179</v>
      </c>
      <c r="C1296" s="5" t="s">
        <v>26</v>
      </c>
      <c r="D1296" s="5" t="str">
        <f>"林政"</f>
        <v>林政</v>
      </c>
      <c r="E1296" s="5" t="str">
        <f>"男"</f>
        <v>男</v>
      </c>
    </row>
    <row r="1297" spans="1:5" ht="30" customHeight="1">
      <c r="A1297" s="4">
        <v>1295</v>
      </c>
      <c r="B1297" s="5" t="str">
        <f>"26442020100909255186"</f>
        <v>26442020100909255186</v>
      </c>
      <c r="C1297" s="5" t="s">
        <v>26</v>
      </c>
      <c r="D1297" s="5" t="str">
        <f>"李名创"</f>
        <v>李名创</v>
      </c>
      <c r="E1297" s="5" t="str">
        <f>"男"</f>
        <v>男</v>
      </c>
    </row>
    <row r="1298" spans="1:5" ht="30" customHeight="1">
      <c r="A1298" s="4">
        <v>1296</v>
      </c>
      <c r="B1298" s="5" t="str">
        <f>"264420201009103518179"</f>
        <v>264420201009103518179</v>
      </c>
      <c r="C1298" s="5" t="s">
        <v>26</v>
      </c>
      <c r="D1298" s="5" t="str">
        <f>"俞松"</f>
        <v>俞松</v>
      </c>
      <c r="E1298" s="5" t="str">
        <f>"男"</f>
        <v>男</v>
      </c>
    </row>
    <row r="1299" spans="1:5" ht="30" customHeight="1">
      <c r="A1299" s="4">
        <v>1297</v>
      </c>
      <c r="B1299" s="5" t="str">
        <f>"264420201009111016228"</f>
        <v>264420201009111016228</v>
      </c>
      <c r="C1299" s="5" t="s">
        <v>26</v>
      </c>
      <c r="D1299" s="5" t="str">
        <f>"陈婷"</f>
        <v>陈婷</v>
      </c>
      <c r="E1299" s="5" t="str">
        <f>"女"</f>
        <v>女</v>
      </c>
    </row>
    <row r="1300" spans="1:5" ht="30" customHeight="1">
      <c r="A1300" s="4">
        <v>1298</v>
      </c>
      <c r="B1300" s="5" t="str">
        <f>"264420201009111119231"</f>
        <v>264420201009111119231</v>
      </c>
      <c r="C1300" s="5" t="s">
        <v>26</v>
      </c>
      <c r="D1300" s="5" t="str">
        <f>"常晓巍"</f>
        <v>常晓巍</v>
      </c>
      <c r="E1300" s="5" t="str">
        <f>"女"</f>
        <v>女</v>
      </c>
    </row>
    <row r="1301" spans="1:5" ht="30" customHeight="1">
      <c r="A1301" s="4">
        <v>1299</v>
      </c>
      <c r="B1301" s="5" t="str">
        <f>"264420201009120137286"</f>
        <v>264420201009120137286</v>
      </c>
      <c r="C1301" s="5" t="s">
        <v>26</v>
      </c>
      <c r="D1301" s="5" t="str">
        <f>"邢贻清"</f>
        <v>邢贻清</v>
      </c>
      <c r="E1301" s="5" t="str">
        <f aca="true" t="shared" si="46" ref="E1301:E1307">"男"</f>
        <v>男</v>
      </c>
    </row>
    <row r="1302" spans="1:5" ht="30" customHeight="1">
      <c r="A1302" s="4">
        <v>1300</v>
      </c>
      <c r="B1302" s="5" t="str">
        <f>"264420201009132526341"</f>
        <v>264420201009132526341</v>
      </c>
      <c r="C1302" s="5" t="s">
        <v>26</v>
      </c>
      <c r="D1302" s="5" t="str">
        <f>"郑祖剑"</f>
        <v>郑祖剑</v>
      </c>
      <c r="E1302" s="5" t="str">
        <f t="shared" si="46"/>
        <v>男</v>
      </c>
    </row>
    <row r="1303" spans="1:5" ht="30" customHeight="1">
      <c r="A1303" s="4">
        <v>1301</v>
      </c>
      <c r="B1303" s="5" t="str">
        <f>"264420201009145148390"</f>
        <v>264420201009145148390</v>
      </c>
      <c r="C1303" s="5" t="s">
        <v>26</v>
      </c>
      <c r="D1303" s="5" t="str">
        <f>"吴海伟"</f>
        <v>吴海伟</v>
      </c>
      <c r="E1303" s="5" t="str">
        <f t="shared" si="46"/>
        <v>男</v>
      </c>
    </row>
    <row r="1304" spans="1:5" ht="30" customHeight="1">
      <c r="A1304" s="4">
        <v>1302</v>
      </c>
      <c r="B1304" s="5" t="str">
        <f>"264420201009183304573"</f>
        <v>264420201009183304573</v>
      </c>
      <c r="C1304" s="5" t="s">
        <v>26</v>
      </c>
      <c r="D1304" s="5" t="str">
        <f>"郑进兴"</f>
        <v>郑进兴</v>
      </c>
      <c r="E1304" s="5" t="str">
        <f t="shared" si="46"/>
        <v>男</v>
      </c>
    </row>
    <row r="1305" spans="1:5" ht="30" customHeight="1">
      <c r="A1305" s="4">
        <v>1303</v>
      </c>
      <c r="B1305" s="5" t="str">
        <f>"264420201009204421691"</f>
        <v>264420201009204421691</v>
      </c>
      <c r="C1305" s="5" t="s">
        <v>26</v>
      </c>
      <c r="D1305" s="5" t="str">
        <f>"林方蛟"</f>
        <v>林方蛟</v>
      </c>
      <c r="E1305" s="5" t="str">
        <f t="shared" si="46"/>
        <v>男</v>
      </c>
    </row>
    <row r="1306" spans="1:5" ht="30" customHeight="1">
      <c r="A1306" s="4">
        <v>1304</v>
      </c>
      <c r="B1306" s="5" t="str">
        <f>"264420201009214822738"</f>
        <v>264420201009214822738</v>
      </c>
      <c r="C1306" s="5" t="s">
        <v>26</v>
      </c>
      <c r="D1306" s="5" t="str">
        <f>"吴毅"</f>
        <v>吴毅</v>
      </c>
      <c r="E1306" s="5" t="str">
        <f t="shared" si="46"/>
        <v>男</v>
      </c>
    </row>
    <row r="1307" spans="1:5" ht="30" customHeight="1">
      <c r="A1307" s="4">
        <v>1305</v>
      </c>
      <c r="B1307" s="5" t="str">
        <f>"264420201010090557841"</f>
        <v>264420201010090557841</v>
      </c>
      <c r="C1307" s="5" t="s">
        <v>26</v>
      </c>
      <c r="D1307" s="5" t="str">
        <f>"陈振"</f>
        <v>陈振</v>
      </c>
      <c r="E1307" s="5" t="str">
        <f t="shared" si="46"/>
        <v>男</v>
      </c>
    </row>
    <row r="1308" spans="1:5" ht="30" customHeight="1">
      <c r="A1308" s="4">
        <v>1306</v>
      </c>
      <c r="B1308" s="5" t="str">
        <f>"264420201010115048931"</f>
        <v>264420201010115048931</v>
      </c>
      <c r="C1308" s="5" t="s">
        <v>26</v>
      </c>
      <c r="D1308" s="5" t="str">
        <f>"曾慧"</f>
        <v>曾慧</v>
      </c>
      <c r="E1308" s="5" t="str">
        <f>"女"</f>
        <v>女</v>
      </c>
    </row>
    <row r="1309" spans="1:5" ht="30" customHeight="1">
      <c r="A1309" s="4">
        <v>1307</v>
      </c>
      <c r="B1309" s="5" t="str">
        <f>"2644202010101838141080"</f>
        <v>2644202010101838141080</v>
      </c>
      <c r="C1309" s="5" t="s">
        <v>26</v>
      </c>
      <c r="D1309" s="5" t="str">
        <f>"钟美丰"</f>
        <v>钟美丰</v>
      </c>
      <c r="E1309" s="5" t="str">
        <f>"男"</f>
        <v>男</v>
      </c>
    </row>
    <row r="1310" spans="1:5" ht="30" customHeight="1">
      <c r="A1310" s="4">
        <v>1308</v>
      </c>
      <c r="B1310" s="5" t="str">
        <f>"2644202010111441111281"</f>
        <v>2644202010111441111281</v>
      </c>
      <c r="C1310" s="5" t="s">
        <v>26</v>
      </c>
      <c r="D1310" s="5" t="str">
        <f>"方亦赓"</f>
        <v>方亦赓</v>
      </c>
      <c r="E1310" s="5" t="str">
        <f>"男"</f>
        <v>男</v>
      </c>
    </row>
    <row r="1311" spans="1:5" ht="30" customHeight="1">
      <c r="A1311" s="4">
        <v>1309</v>
      </c>
      <c r="B1311" s="5" t="str">
        <f>"2644202010111520101296"</f>
        <v>2644202010111520101296</v>
      </c>
      <c r="C1311" s="5" t="s">
        <v>26</v>
      </c>
      <c r="D1311" s="5" t="str">
        <f>"王美琳"</f>
        <v>王美琳</v>
      </c>
      <c r="E1311" s="5" t="str">
        <f>"女"</f>
        <v>女</v>
      </c>
    </row>
    <row r="1312" spans="1:5" ht="30" customHeight="1">
      <c r="A1312" s="4">
        <v>1310</v>
      </c>
      <c r="B1312" s="5" t="str">
        <f>"2644202010111702291333"</f>
        <v>2644202010111702291333</v>
      </c>
      <c r="C1312" s="5" t="s">
        <v>26</v>
      </c>
      <c r="D1312" s="5" t="str">
        <f>"王莉"</f>
        <v>王莉</v>
      </c>
      <c r="E1312" s="5" t="str">
        <f>"女"</f>
        <v>女</v>
      </c>
    </row>
    <row r="1313" spans="1:5" ht="30" customHeight="1">
      <c r="A1313" s="4">
        <v>1311</v>
      </c>
      <c r="B1313" s="5" t="str">
        <f>"2644202010112220221431"</f>
        <v>2644202010112220221431</v>
      </c>
      <c r="C1313" s="5" t="s">
        <v>26</v>
      </c>
      <c r="D1313" s="5" t="str">
        <f>"吴淑勋"</f>
        <v>吴淑勋</v>
      </c>
      <c r="E1313" s="5" t="str">
        <f>"男"</f>
        <v>男</v>
      </c>
    </row>
    <row r="1314" spans="1:5" ht="30" customHeight="1">
      <c r="A1314" s="4">
        <v>1312</v>
      </c>
      <c r="B1314" s="5" t="str">
        <f>"2644202010121005341498"</f>
        <v>2644202010121005341498</v>
      </c>
      <c r="C1314" s="5" t="s">
        <v>26</v>
      </c>
      <c r="D1314" s="5" t="str">
        <f>"欧秀昌"</f>
        <v>欧秀昌</v>
      </c>
      <c r="E1314" s="5" t="str">
        <f>"男"</f>
        <v>男</v>
      </c>
    </row>
    <row r="1315" spans="1:5" ht="30" customHeight="1">
      <c r="A1315" s="4">
        <v>1313</v>
      </c>
      <c r="B1315" s="5" t="str">
        <f>"2644202010121030391509"</f>
        <v>2644202010121030391509</v>
      </c>
      <c r="C1315" s="5" t="s">
        <v>26</v>
      </c>
      <c r="D1315" s="5" t="str">
        <f>"魏凌傲"</f>
        <v>魏凌傲</v>
      </c>
      <c r="E1315" s="5" t="str">
        <f>"女"</f>
        <v>女</v>
      </c>
    </row>
    <row r="1316" spans="1:5" ht="30" customHeight="1">
      <c r="A1316" s="4">
        <v>1314</v>
      </c>
      <c r="B1316" s="5" t="str">
        <f>"2644202010121050371514"</f>
        <v>2644202010121050371514</v>
      </c>
      <c r="C1316" s="5" t="s">
        <v>26</v>
      </c>
      <c r="D1316" s="5" t="str">
        <f>"潘孝成"</f>
        <v>潘孝成</v>
      </c>
      <c r="E1316" s="5" t="str">
        <f>"男"</f>
        <v>男</v>
      </c>
    </row>
    <row r="1317" spans="1:5" ht="30" customHeight="1">
      <c r="A1317" s="4">
        <v>1315</v>
      </c>
      <c r="B1317" s="5" t="str">
        <f>"2644202010121521001612"</f>
        <v>2644202010121521001612</v>
      </c>
      <c r="C1317" s="5" t="s">
        <v>26</v>
      </c>
      <c r="D1317" s="5" t="str">
        <f>"许清莉"</f>
        <v>许清莉</v>
      </c>
      <c r="E1317" s="5" t="str">
        <f>"女"</f>
        <v>女</v>
      </c>
    </row>
    <row r="1318" spans="1:5" ht="30" customHeight="1">
      <c r="A1318" s="4">
        <v>1316</v>
      </c>
      <c r="B1318" s="5" t="str">
        <f>"2644202010131852081943"</f>
        <v>2644202010131852081943</v>
      </c>
      <c r="C1318" s="5" t="s">
        <v>26</v>
      </c>
      <c r="D1318" s="5" t="str">
        <f>"李甜"</f>
        <v>李甜</v>
      </c>
      <c r="E1318" s="5" t="str">
        <f>"男"</f>
        <v>男</v>
      </c>
    </row>
    <row r="1319" spans="1:5" ht="30" customHeight="1">
      <c r="A1319" s="4">
        <v>1317</v>
      </c>
      <c r="B1319" s="5" t="str">
        <f>"2644202010141258512091"</f>
        <v>2644202010141258512091</v>
      </c>
      <c r="C1319" s="5" t="s">
        <v>26</v>
      </c>
      <c r="D1319" s="5" t="str">
        <f>"杨钰萍"</f>
        <v>杨钰萍</v>
      </c>
      <c r="E1319" s="5" t="str">
        <f>"女"</f>
        <v>女</v>
      </c>
    </row>
    <row r="1320" spans="1:5" ht="30" customHeight="1">
      <c r="A1320" s="4">
        <v>1318</v>
      </c>
      <c r="B1320" s="5" t="str">
        <f>"2644202010151517292431"</f>
        <v>2644202010151517292431</v>
      </c>
      <c r="C1320" s="5" t="s">
        <v>26</v>
      </c>
      <c r="D1320" s="5" t="str">
        <f>"段佩怡"</f>
        <v>段佩怡</v>
      </c>
      <c r="E1320" s="5" t="str">
        <f>"女"</f>
        <v>女</v>
      </c>
    </row>
    <row r="1321" spans="1:5" ht="30" customHeight="1">
      <c r="A1321" s="4">
        <v>1319</v>
      </c>
      <c r="B1321" s="5" t="str">
        <f>"26442020100909223780"</f>
        <v>26442020100909223780</v>
      </c>
      <c r="C1321" s="5" t="s">
        <v>27</v>
      </c>
      <c r="D1321" s="5" t="str">
        <f>"卢耀康"</f>
        <v>卢耀康</v>
      </c>
      <c r="E1321" s="5" t="str">
        <f>"男"</f>
        <v>男</v>
      </c>
    </row>
    <row r="1322" spans="1:5" ht="30" customHeight="1">
      <c r="A1322" s="4">
        <v>1320</v>
      </c>
      <c r="B1322" s="5" t="str">
        <f>"26442020100909340294"</f>
        <v>26442020100909340294</v>
      </c>
      <c r="C1322" s="5" t="s">
        <v>27</v>
      </c>
      <c r="D1322" s="5" t="str">
        <f>"王伟"</f>
        <v>王伟</v>
      </c>
      <c r="E1322" s="5" t="str">
        <f>"男"</f>
        <v>男</v>
      </c>
    </row>
    <row r="1323" spans="1:5" ht="30" customHeight="1">
      <c r="A1323" s="4">
        <v>1321</v>
      </c>
      <c r="B1323" s="5" t="str">
        <f>"264420201009105215204"</f>
        <v>264420201009105215204</v>
      </c>
      <c r="C1323" s="5" t="s">
        <v>27</v>
      </c>
      <c r="D1323" s="5" t="str">
        <f>"张朔杰"</f>
        <v>张朔杰</v>
      </c>
      <c r="E1323" s="5" t="str">
        <f>"男"</f>
        <v>男</v>
      </c>
    </row>
    <row r="1324" spans="1:5" ht="30" customHeight="1">
      <c r="A1324" s="4">
        <v>1322</v>
      </c>
      <c r="B1324" s="5" t="str">
        <f>"264420201009110501223"</f>
        <v>264420201009110501223</v>
      </c>
      <c r="C1324" s="5" t="s">
        <v>27</v>
      </c>
      <c r="D1324" s="5" t="str">
        <f>"刘婕"</f>
        <v>刘婕</v>
      </c>
      <c r="E1324" s="5" t="str">
        <f>"女"</f>
        <v>女</v>
      </c>
    </row>
    <row r="1325" spans="1:5" ht="30" customHeight="1">
      <c r="A1325" s="4">
        <v>1323</v>
      </c>
      <c r="B1325" s="5" t="str">
        <f>"264420201009113043255"</f>
        <v>264420201009113043255</v>
      </c>
      <c r="C1325" s="5" t="s">
        <v>27</v>
      </c>
      <c r="D1325" s="5" t="str">
        <f>"钟昌史"</f>
        <v>钟昌史</v>
      </c>
      <c r="E1325" s="5" t="str">
        <f>"男"</f>
        <v>男</v>
      </c>
    </row>
    <row r="1326" spans="1:5" ht="30" customHeight="1">
      <c r="A1326" s="4">
        <v>1324</v>
      </c>
      <c r="B1326" s="5" t="str">
        <f>"264420201009123056311"</f>
        <v>264420201009123056311</v>
      </c>
      <c r="C1326" s="5" t="s">
        <v>27</v>
      </c>
      <c r="D1326" s="5" t="str">
        <f>"唐钰稀"</f>
        <v>唐钰稀</v>
      </c>
      <c r="E1326" s="5" t="str">
        <f>"男"</f>
        <v>男</v>
      </c>
    </row>
    <row r="1327" spans="1:5" ht="30" customHeight="1">
      <c r="A1327" s="4">
        <v>1325</v>
      </c>
      <c r="B1327" s="5" t="str">
        <f>"264420201009191130601"</f>
        <v>264420201009191130601</v>
      </c>
      <c r="C1327" s="5" t="s">
        <v>27</v>
      </c>
      <c r="D1327" s="5" t="str">
        <f>"董海英"</f>
        <v>董海英</v>
      </c>
      <c r="E1327" s="5" t="str">
        <f>"女"</f>
        <v>女</v>
      </c>
    </row>
    <row r="1328" spans="1:5" ht="30" customHeight="1">
      <c r="A1328" s="4">
        <v>1326</v>
      </c>
      <c r="B1328" s="5" t="str">
        <f>"264420201009191952607"</f>
        <v>264420201009191952607</v>
      </c>
      <c r="C1328" s="5" t="s">
        <v>27</v>
      </c>
      <c r="D1328" s="5" t="str">
        <f>"严国旺"</f>
        <v>严国旺</v>
      </c>
      <c r="E1328" s="5" t="str">
        <f>"男"</f>
        <v>男</v>
      </c>
    </row>
    <row r="1329" spans="1:5" ht="30" customHeight="1">
      <c r="A1329" s="4">
        <v>1327</v>
      </c>
      <c r="B1329" s="5" t="str">
        <f>"264420201009194343623"</f>
        <v>264420201009194343623</v>
      </c>
      <c r="C1329" s="5" t="s">
        <v>27</v>
      </c>
      <c r="D1329" s="5" t="str">
        <f>"林士钧"</f>
        <v>林士钧</v>
      </c>
      <c r="E1329" s="5" t="str">
        <f>"男"</f>
        <v>男</v>
      </c>
    </row>
    <row r="1330" spans="1:5" ht="30" customHeight="1">
      <c r="A1330" s="4">
        <v>1328</v>
      </c>
      <c r="B1330" s="5" t="str">
        <f>"264420201009222330764"</f>
        <v>264420201009222330764</v>
      </c>
      <c r="C1330" s="5" t="s">
        <v>27</v>
      </c>
      <c r="D1330" s="5" t="str">
        <f>"钟煜"</f>
        <v>钟煜</v>
      </c>
      <c r="E1330" s="5" t="str">
        <f>"男"</f>
        <v>男</v>
      </c>
    </row>
    <row r="1331" spans="1:5" ht="30" customHeight="1">
      <c r="A1331" s="4">
        <v>1329</v>
      </c>
      <c r="B1331" s="5" t="str">
        <f>"264420201010094656859"</f>
        <v>264420201010094656859</v>
      </c>
      <c r="C1331" s="5" t="s">
        <v>27</v>
      </c>
      <c r="D1331" s="5" t="str">
        <f>"郭荣德"</f>
        <v>郭荣德</v>
      </c>
      <c r="E1331" s="5" t="str">
        <f>"男"</f>
        <v>男</v>
      </c>
    </row>
    <row r="1332" spans="1:5" ht="30" customHeight="1">
      <c r="A1332" s="4">
        <v>1330</v>
      </c>
      <c r="B1332" s="5" t="str">
        <f>"264420201010110800906"</f>
        <v>264420201010110800906</v>
      </c>
      <c r="C1332" s="5" t="s">
        <v>27</v>
      </c>
      <c r="D1332" s="5" t="str">
        <f>"符小云"</f>
        <v>符小云</v>
      </c>
      <c r="E1332" s="5" t="str">
        <f>"女"</f>
        <v>女</v>
      </c>
    </row>
    <row r="1333" spans="1:5" ht="30" customHeight="1">
      <c r="A1333" s="4">
        <v>1331</v>
      </c>
      <c r="B1333" s="5" t="str">
        <f>"264420201010112427917"</f>
        <v>264420201010112427917</v>
      </c>
      <c r="C1333" s="5" t="s">
        <v>27</v>
      </c>
      <c r="D1333" s="5" t="str">
        <f>"李丽梅"</f>
        <v>李丽梅</v>
      </c>
      <c r="E1333" s="5" t="str">
        <f>"女"</f>
        <v>女</v>
      </c>
    </row>
    <row r="1334" spans="1:5" ht="30" customHeight="1">
      <c r="A1334" s="4">
        <v>1332</v>
      </c>
      <c r="B1334" s="5" t="str">
        <f>"264420201010123810951"</f>
        <v>264420201010123810951</v>
      </c>
      <c r="C1334" s="5" t="s">
        <v>27</v>
      </c>
      <c r="D1334" s="5" t="str">
        <f>"林钻"</f>
        <v>林钻</v>
      </c>
      <c r="E1334" s="5" t="str">
        <f>"男"</f>
        <v>男</v>
      </c>
    </row>
    <row r="1335" spans="1:5" ht="30" customHeight="1">
      <c r="A1335" s="4">
        <v>1333</v>
      </c>
      <c r="B1335" s="5" t="str">
        <f>"2644202010101519261000"</f>
        <v>2644202010101519261000</v>
      </c>
      <c r="C1335" s="5" t="s">
        <v>27</v>
      </c>
      <c r="D1335" s="5" t="str">
        <f>"陈赞伟"</f>
        <v>陈赞伟</v>
      </c>
      <c r="E1335" s="5" t="str">
        <f>"男"</f>
        <v>男</v>
      </c>
    </row>
    <row r="1336" spans="1:5" ht="30" customHeight="1">
      <c r="A1336" s="4">
        <v>1334</v>
      </c>
      <c r="B1336" s="5" t="str">
        <f>"2644202010111127391227"</f>
        <v>2644202010111127391227</v>
      </c>
      <c r="C1336" s="5" t="s">
        <v>27</v>
      </c>
      <c r="D1336" s="5" t="str">
        <f>"符淑谊"</f>
        <v>符淑谊</v>
      </c>
      <c r="E1336" s="5" t="str">
        <f>"女"</f>
        <v>女</v>
      </c>
    </row>
    <row r="1337" spans="1:5" ht="30" customHeight="1">
      <c r="A1337" s="4">
        <v>1335</v>
      </c>
      <c r="B1337" s="5" t="str">
        <f>"2644202010111254101254"</f>
        <v>2644202010111254101254</v>
      </c>
      <c r="C1337" s="5" t="s">
        <v>27</v>
      </c>
      <c r="D1337" s="5" t="str">
        <f>"陈雁斌"</f>
        <v>陈雁斌</v>
      </c>
      <c r="E1337" s="5" t="str">
        <f>"男"</f>
        <v>男</v>
      </c>
    </row>
    <row r="1338" spans="1:5" ht="30" customHeight="1">
      <c r="A1338" s="4">
        <v>1336</v>
      </c>
      <c r="B1338" s="5" t="str">
        <f>"2644202010111448111284"</f>
        <v>2644202010111448111284</v>
      </c>
      <c r="C1338" s="5" t="s">
        <v>27</v>
      </c>
      <c r="D1338" s="5" t="str">
        <f>"黎嵩"</f>
        <v>黎嵩</v>
      </c>
      <c r="E1338" s="5" t="str">
        <f>"男"</f>
        <v>男</v>
      </c>
    </row>
    <row r="1339" spans="1:5" ht="30" customHeight="1">
      <c r="A1339" s="4">
        <v>1337</v>
      </c>
      <c r="B1339" s="5" t="str">
        <f>"2644202010120911591475"</f>
        <v>2644202010120911591475</v>
      </c>
      <c r="C1339" s="5" t="s">
        <v>27</v>
      </c>
      <c r="D1339" s="5" t="str">
        <f>"冯瀚"</f>
        <v>冯瀚</v>
      </c>
      <c r="E1339" s="5" t="str">
        <f>"男"</f>
        <v>男</v>
      </c>
    </row>
    <row r="1340" spans="1:5" ht="30" customHeight="1">
      <c r="A1340" s="4">
        <v>1338</v>
      </c>
      <c r="B1340" s="5" t="str">
        <f>"2644202010121622491644"</f>
        <v>2644202010121622491644</v>
      </c>
      <c r="C1340" s="5" t="s">
        <v>27</v>
      </c>
      <c r="D1340" s="5" t="str">
        <f>"陈金女"</f>
        <v>陈金女</v>
      </c>
      <c r="E1340" s="5" t="str">
        <f>"女"</f>
        <v>女</v>
      </c>
    </row>
    <row r="1341" spans="1:5" ht="30" customHeight="1">
      <c r="A1341" s="4">
        <v>1339</v>
      </c>
      <c r="B1341" s="5" t="str">
        <f>"2644202010122334001750"</f>
        <v>2644202010122334001750</v>
      </c>
      <c r="C1341" s="5" t="s">
        <v>27</v>
      </c>
      <c r="D1341" s="5" t="str">
        <f>"钟明勋"</f>
        <v>钟明勋</v>
      </c>
      <c r="E1341" s="5" t="str">
        <f aca="true" t="shared" si="47" ref="E1341:E1346">"男"</f>
        <v>男</v>
      </c>
    </row>
    <row r="1342" spans="1:5" ht="30" customHeight="1">
      <c r="A1342" s="4">
        <v>1340</v>
      </c>
      <c r="B1342" s="5" t="str">
        <f>"2644202010131337171861"</f>
        <v>2644202010131337171861</v>
      </c>
      <c r="C1342" s="5" t="s">
        <v>27</v>
      </c>
      <c r="D1342" s="5" t="str">
        <f>"郑朝宏"</f>
        <v>郑朝宏</v>
      </c>
      <c r="E1342" s="5" t="str">
        <f t="shared" si="47"/>
        <v>男</v>
      </c>
    </row>
    <row r="1343" spans="1:5" ht="30" customHeight="1">
      <c r="A1343" s="4">
        <v>1341</v>
      </c>
      <c r="B1343" s="5" t="str">
        <f>"2644202010131841071941"</f>
        <v>2644202010131841071941</v>
      </c>
      <c r="C1343" s="5" t="s">
        <v>27</v>
      </c>
      <c r="D1343" s="5" t="str">
        <f>"黎明浪"</f>
        <v>黎明浪</v>
      </c>
      <c r="E1343" s="5" t="str">
        <f t="shared" si="47"/>
        <v>男</v>
      </c>
    </row>
    <row r="1344" spans="1:5" ht="30" customHeight="1">
      <c r="A1344" s="4">
        <v>1342</v>
      </c>
      <c r="B1344" s="5" t="str">
        <f>"2644202010131939181951"</f>
        <v>2644202010131939181951</v>
      </c>
      <c r="C1344" s="5" t="s">
        <v>27</v>
      </c>
      <c r="D1344" s="5" t="str">
        <f>"吴坤伟"</f>
        <v>吴坤伟</v>
      </c>
      <c r="E1344" s="5" t="str">
        <f t="shared" si="47"/>
        <v>男</v>
      </c>
    </row>
    <row r="1345" spans="1:5" ht="30" customHeight="1">
      <c r="A1345" s="4">
        <v>1343</v>
      </c>
      <c r="B1345" s="5" t="str">
        <f>"2644202010132223511999"</f>
        <v>2644202010132223511999</v>
      </c>
      <c r="C1345" s="5" t="s">
        <v>27</v>
      </c>
      <c r="D1345" s="5" t="str">
        <f>"陈精益"</f>
        <v>陈精益</v>
      </c>
      <c r="E1345" s="5" t="str">
        <f t="shared" si="47"/>
        <v>男</v>
      </c>
    </row>
    <row r="1346" spans="1:5" ht="30" customHeight="1">
      <c r="A1346" s="4">
        <v>1344</v>
      </c>
      <c r="B1346" s="5" t="str">
        <f>"2644202010140830002024"</f>
        <v>2644202010140830002024</v>
      </c>
      <c r="C1346" s="5" t="s">
        <v>27</v>
      </c>
      <c r="D1346" s="5" t="str">
        <f>"黄钦俊"</f>
        <v>黄钦俊</v>
      </c>
      <c r="E1346" s="5" t="str">
        <f t="shared" si="47"/>
        <v>男</v>
      </c>
    </row>
    <row r="1347" spans="1:5" ht="30" customHeight="1">
      <c r="A1347" s="4">
        <v>1345</v>
      </c>
      <c r="B1347" s="5" t="str">
        <f>"2644202010142125132247"</f>
        <v>2644202010142125132247</v>
      </c>
      <c r="C1347" s="5" t="s">
        <v>27</v>
      </c>
      <c r="D1347" s="5" t="str">
        <f>"张瑞"</f>
        <v>张瑞</v>
      </c>
      <c r="E1347" s="5" t="str">
        <f>"女"</f>
        <v>女</v>
      </c>
    </row>
    <row r="1348" spans="1:5" ht="30" customHeight="1">
      <c r="A1348" s="4">
        <v>1346</v>
      </c>
      <c r="B1348" s="5" t="str">
        <f>"2644202010090833397"</f>
        <v>2644202010090833397</v>
      </c>
      <c r="C1348" s="5" t="s">
        <v>28</v>
      </c>
      <c r="D1348" s="5" t="str">
        <f>"王诚"</f>
        <v>王诚</v>
      </c>
      <c r="E1348" s="5" t="str">
        <f>"男"</f>
        <v>男</v>
      </c>
    </row>
    <row r="1349" spans="1:5" ht="30" customHeight="1">
      <c r="A1349" s="4">
        <v>1347</v>
      </c>
      <c r="B1349" s="5" t="str">
        <f>"26442020100908414119"</f>
        <v>26442020100908414119</v>
      </c>
      <c r="C1349" s="5" t="s">
        <v>28</v>
      </c>
      <c r="D1349" s="5" t="str">
        <f>"李龙"</f>
        <v>李龙</v>
      </c>
      <c r="E1349" s="5" t="str">
        <f>"男"</f>
        <v>男</v>
      </c>
    </row>
    <row r="1350" spans="1:5" ht="30" customHeight="1">
      <c r="A1350" s="4">
        <v>1348</v>
      </c>
      <c r="B1350" s="5" t="str">
        <f>"26442020100908463129"</f>
        <v>26442020100908463129</v>
      </c>
      <c r="C1350" s="5" t="s">
        <v>28</v>
      </c>
      <c r="D1350" s="5" t="str">
        <f>"王琳"</f>
        <v>王琳</v>
      </c>
      <c r="E1350" s="5" t="str">
        <f>"女"</f>
        <v>女</v>
      </c>
    </row>
    <row r="1351" spans="1:5" ht="30" customHeight="1">
      <c r="A1351" s="4">
        <v>1349</v>
      </c>
      <c r="B1351" s="5" t="str">
        <f>"26442020100909020149"</f>
        <v>26442020100909020149</v>
      </c>
      <c r="C1351" s="5" t="s">
        <v>28</v>
      </c>
      <c r="D1351" s="5" t="str">
        <f>"韦泽涛"</f>
        <v>韦泽涛</v>
      </c>
      <c r="E1351" s="5" t="str">
        <f>"男"</f>
        <v>男</v>
      </c>
    </row>
    <row r="1352" spans="1:5" ht="30" customHeight="1">
      <c r="A1352" s="4">
        <v>1350</v>
      </c>
      <c r="B1352" s="5" t="str">
        <f>"26442020100909023852"</f>
        <v>26442020100909023852</v>
      </c>
      <c r="C1352" s="5" t="s">
        <v>28</v>
      </c>
      <c r="D1352" s="5" t="str">
        <f>"吴桂香"</f>
        <v>吴桂香</v>
      </c>
      <c r="E1352" s="5" t="str">
        <f>"女"</f>
        <v>女</v>
      </c>
    </row>
    <row r="1353" spans="1:5" ht="30" customHeight="1">
      <c r="A1353" s="4">
        <v>1351</v>
      </c>
      <c r="B1353" s="5" t="str">
        <f>"26442020100909060256"</f>
        <v>26442020100909060256</v>
      </c>
      <c r="C1353" s="5" t="s">
        <v>28</v>
      </c>
      <c r="D1353" s="5" t="str">
        <f>"孙春晓"</f>
        <v>孙春晓</v>
      </c>
      <c r="E1353" s="5" t="str">
        <f>"男"</f>
        <v>男</v>
      </c>
    </row>
    <row r="1354" spans="1:5" ht="30" customHeight="1">
      <c r="A1354" s="4">
        <v>1352</v>
      </c>
      <c r="B1354" s="5" t="str">
        <f>"26442020100909065457"</f>
        <v>26442020100909065457</v>
      </c>
      <c r="C1354" s="5" t="s">
        <v>28</v>
      </c>
      <c r="D1354" s="5" t="str">
        <f>"王渊"</f>
        <v>王渊</v>
      </c>
      <c r="E1354" s="5" t="str">
        <f>"男"</f>
        <v>男</v>
      </c>
    </row>
    <row r="1355" spans="1:5" ht="30" customHeight="1">
      <c r="A1355" s="4">
        <v>1353</v>
      </c>
      <c r="B1355" s="5" t="str">
        <f>"26442020100909112864"</f>
        <v>26442020100909112864</v>
      </c>
      <c r="C1355" s="5" t="s">
        <v>28</v>
      </c>
      <c r="D1355" s="5" t="str">
        <f>"张忠青"</f>
        <v>张忠青</v>
      </c>
      <c r="E1355" s="5" t="str">
        <f>"男"</f>
        <v>男</v>
      </c>
    </row>
    <row r="1356" spans="1:5" ht="30" customHeight="1">
      <c r="A1356" s="4">
        <v>1354</v>
      </c>
      <c r="B1356" s="5" t="str">
        <f>"26442020100909132465"</f>
        <v>26442020100909132465</v>
      </c>
      <c r="C1356" s="5" t="s">
        <v>28</v>
      </c>
      <c r="D1356" s="5" t="str">
        <f>"王和祥"</f>
        <v>王和祥</v>
      </c>
      <c r="E1356" s="5" t="str">
        <f>"男"</f>
        <v>男</v>
      </c>
    </row>
    <row r="1357" spans="1:5" ht="30" customHeight="1">
      <c r="A1357" s="4">
        <v>1355</v>
      </c>
      <c r="B1357" s="5" t="str">
        <f>"26442020100909154870"</f>
        <v>26442020100909154870</v>
      </c>
      <c r="C1357" s="5" t="s">
        <v>28</v>
      </c>
      <c r="D1357" s="5" t="str">
        <f>"王荣江"</f>
        <v>王荣江</v>
      </c>
      <c r="E1357" s="5" t="str">
        <f>"女"</f>
        <v>女</v>
      </c>
    </row>
    <row r="1358" spans="1:5" ht="30" customHeight="1">
      <c r="A1358" s="4">
        <v>1356</v>
      </c>
      <c r="B1358" s="5" t="str">
        <f>"26442020100909175573"</f>
        <v>26442020100909175573</v>
      </c>
      <c r="C1358" s="5" t="s">
        <v>28</v>
      </c>
      <c r="D1358" s="5" t="str">
        <f>"林彬"</f>
        <v>林彬</v>
      </c>
      <c r="E1358" s="5" t="str">
        <f aca="true" t="shared" si="48" ref="E1358:E1369">"男"</f>
        <v>男</v>
      </c>
    </row>
    <row r="1359" spans="1:5" ht="30" customHeight="1">
      <c r="A1359" s="4">
        <v>1357</v>
      </c>
      <c r="B1359" s="5" t="str">
        <f>"26442020100909223881"</f>
        <v>26442020100909223881</v>
      </c>
      <c r="C1359" s="5" t="s">
        <v>28</v>
      </c>
      <c r="D1359" s="5" t="str">
        <f>"王世梓"</f>
        <v>王世梓</v>
      </c>
      <c r="E1359" s="5" t="str">
        <f t="shared" si="48"/>
        <v>男</v>
      </c>
    </row>
    <row r="1360" spans="1:5" ht="30" customHeight="1">
      <c r="A1360" s="4">
        <v>1358</v>
      </c>
      <c r="B1360" s="5" t="str">
        <f>"26442020100909271189"</f>
        <v>26442020100909271189</v>
      </c>
      <c r="C1360" s="5" t="s">
        <v>28</v>
      </c>
      <c r="D1360" s="5" t="str">
        <f>"黄仕权"</f>
        <v>黄仕权</v>
      </c>
      <c r="E1360" s="5" t="str">
        <f t="shared" si="48"/>
        <v>男</v>
      </c>
    </row>
    <row r="1361" spans="1:5" ht="30" customHeight="1">
      <c r="A1361" s="4">
        <v>1359</v>
      </c>
      <c r="B1361" s="5" t="str">
        <f>"26442020100909365698"</f>
        <v>26442020100909365698</v>
      </c>
      <c r="C1361" s="5" t="s">
        <v>28</v>
      </c>
      <c r="D1361" s="5" t="str">
        <f>"李日翔"</f>
        <v>李日翔</v>
      </c>
      <c r="E1361" s="5" t="str">
        <f t="shared" si="48"/>
        <v>男</v>
      </c>
    </row>
    <row r="1362" spans="1:5" ht="30" customHeight="1">
      <c r="A1362" s="4">
        <v>1360</v>
      </c>
      <c r="B1362" s="5" t="str">
        <f>"264420201009094229105"</f>
        <v>264420201009094229105</v>
      </c>
      <c r="C1362" s="5" t="s">
        <v>28</v>
      </c>
      <c r="D1362" s="5" t="str">
        <f>"吕伟器"</f>
        <v>吕伟器</v>
      </c>
      <c r="E1362" s="5" t="str">
        <f t="shared" si="48"/>
        <v>男</v>
      </c>
    </row>
    <row r="1363" spans="1:5" ht="30" customHeight="1">
      <c r="A1363" s="4">
        <v>1361</v>
      </c>
      <c r="B1363" s="5" t="str">
        <f>"264420201009094828112"</f>
        <v>264420201009094828112</v>
      </c>
      <c r="C1363" s="5" t="s">
        <v>28</v>
      </c>
      <c r="D1363" s="5" t="str">
        <f>"蔡亲冠"</f>
        <v>蔡亲冠</v>
      </c>
      <c r="E1363" s="5" t="str">
        <f t="shared" si="48"/>
        <v>男</v>
      </c>
    </row>
    <row r="1364" spans="1:5" ht="30" customHeight="1">
      <c r="A1364" s="4">
        <v>1362</v>
      </c>
      <c r="B1364" s="5" t="str">
        <f>"264420201009095220118"</f>
        <v>264420201009095220118</v>
      </c>
      <c r="C1364" s="5" t="s">
        <v>28</v>
      </c>
      <c r="D1364" s="5" t="str">
        <f>"吴开吉"</f>
        <v>吴开吉</v>
      </c>
      <c r="E1364" s="5" t="str">
        <f t="shared" si="48"/>
        <v>男</v>
      </c>
    </row>
    <row r="1365" spans="1:5" ht="30" customHeight="1">
      <c r="A1365" s="4">
        <v>1363</v>
      </c>
      <c r="B1365" s="5" t="str">
        <f>"264420201009095431123"</f>
        <v>264420201009095431123</v>
      </c>
      <c r="C1365" s="5" t="s">
        <v>28</v>
      </c>
      <c r="D1365" s="5" t="str">
        <f>"朱珩"</f>
        <v>朱珩</v>
      </c>
      <c r="E1365" s="5" t="str">
        <f t="shared" si="48"/>
        <v>男</v>
      </c>
    </row>
    <row r="1366" spans="1:5" ht="30" customHeight="1">
      <c r="A1366" s="4">
        <v>1364</v>
      </c>
      <c r="B1366" s="5" t="str">
        <f>"264420201009095755126"</f>
        <v>264420201009095755126</v>
      </c>
      <c r="C1366" s="5" t="s">
        <v>28</v>
      </c>
      <c r="D1366" s="5" t="str">
        <f>"叶伟作"</f>
        <v>叶伟作</v>
      </c>
      <c r="E1366" s="5" t="str">
        <f t="shared" si="48"/>
        <v>男</v>
      </c>
    </row>
    <row r="1367" spans="1:5" ht="30" customHeight="1">
      <c r="A1367" s="4">
        <v>1365</v>
      </c>
      <c r="B1367" s="5" t="str">
        <f>"264420201009100848134"</f>
        <v>264420201009100848134</v>
      </c>
      <c r="C1367" s="5" t="s">
        <v>28</v>
      </c>
      <c r="D1367" s="5" t="str">
        <f>"白剑钊"</f>
        <v>白剑钊</v>
      </c>
      <c r="E1367" s="5" t="str">
        <f t="shared" si="48"/>
        <v>男</v>
      </c>
    </row>
    <row r="1368" spans="1:5" ht="30" customHeight="1">
      <c r="A1368" s="4">
        <v>1366</v>
      </c>
      <c r="B1368" s="5" t="str">
        <f>"264420201009100913135"</f>
        <v>264420201009100913135</v>
      </c>
      <c r="C1368" s="5" t="s">
        <v>28</v>
      </c>
      <c r="D1368" s="5" t="str">
        <f>"吴武晋"</f>
        <v>吴武晋</v>
      </c>
      <c r="E1368" s="5" t="str">
        <f t="shared" si="48"/>
        <v>男</v>
      </c>
    </row>
    <row r="1369" spans="1:5" ht="30" customHeight="1">
      <c r="A1369" s="4">
        <v>1367</v>
      </c>
      <c r="B1369" s="5" t="str">
        <f>"264420201009100958137"</f>
        <v>264420201009100958137</v>
      </c>
      <c r="C1369" s="5" t="s">
        <v>28</v>
      </c>
      <c r="D1369" s="5" t="str">
        <f>"吴红升"</f>
        <v>吴红升</v>
      </c>
      <c r="E1369" s="5" t="str">
        <f t="shared" si="48"/>
        <v>男</v>
      </c>
    </row>
    <row r="1370" spans="1:5" ht="30" customHeight="1">
      <c r="A1370" s="4">
        <v>1368</v>
      </c>
      <c r="B1370" s="5" t="str">
        <f>"264420201009101524146"</f>
        <v>264420201009101524146</v>
      </c>
      <c r="C1370" s="5" t="s">
        <v>28</v>
      </c>
      <c r="D1370" s="5" t="str">
        <f>"刘洋"</f>
        <v>刘洋</v>
      </c>
      <c r="E1370" s="5" t="str">
        <f>"女"</f>
        <v>女</v>
      </c>
    </row>
    <row r="1371" spans="1:5" ht="30" customHeight="1">
      <c r="A1371" s="4">
        <v>1369</v>
      </c>
      <c r="B1371" s="5" t="str">
        <f>"264420201009101822149"</f>
        <v>264420201009101822149</v>
      </c>
      <c r="C1371" s="5" t="s">
        <v>28</v>
      </c>
      <c r="D1371" s="5" t="str">
        <f>"张静"</f>
        <v>张静</v>
      </c>
      <c r="E1371" s="5" t="str">
        <f>"男"</f>
        <v>男</v>
      </c>
    </row>
    <row r="1372" spans="1:5" ht="30" customHeight="1">
      <c r="A1372" s="4">
        <v>1370</v>
      </c>
      <c r="B1372" s="5" t="str">
        <f>"264420201009102427160"</f>
        <v>264420201009102427160</v>
      </c>
      <c r="C1372" s="5" t="s">
        <v>28</v>
      </c>
      <c r="D1372" s="5" t="str">
        <f>"王琳"</f>
        <v>王琳</v>
      </c>
      <c r="E1372" s="5" t="str">
        <f>"女"</f>
        <v>女</v>
      </c>
    </row>
    <row r="1373" spans="1:5" ht="30" customHeight="1">
      <c r="A1373" s="4">
        <v>1371</v>
      </c>
      <c r="B1373" s="5" t="str">
        <f>"264420201009104927197"</f>
        <v>264420201009104927197</v>
      </c>
      <c r="C1373" s="5" t="s">
        <v>28</v>
      </c>
      <c r="D1373" s="5" t="str">
        <f>"王哲皓"</f>
        <v>王哲皓</v>
      </c>
      <c r="E1373" s="5" t="str">
        <f aca="true" t="shared" si="49" ref="E1373:E1380">"男"</f>
        <v>男</v>
      </c>
    </row>
    <row r="1374" spans="1:5" ht="30" customHeight="1">
      <c r="A1374" s="4">
        <v>1372</v>
      </c>
      <c r="B1374" s="5" t="str">
        <f>"264420201009105418207"</f>
        <v>264420201009105418207</v>
      </c>
      <c r="C1374" s="5" t="s">
        <v>28</v>
      </c>
      <c r="D1374" s="5" t="str">
        <f>"王绥谦"</f>
        <v>王绥谦</v>
      </c>
      <c r="E1374" s="5" t="str">
        <f t="shared" si="49"/>
        <v>男</v>
      </c>
    </row>
    <row r="1375" spans="1:5" ht="30" customHeight="1">
      <c r="A1375" s="4">
        <v>1373</v>
      </c>
      <c r="B1375" s="5" t="str">
        <f>"264420201009105523210"</f>
        <v>264420201009105523210</v>
      </c>
      <c r="C1375" s="5" t="s">
        <v>28</v>
      </c>
      <c r="D1375" s="5" t="str">
        <f>"张俊杰"</f>
        <v>张俊杰</v>
      </c>
      <c r="E1375" s="5" t="str">
        <f t="shared" si="49"/>
        <v>男</v>
      </c>
    </row>
    <row r="1376" spans="1:5" ht="30" customHeight="1">
      <c r="A1376" s="4">
        <v>1374</v>
      </c>
      <c r="B1376" s="5" t="str">
        <f>"264420201009105632211"</f>
        <v>264420201009105632211</v>
      </c>
      <c r="C1376" s="5" t="s">
        <v>28</v>
      </c>
      <c r="D1376" s="5" t="str">
        <f>"卢传勤"</f>
        <v>卢传勤</v>
      </c>
      <c r="E1376" s="5" t="str">
        <f t="shared" si="49"/>
        <v>男</v>
      </c>
    </row>
    <row r="1377" spans="1:5" ht="30" customHeight="1">
      <c r="A1377" s="4">
        <v>1375</v>
      </c>
      <c r="B1377" s="5" t="str">
        <f>"264420201009105937216"</f>
        <v>264420201009105937216</v>
      </c>
      <c r="C1377" s="5" t="s">
        <v>28</v>
      </c>
      <c r="D1377" s="5" t="str">
        <f>"黄兹俊"</f>
        <v>黄兹俊</v>
      </c>
      <c r="E1377" s="5" t="str">
        <f t="shared" si="49"/>
        <v>男</v>
      </c>
    </row>
    <row r="1378" spans="1:5" ht="30" customHeight="1">
      <c r="A1378" s="4">
        <v>1376</v>
      </c>
      <c r="B1378" s="5" t="str">
        <f>"264420201009110023218"</f>
        <v>264420201009110023218</v>
      </c>
      <c r="C1378" s="5" t="s">
        <v>28</v>
      </c>
      <c r="D1378" s="5" t="str">
        <f>"王浩"</f>
        <v>王浩</v>
      </c>
      <c r="E1378" s="5" t="str">
        <f t="shared" si="49"/>
        <v>男</v>
      </c>
    </row>
    <row r="1379" spans="1:5" ht="30" customHeight="1">
      <c r="A1379" s="4">
        <v>1377</v>
      </c>
      <c r="B1379" s="5" t="str">
        <f>"264420201009111516235"</f>
        <v>264420201009111516235</v>
      </c>
      <c r="C1379" s="5" t="s">
        <v>28</v>
      </c>
      <c r="D1379" s="5" t="str">
        <f>"梁旭"</f>
        <v>梁旭</v>
      </c>
      <c r="E1379" s="5" t="str">
        <f t="shared" si="49"/>
        <v>男</v>
      </c>
    </row>
    <row r="1380" spans="1:5" ht="30" customHeight="1">
      <c r="A1380" s="4">
        <v>1378</v>
      </c>
      <c r="B1380" s="5" t="str">
        <f>"264420201009112250243"</f>
        <v>264420201009112250243</v>
      </c>
      <c r="C1380" s="5" t="s">
        <v>28</v>
      </c>
      <c r="D1380" s="5" t="str">
        <f>"蔡坤"</f>
        <v>蔡坤</v>
      </c>
      <c r="E1380" s="5" t="str">
        <f t="shared" si="49"/>
        <v>男</v>
      </c>
    </row>
    <row r="1381" spans="1:5" ht="30" customHeight="1">
      <c r="A1381" s="4">
        <v>1379</v>
      </c>
      <c r="B1381" s="5" t="str">
        <f>"264420201009113409260"</f>
        <v>264420201009113409260</v>
      </c>
      <c r="C1381" s="5" t="s">
        <v>28</v>
      </c>
      <c r="D1381" s="5" t="str">
        <f>"张莹萦"</f>
        <v>张莹萦</v>
      </c>
      <c r="E1381" s="5" t="str">
        <f>"女"</f>
        <v>女</v>
      </c>
    </row>
    <row r="1382" spans="1:5" ht="30" customHeight="1">
      <c r="A1382" s="4">
        <v>1380</v>
      </c>
      <c r="B1382" s="5" t="str">
        <f>"264420201009115107276"</f>
        <v>264420201009115107276</v>
      </c>
      <c r="C1382" s="5" t="s">
        <v>28</v>
      </c>
      <c r="D1382" s="5" t="str">
        <f>"吴多佳"</f>
        <v>吴多佳</v>
      </c>
      <c r="E1382" s="5" t="str">
        <f>"男"</f>
        <v>男</v>
      </c>
    </row>
    <row r="1383" spans="1:5" ht="30" customHeight="1">
      <c r="A1383" s="4">
        <v>1381</v>
      </c>
      <c r="B1383" s="5" t="str">
        <f>"264420201009115908284"</f>
        <v>264420201009115908284</v>
      </c>
      <c r="C1383" s="5" t="s">
        <v>28</v>
      </c>
      <c r="D1383" s="5" t="str">
        <f>"王正川"</f>
        <v>王正川</v>
      </c>
      <c r="E1383" s="5" t="str">
        <f>"男"</f>
        <v>男</v>
      </c>
    </row>
    <row r="1384" spans="1:5" ht="30" customHeight="1">
      <c r="A1384" s="4">
        <v>1382</v>
      </c>
      <c r="B1384" s="5" t="str">
        <f>"264420201009124615318"</f>
        <v>264420201009124615318</v>
      </c>
      <c r="C1384" s="5" t="s">
        <v>28</v>
      </c>
      <c r="D1384" s="5" t="str">
        <f>"夏斌"</f>
        <v>夏斌</v>
      </c>
      <c r="E1384" s="5" t="str">
        <f>"男"</f>
        <v>男</v>
      </c>
    </row>
    <row r="1385" spans="1:5" ht="30" customHeight="1">
      <c r="A1385" s="4">
        <v>1383</v>
      </c>
      <c r="B1385" s="5" t="str">
        <f>"264420201009130003325"</f>
        <v>264420201009130003325</v>
      </c>
      <c r="C1385" s="5" t="s">
        <v>28</v>
      </c>
      <c r="D1385" s="5" t="str">
        <f>"王丽婷"</f>
        <v>王丽婷</v>
      </c>
      <c r="E1385" s="5" t="str">
        <f>"女"</f>
        <v>女</v>
      </c>
    </row>
    <row r="1386" spans="1:5" ht="30" customHeight="1">
      <c r="A1386" s="4">
        <v>1384</v>
      </c>
      <c r="B1386" s="5" t="str">
        <f>"264420201009134019347"</f>
        <v>264420201009134019347</v>
      </c>
      <c r="C1386" s="5" t="s">
        <v>28</v>
      </c>
      <c r="D1386" s="5" t="str">
        <f>"张天用"</f>
        <v>张天用</v>
      </c>
      <c r="E1386" s="5" t="str">
        <f>"男"</f>
        <v>男</v>
      </c>
    </row>
    <row r="1387" spans="1:5" ht="30" customHeight="1">
      <c r="A1387" s="4">
        <v>1385</v>
      </c>
      <c r="B1387" s="5" t="str">
        <f>"264420201009140005355"</f>
        <v>264420201009140005355</v>
      </c>
      <c r="C1387" s="5" t="s">
        <v>28</v>
      </c>
      <c r="D1387" s="5" t="str">
        <f>"李昌贵"</f>
        <v>李昌贵</v>
      </c>
      <c r="E1387" s="5" t="str">
        <f>"男"</f>
        <v>男</v>
      </c>
    </row>
    <row r="1388" spans="1:5" ht="30" customHeight="1">
      <c r="A1388" s="4">
        <v>1386</v>
      </c>
      <c r="B1388" s="5" t="str">
        <f>"264420201009141641364"</f>
        <v>264420201009141641364</v>
      </c>
      <c r="C1388" s="5" t="s">
        <v>28</v>
      </c>
      <c r="D1388" s="5" t="str">
        <f>"施俊杉"</f>
        <v>施俊杉</v>
      </c>
      <c r="E1388" s="5" t="str">
        <f>"男"</f>
        <v>男</v>
      </c>
    </row>
    <row r="1389" spans="1:5" ht="30" customHeight="1">
      <c r="A1389" s="4">
        <v>1387</v>
      </c>
      <c r="B1389" s="5" t="str">
        <f>"264420201009144209384"</f>
        <v>264420201009144209384</v>
      </c>
      <c r="C1389" s="5" t="s">
        <v>28</v>
      </c>
      <c r="D1389" s="5" t="str">
        <f>"陈文君"</f>
        <v>陈文君</v>
      </c>
      <c r="E1389" s="5" t="str">
        <f>"女"</f>
        <v>女</v>
      </c>
    </row>
    <row r="1390" spans="1:5" ht="30" customHeight="1">
      <c r="A1390" s="4">
        <v>1388</v>
      </c>
      <c r="B1390" s="5" t="str">
        <f>"264420201009151121409"</f>
        <v>264420201009151121409</v>
      </c>
      <c r="C1390" s="5" t="s">
        <v>28</v>
      </c>
      <c r="D1390" s="5" t="str">
        <f>"陈奕旺"</f>
        <v>陈奕旺</v>
      </c>
      <c r="E1390" s="5" t="str">
        <f>"男"</f>
        <v>男</v>
      </c>
    </row>
    <row r="1391" spans="1:5" ht="30" customHeight="1">
      <c r="A1391" s="4">
        <v>1389</v>
      </c>
      <c r="B1391" s="5" t="str">
        <f>"264420201009151934414"</f>
        <v>264420201009151934414</v>
      </c>
      <c r="C1391" s="5" t="s">
        <v>28</v>
      </c>
      <c r="D1391" s="5" t="str">
        <f>"蒋祖丽"</f>
        <v>蒋祖丽</v>
      </c>
      <c r="E1391" s="5" t="str">
        <f>"女"</f>
        <v>女</v>
      </c>
    </row>
    <row r="1392" spans="1:5" ht="30" customHeight="1">
      <c r="A1392" s="4">
        <v>1390</v>
      </c>
      <c r="B1392" s="5" t="str">
        <f>"264420201009154303437"</f>
        <v>264420201009154303437</v>
      </c>
      <c r="C1392" s="5" t="s">
        <v>28</v>
      </c>
      <c r="D1392" s="5" t="str">
        <f>"郑旺"</f>
        <v>郑旺</v>
      </c>
      <c r="E1392" s="5" t="str">
        <f>"男"</f>
        <v>男</v>
      </c>
    </row>
    <row r="1393" spans="1:5" ht="30" customHeight="1">
      <c r="A1393" s="4">
        <v>1391</v>
      </c>
      <c r="B1393" s="5" t="str">
        <f>"264420201009155002449"</f>
        <v>264420201009155002449</v>
      </c>
      <c r="C1393" s="5" t="s">
        <v>28</v>
      </c>
      <c r="D1393" s="5" t="str">
        <f>"李昌权"</f>
        <v>李昌权</v>
      </c>
      <c r="E1393" s="5" t="str">
        <f>"男"</f>
        <v>男</v>
      </c>
    </row>
    <row r="1394" spans="1:5" ht="30" customHeight="1">
      <c r="A1394" s="4">
        <v>1392</v>
      </c>
      <c r="B1394" s="5" t="str">
        <f>"264420201009160054458"</f>
        <v>264420201009160054458</v>
      </c>
      <c r="C1394" s="5" t="s">
        <v>28</v>
      </c>
      <c r="D1394" s="5" t="str">
        <f>"许智"</f>
        <v>许智</v>
      </c>
      <c r="E1394" s="5" t="str">
        <f>"男"</f>
        <v>男</v>
      </c>
    </row>
    <row r="1395" spans="1:5" ht="30" customHeight="1">
      <c r="A1395" s="4">
        <v>1393</v>
      </c>
      <c r="B1395" s="5" t="str">
        <f>"264420201009160759470"</f>
        <v>264420201009160759470</v>
      </c>
      <c r="C1395" s="5" t="s">
        <v>28</v>
      </c>
      <c r="D1395" s="5" t="str">
        <f>"任粥君"</f>
        <v>任粥君</v>
      </c>
      <c r="E1395" s="5" t="str">
        <f>"女"</f>
        <v>女</v>
      </c>
    </row>
    <row r="1396" spans="1:5" ht="30" customHeight="1">
      <c r="A1396" s="4">
        <v>1394</v>
      </c>
      <c r="B1396" s="5" t="str">
        <f>"264420201009162757485"</f>
        <v>264420201009162757485</v>
      </c>
      <c r="C1396" s="5" t="s">
        <v>28</v>
      </c>
      <c r="D1396" s="5" t="str">
        <f>"符海云"</f>
        <v>符海云</v>
      </c>
      <c r="E1396" s="5" t="str">
        <f aca="true" t="shared" si="50" ref="E1396:E1405">"男"</f>
        <v>男</v>
      </c>
    </row>
    <row r="1397" spans="1:5" ht="30" customHeight="1">
      <c r="A1397" s="4">
        <v>1395</v>
      </c>
      <c r="B1397" s="5" t="str">
        <f>"264420201009163149491"</f>
        <v>264420201009163149491</v>
      </c>
      <c r="C1397" s="5" t="s">
        <v>28</v>
      </c>
      <c r="D1397" s="5" t="str">
        <f>"张斌斌"</f>
        <v>张斌斌</v>
      </c>
      <c r="E1397" s="5" t="str">
        <f t="shared" si="50"/>
        <v>男</v>
      </c>
    </row>
    <row r="1398" spans="1:5" ht="30" customHeight="1">
      <c r="A1398" s="4">
        <v>1396</v>
      </c>
      <c r="B1398" s="5" t="str">
        <f>"264420201009164055499"</f>
        <v>264420201009164055499</v>
      </c>
      <c r="C1398" s="5" t="s">
        <v>28</v>
      </c>
      <c r="D1398" s="5" t="str">
        <f>"陈玉剑"</f>
        <v>陈玉剑</v>
      </c>
      <c r="E1398" s="5" t="str">
        <f t="shared" si="50"/>
        <v>男</v>
      </c>
    </row>
    <row r="1399" spans="1:5" ht="30" customHeight="1">
      <c r="A1399" s="4">
        <v>1397</v>
      </c>
      <c r="B1399" s="5" t="str">
        <f>"264420201009170334518"</f>
        <v>264420201009170334518</v>
      </c>
      <c r="C1399" s="5" t="s">
        <v>28</v>
      </c>
      <c r="D1399" s="5" t="str">
        <f>"李林飞"</f>
        <v>李林飞</v>
      </c>
      <c r="E1399" s="5" t="str">
        <f t="shared" si="50"/>
        <v>男</v>
      </c>
    </row>
    <row r="1400" spans="1:5" ht="30" customHeight="1">
      <c r="A1400" s="4">
        <v>1398</v>
      </c>
      <c r="B1400" s="5" t="str">
        <f>"264420201009171647528"</f>
        <v>264420201009171647528</v>
      </c>
      <c r="C1400" s="5" t="s">
        <v>28</v>
      </c>
      <c r="D1400" s="5" t="str">
        <f>"赵泽民"</f>
        <v>赵泽民</v>
      </c>
      <c r="E1400" s="5" t="str">
        <f t="shared" si="50"/>
        <v>男</v>
      </c>
    </row>
    <row r="1401" spans="1:5" ht="30" customHeight="1">
      <c r="A1401" s="4">
        <v>1399</v>
      </c>
      <c r="B1401" s="5" t="str">
        <f>"264420201009172900538"</f>
        <v>264420201009172900538</v>
      </c>
      <c r="C1401" s="5" t="s">
        <v>28</v>
      </c>
      <c r="D1401" s="5" t="str">
        <f>"张乘铭"</f>
        <v>张乘铭</v>
      </c>
      <c r="E1401" s="5" t="str">
        <f t="shared" si="50"/>
        <v>男</v>
      </c>
    </row>
    <row r="1402" spans="1:5" ht="30" customHeight="1">
      <c r="A1402" s="4">
        <v>1400</v>
      </c>
      <c r="B1402" s="5" t="str">
        <f>"264420201009173721543"</f>
        <v>264420201009173721543</v>
      </c>
      <c r="C1402" s="5" t="s">
        <v>28</v>
      </c>
      <c r="D1402" s="5" t="str">
        <f>"曾阳"</f>
        <v>曾阳</v>
      </c>
      <c r="E1402" s="5" t="str">
        <f t="shared" si="50"/>
        <v>男</v>
      </c>
    </row>
    <row r="1403" spans="1:5" ht="30" customHeight="1">
      <c r="A1403" s="4">
        <v>1401</v>
      </c>
      <c r="B1403" s="5" t="str">
        <f>"264420201009181317560"</f>
        <v>264420201009181317560</v>
      </c>
      <c r="C1403" s="5" t="s">
        <v>28</v>
      </c>
      <c r="D1403" s="5" t="str">
        <f>"陈智伟"</f>
        <v>陈智伟</v>
      </c>
      <c r="E1403" s="5" t="str">
        <f t="shared" si="50"/>
        <v>男</v>
      </c>
    </row>
    <row r="1404" spans="1:5" ht="30" customHeight="1">
      <c r="A1404" s="4">
        <v>1402</v>
      </c>
      <c r="B1404" s="5" t="str">
        <f>"264420201009183753577"</f>
        <v>264420201009183753577</v>
      </c>
      <c r="C1404" s="5" t="s">
        <v>28</v>
      </c>
      <c r="D1404" s="5" t="str">
        <f>"郑永明"</f>
        <v>郑永明</v>
      </c>
      <c r="E1404" s="5" t="str">
        <f t="shared" si="50"/>
        <v>男</v>
      </c>
    </row>
    <row r="1405" spans="1:5" ht="30" customHeight="1">
      <c r="A1405" s="4">
        <v>1403</v>
      </c>
      <c r="B1405" s="5" t="str">
        <f>"264420201009190022594"</f>
        <v>264420201009190022594</v>
      </c>
      <c r="C1405" s="5" t="s">
        <v>28</v>
      </c>
      <c r="D1405" s="5" t="str">
        <f>"陈治锴"</f>
        <v>陈治锴</v>
      </c>
      <c r="E1405" s="5" t="str">
        <f t="shared" si="50"/>
        <v>男</v>
      </c>
    </row>
    <row r="1406" spans="1:5" ht="30" customHeight="1">
      <c r="A1406" s="4">
        <v>1404</v>
      </c>
      <c r="B1406" s="5" t="str">
        <f>"264420201009190930597"</f>
        <v>264420201009190930597</v>
      </c>
      <c r="C1406" s="5" t="s">
        <v>28</v>
      </c>
      <c r="D1406" s="5" t="str">
        <f>"潘小花"</f>
        <v>潘小花</v>
      </c>
      <c r="E1406" s="5" t="str">
        <f>"女"</f>
        <v>女</v>
      </c>
    </row>
    <row r="1407" spans="1:5" ht="30" customHeight="1">
      <c r="A1407" s="4">
        <v>1405</v>
      </c>
      <c r="B1407" s="5" t="str">
        <f>"264420201009191554602"</f>
        <v>264420201009191554602</v>
      </c>
      <c r="C1407" s="5" t="s">
        <v>28</v>
      </c>
      <c r="D1407" s="5" t="str">
        <f>"李方凯"</f>
        <v>李方凯</v>
      </c>
      <c r="E1407" s="5" t="str">
        <f>"男"</f>
        <v>男</v>
      </c>
    </row>
    <row r="1408" spans="1:5" ht="30" customHeight="1">
      <c r="A1408" s="4">
        <v>1406</v>
      </c>
      <c r="B1408" s="5" t="str">
        <f>"264420201009191655604"</f>
        <v>264420201009191655604</v>
      </c>
      <c r="C1408" s="5" t="s">
        <v>28</v>
      </c>
      <c r="D1408" s="5" t="str">
        <f>"梁小柳"</f>
        <v>梁小柳</v>
      </c>
      <c r="E1408" s="5" t="str">
        <f>"女"</f>
        <v>女</v>
      </c>
    </row>
    <row r="1409" spans="1:5" ht="30" customHeight="1">
      <c r="A1409" s="4">
        <v>1407</v>
      </c>
      <c r="B1409" s="5" t="str">
        <f>"264420201009195359631"</f>
        <v>264420201009195359631</v>
      </c>
      <c r="C1409" s="5" t="s">
        <v>28</v>
      </c>
      <c r="D1409" s="5" t="str">
        <f>"韦剑弘"</f>
        <v>韦剑弘</v>
      </c>
      <c r="E1409" s="5" t="str">
        <f aca="true" t="shared" si="51" ref="E1409:E1421">"男"</f>
        <v>男</v>
      </c>
    </row>
    <row r="1410" spans="1:5" ht="30" customHeight="1">
      <c r="A1410" s="4">
        <v>1408</v>
      </c>
      <c r="B1410" s="5" t="str">
        <f>"264420201009195616634"</f>
        <v>264420201009195616634</v>
      </c>
      <c r="C1410" s="5" t="s">
        <v>28</v>
      </c>
      <c r="D1410" s="5" t="str">
        <f>"黄宗文"</f>
        <v>黄宗文</v>
      </c>
      <c r="E1410" s="5" t="str">
        <f t="shared" si="51"/>
        <v>男</v>
      </c>
    </row>
    <row r="1411" spans="1:5" ht="30" customHeight="1">
      <c r="A1411" s="4">
        <v>1409</v>
      </c>
      <c r="B1411" s="5" t="str">
        <f>"264420201009195947639"</f>
        <v>264420201009195947639</v>
      </c>
      <c r="C1411" s="5" t="s">
        <v>28</v>
      </c>
      <c r="D1411" s="5" t="str">
        <f>"陈朝阳"</f>
        <v>陈朝阳</v>
      </c>
      <c r="E1411" s="5" t="str">
        <f t="shared" si="51"/>
        <v>男</v>
      </c>
    </row>
    <row r="1412" spans="1:5" ht="30" customHeight="1">
      <c r="A1412" s="4">
        <v>1410</v>
      </c>
      <c r="B1412" s="5" t="str">
        <f>"264420201009202748669"</f>
        <v>264420201009202748669</v>
      </c>
      <c r="C1412" s="5" t="s">
        <v>28</v>
      </c>
      <c r="D1412" s="5" t="str">
        <f>"李献东"</f>
        <v>李献东</v>
      </c>
      <c r="E1412" s="5" t="str">
        <f t="shared" si="51"/>
        <v>男</v>
      </c>
    </row>
    <row r="1413" spans="1:5" ht="30" customHeight="1">
      <c r="A1413" s="4">
        <v>1411</v>
      </c>
      <c r="B1413" s="5" t="str">
        <f>"264420201009203633679"</f>
        <v>264420201009203633679</v>
      </c>
      <c r="C1413" s="5" t="s">
        <v>28</v>
      </c>
      <c r="D1413" s="5" t="str">
        <f>"吴清峻"</f>
        <v>吴清峻</v>
      </c>
      <c r="E1413" s="5" t="str">
        <f t="shared" si="51"/>
        <v>男</v>
      </c>
    </row>
    <row r="1414" spans="1:5" ht="30" customHeight="1">
      <c r="A1414" s="4">
        <v>1412</v>
      </c>
      <c r="B1414" s="5" t="str">
        <f>"264420201009203639680"</f>
        <v>264420201009203639680</v>
      </c>
      <c r="C1414" s="5" t="s">
        <v>28</v>
      </c>
      <c r="D1414" s="5" t="str">
        <f>"苏运奋"</f>
        <v>苏运奋</v>
      </c>
      <c r="E1414" s="5" t="str">
        <f t="shared" si="51"/>
        <v>男</v>
      </c>
    </row>
    <row r="1415" spans="1:5" ht="30" customHeight="1">
      <c r="A1415" s="4">
        <v>1413</v>
      </c>
      <c r="B1415" s="5" t="str">
        <f>"264420201009205235695"</f>
        <v>264420201009205235695</v>
      </c>
      <c r="C1415" s="5" t="s">
        <v>28</v>
      </c>
      <c r="D1415" s="5" t="str">
        <f>"卢运国"</f>
        <v>卢运国</v>
      </c>
      <c r="E1415" s="5" t="str">
        <f t="shared" si="51"/>
        <v>男</v>
      </c>
    </row>
    <row r="1416" spans="1:5" ht="30" customHeight="1">
      <c r="A1416" s="4">
        <v>1414</v>
      </c>
      <c r="B1416" s="5" t="str">
        <f>"264420201009205452700"</f>
        <v>264420201009205452700</v>
      </c>
      <c r="C1416" s="5" t="s">
        <v>28</v>
      </c>
      <c r="D1416" s="5" t="str">
        <f>"陈达明"</f>
        <v>陈达明</v>
      </c>
      <c r="E1416" s="5" t="str">
        <f t="shared" si="51"/>
        <v>男</v>
      </c>
    </row>
    <row r="1417" spans="1:5" ht="30" customHeight="1">
      <c r="A1417" s="4">
        <v>1415</v>
      </c>
      <c r="B1417" s="5" t="str">
        <f>"264420201009210038706"</f>
        <v>264420201009210038706</v>
      </c>
      <c r="C1417" s="5" t="s">
        <v>28</v>
      </c>
      <c r="D1417" s="5" t="str">
        <f>"陈宇"</f>
        <v>陈宇</v>
      </c>
      <c r="E1417" s="5" t="str">
        <f t="shared" si="51"/>
        <v>男</v>
      </c>
    </row>
    <row r="1418" spans="1:5" ht="30" customHeight="1">
      <c r="A1418" s="4">
        <v>1416</v>
      </c>
      <c r="B1418" s="5" t="str">
        <f>"264420201009210724712"</f>
        <v>264420201009210724712</v>
      </c>
      <c r="C1418" s="5" t="s">
        <v>28</v>
      </c>
      <c r="D1418" s="5" t="str">
        <f>"蔡栋"</f>
        <v>蔡栋</v>
      </c>
      <c r="E1418" s="5" t="str">
        <f t="shared" si="51"/>
        <v>男</v>
      </c>
    </row>
    <row r="1419" spans="1:5" ht="30" customHeight="1">
      <c r="A1419" s="4">
        <v>1417</v>
      </c>
      <c r="B1419" s="5" t="str">
        <f>"264420201009212400723"</f>
        <v>264420201009212400723</v>
      </c>
      <c r="C1419" s="5" t="s">
        <v>28</v>
      </c>
      <c r="D1419" s="5" t="str">
        <f>"洪琼玉"</f>
        <v>洪琼玉</v>
      </c>
      <c r="E1419" s="5" t="str">
        <f t="shared" si="51"/>
        <v>男</v>
      </c>
    </row>
    <row r="1420" spans="1:5" ht="30" customHeight="1">
      <c r="A1420" s="4">
        <v>1418</v>
      </c>
      <c r="B1420" s="5" t="str">
        <f>"264420201009214303731"</f>
        <v>264420201009214303731</v>
      </c>
      <c r="C1420" s="5" t="s">
        <v>28</v>
      </c>
      <c r="D1420" s="5" t="str">
        <f>"吴英松"</f>
        <v>吴英松</v>
      </c>
      <c r="E1420" s="5" t="str">
        <f t="shared" si="51"/>
        <v>男</v>
      </c>
    </row>
    <row r="1421" spans="1:5" ht="30" customHeight="1">
      <c r="A1421" s="4">
        <v>1419</v>
      </c>
      <c r="B1421" s="5" t="str">
        <f>"264420201009214648735"</f>
        <v>264420201009214648735</v>
      </c>
      <c r="C1421" s="5" t="s">
        <v>28</v>
      </c>
      <c r="D1421" s="5" t="str">
        <f>"邢武"</f>
        <v>邢武</v>
      </c>
      <c r="E1421" s="5" t="str">
        <f t="shared" si="51"/>
        <v>男</v>
      </c>
    </row>
    <row r="1422" spans="1:5" ht="30" customHeight="1">
      <c r="A1422" s="4">
        <v>1420</v>
      </c>
      <c r="B1422" s="5" t="str">
        <f>"264420201009214656736"</f>
        <v>264420201009214656736</v>
      </c>
      <c r="C1422" s="5" t="s">
        <v>28</v>
      </c>
      <c r="D1422" s="5" t="str">
        <f>"张蓓"</f>
        <v>张蓓</v>
      </c>
      <c r="E1422" s="5" t="str">
        <f>"女"</f>
        <v>女</v>
      </c>
    </row>
    <row r="1423" spans="1:5" ht="30" customHeight="1">
      <c r="A1423" s="4">
        <v>1421</v>
      </c>
      <c r="B1423" s="5" t="str">
        <f>"264420201009215622741"</f>
        <v>264420201009215622741</v>
      </c>
      <c r="C1423" s="5" t="s">
        <v>28</v>
      </c>
      <c r="D1423" s="5" t="str">
        <f>"蒙积明"</f>
        <v>蒙积明</v>
      </c>
      <c r="E1423" s="5" t="str">
        <f>"男"</f>
        <v>男</v>
      </c>
    </row>
    <row r="1424" spans="1:5" ht="30" customHeight="1">
      <c r="A1424" s="4">
        <v>1422</v>
      </c>
      <c r="B1424" s="5" t="str">
        <f>"264420201009223439768"</f>
        <v>264420201009223439768</v>
      </c>
      <c r="C1424" s="5" t="s">
        <v>28</v>
      </c>
      <c r="D1424" s="5" t="str">
        <f>"黄君"</f>
        <v>黄君</v>
      </c>
      <c r="E1424" s="5" t="str">
        <f>"男"</f>
        <v>男</v>
      </c>
    </row>
    <row r="1425" spans="1:5" ht="30" customHeight="1">
      <c r="A1425" s="4">
        <v>1423</v>
      </c>
      <c r="B1425" s="5" t="str">
        <f>"264420201009231316786"</f>
        <v>264420201009231316786</v>
      </c>
      <c r="C1425" s="5" t="s">
        <v>28</v>
      </c>
      <c r="D1425" s="5" t="str">
        <f>"张裕欣"</f>
        <v>张裕欣</v>
      </c>
      <c r="E1425" s="5" t="str">
        <f>"男"</f>
        <v>男</v>
      </c>
    </row>
    <row r="1426" spans="1:5" ht="30" customHeight="1">
      <c r="A1426" s="4">
        <v>1424</v>
      </c>
      <c r="B1426" s="5" t="str">
        <f>"264420201010073729812"</f>
        <v>264420201010073729812</v>
      </c>
      <c r="C1426" s="5" t="s">
        <v>28</v>
      </c>
      <c r="D1426" s="5" t="str">
        <f>"邢益胜"</f>
        <v>邢益胜</v>
      </c>
      <c r="E1426" s="5" t="str">
        <f>"男"</f>
        <v>男</v>
      </c>
    </row>
    <row r="1427" spans="1:5" ht="30" customHeight="1">
      <c r="A1427" s="4">
        <v>1425</v>
      </c>
      <c r="B1427" s="5" t="str">
        <f>"264420201010075938815"</f>
        <v>264420201010075938815</v>
      </c>
      <c r="C1427" s="5" t="s">
        <v>28</v>
      </c>
      <c r="D1427" s="5" t="str">
        <f>"王式再"</f>
        <v>王式再</v>
      </c>
      <c r="E1427" s="5" t="str">
        <f>"男"</f>
        <v>男</v>
      </c>
    </row>
    <row r="1428" spans="1:5" ht="30" customHeight="1">
      <c r="A1428" s="4">
        <v>1426</v>
      </c>
      <c r="B1428" s="5" t="str">
        <f>"264420201010083309823"</f>
        <v>264420201010083309823</v>
      </c>
      <c r="C1428" s="5" t="s">
        <v>28</v>
      </c>
      <c r="D1428" s="5" t="str">
        <f>"蔡雨婷"</f>
        <v>蔡雨婷</v>
      </c>
      <c r="E1428" s="5" t="str">
        <f>"女"</f>
        <v>女</v>
      </c>
    </row>
    <row r="1429" spans="1:5" ht="30" customHeight="1">
      <c r="A1429" s="4">
        <v>1427</v>
      </c>
      <c r="B1429" s="5" t="str">
        <f>"264420201010083749825"</f>
        <v>264420201010083749825</v>
      </c>
      <c r="C1429" s="5" t="s">
        <v>28</v>
      </c>
      <c r="D1429" s="5" t="str">
        <f>"符代强"</f>
        <v>符代强</v>
      </c>
      <c r="E1429" s="5" t="str">
        <f>"男"</f>
        <v>男</v>
      </c>
    </row>
    <row r="1430" spans="1:5" ht="30" customHeight="1">
      <c r="A1430" s="4">
        <v>1428</v>
      </c>
      <c r="B1430" s="5" t="str">
        <f>"264420201010085050828"</f>
        <v>264420201010085050828</v>
      </c>
      <c r="C1430" s="5" t="s">
        <v>28</v>
      </c>
      <c r="D1430" s="5" t="str">
        <f>"王跃"</f>
        <v>王跃</v>
      </c>
      <c r="E1430" s="5" t="str">
        <f>"男"</f>
        <v>男</v>
      </c>
    </row>
    <row r="1431" spans="1:5" ht="30" customHeight="1">
      <c r="A1431" s="4">
        <v>1429</v>
      </c>
      <c r="B1431" s="5" t="str">
        <f>"264420201010085554833"</f>
        <v>264420201010085554833</v>
      </c>
      <c r="C1431" s="5" t="s">
        <v>28</v>
      </c>
      <c r="D1431" s="5" t="str">
        <f>"林斯永"</f>
        <v>林斯永</v>
      </c>
      <c r="E1431" s="5" t="str">
        <f>"男"</f>
        <v>男</v>
      </c>
    </row>
    <row r="1432" spans="1:5" ht="30" customHeight="1">
      <c r="A1432" s="4">
        <v>1430</v>
      </c>
      <c r="B1432" s="5" t="str">
        <f>"264420201010090710842"</f>
        <v>264420201010090710842</v>
      </c>
      <c r="C1432" s="5" t="s">
        <v>28</v>
      </c>
      <c r="D1432" s="5" t="str">
        <f>"林师赜"</f>
        <v>林师赜</v>
      </c>
      <c r="E1432" s="5" t="str">
        <f>"男"</f>
        <v>男</v>
      </c>
    </row>
    <row r="1433" spans="1:5" ht="30" customHeight="1">
      <c r="A1433" s="4">
        <v>1431</v>
      </c>
      <c r="B1433" s="5" t="str">
        <f>"264420201010091024843"</f>
        <v>264420201010091024843</v>
      </c>
      <c r="C1433" s="5" t="s">
        <v>28</v>
      </c>
      <c r="D1433" s="5" t="str">
        <f>"牛亚芬"</f>
        <v>牛亚芬</v>
      </c>
      <c r="E1433" s="5" t="str">
        <f>"女"</f>
        <v>女</v>
      </c>
    </row>
    <row r="1434" spans="1:5" ht="30" customHeight="1">
      <c r="A1434" s="4">
        <v>1432</v>
      </c>
      <c r="B1434" s="5" t="str">
        <f>"264420201010092717849"</f>
        <v>264420201010092717849</v>
      </c>
      <c r="C1434" s="5" t="s">
        <v>28</v>
      </c>
      <c r="D1434" s="5" t="str">
        <f>"王平东"</f>
        <v>王平东</v>
      </c>
      <c r="E1434" s="5" t="str">
        <f>"男"</f>
        <v>男</v>
      </c>
    </row>
    <row r="1435" spans="1:5" ht="30" customHeight="1">
      <c r="A1435" s="4">
        <v>1433</v>
      </c>
      <c r="B1435" s="5" t="str">
        <f>"264420201010092804851"</f>
        <v>264420201010092804851</v>
      </c>
      <c r="C1435" s="5" t="s">
        <v>28</v>
      </c>
      <c r="D1435" s="5" t="str">
        <f>"林四南"</f>
        <v>林四南</v>
      </c>
      <c r="E1435" s="5" t="str">
        <f>"女"</f>
        <v>女</v>
      </c>
    </row>
    <row r="1436" spans="1:5" ht="30" customHeight="1">
      <c r="A1436" s="4">
        <v>1434</v>
      </c>
      <c r="B1436" s="5" t="str">
        <f>"264420201010095334864"</f>
        <v>264420201010095334864</v>
      </c>
      <c r="C1436" s="5" t="s">
        <v>28</v>
      </c>
      <c r="D1436" s="5" t="str">
        <f>"杨哲"</f>
        <v>杨哲</v>
      </c>
      <c r="E1436" s="5" t="str">
        <f>"男"</f>
        <v>男</v>
      </c>
    </row>
    <row r="1437" spans="1:5" ht="30" customHeight="1">
      <c r="A1437" s="4">
        <v>1435</v>
      </c>
      <c r="B1437" s="5" t="str">
        <f>"264420201010100337872"</f>
        <v>264420201010100337872</v>
      </c>
      <c r="C1437" s="5" t="s">
        <v>28</v>
      </c>
      <c r="D1437" s="5" t="str">
        <f>"吴运峰"</f>
        <v>吴运峰</v>
      </c>
      <c r="E1437" s="5" t="str">
        <f>"男"</f>
        <v>男</v>
      </c>
    </row>
    <row r="1438" spans="1:5" ht="30" customHeight="1">
      <c r="A1438" s="4">
        <v>1436</v>
      </c>
      <c r="B1438" s="5" t="str">
        <f>"264420201010112309916"</f>
        <v>264420201010112309916</v>
      </c>
      <c r="C1438" s="5" t="s">
        <v>28</v>
      </c>
      <c r="D1438" s="5" t="str">
        <f>"廖远骥"</f>
        <v>廖远骥</v>
      </c>
      <c r="E1438" s="5" t="str">
        <f>"男"</f>
        <v>男</v>
      </c>
    </row>
    <row r="1439" spans="1:5" ht="30" customHeight="1">
      <c r="A1439" s="4">
        <v>1437</v>
      </c>
      <c r="B1439" s="5" t="str">
        <f>"264420201010112743919"</f>
        <v>264420201010112743919</v>
      </c>
      <c r="C1439" s="5" t="s">
        <v>28</v>
      </c>
      <c r="D1439" s="5" t="str">
        <f>"林明明"</f>
        <v>林明明</v>
      </c>
      <c r="E1439" s="5" t="str">
        <f>"男"</f>
        <v>男</v>
      </c>
    </row>
    <row r="1440" spans="1:5" ht="30" customHeight="1">
      <c r="A1440" s="4">
        <v>1438</v>
      </c>
      <c r="B1440" s="5" t="str">
        <f>"264420201010113442924"</f>
        <v>264420201010113442924</v>
      </c>
      <c r="C1440" s="5" t="s">
        <v>28</v>
      </c>
      <c r="D1440" s="5" t="str">
        <f>"陆明月"</f>
        <v>陆明月</v>
      </c>
      <c r="E1440" s="5" t="str">
        <f>"女"</f>
        <v>女</v>
      </c>
    </row>
    <row r="1441" spans="1:5" ht="30" customHeight="1">
      <c r="A1441" s="4">
        <v>1439</v>
      </c>
      <c r="B1441" s="5" t="str">
        <f>"264420201010114234925"</f>
        <v>264420201010114234925</v>
      </c>
      <c r="C1441" s="5" t="s">
        <v>28</v>
      </c>
      <c r="D1441" s="5" t="str">
        <f>"徐颖智"</f>
        <v>徐颖智</v>
      </c>
      <c r="E1441" s="5" t="str">
        <f>"女"</f>
        <v>女</v>
      </c>
    </row>
    <row r="1442" spans="1:5" ht="30" customHeight="1">
      <c r="A1442" s="4">
        <v>1440</v>
      </c>
      <c r="B1442" s="5" t="str">
        <f>"264420201010123056946"</f>
        <v>264420201010123056946</v>
      </c>
      <c r="C1442" s="5" t="s">
        <v>28</v>
      </c>
      <c r="D1442" s="5" t="str">
        <f>"占兴标"</f>
        <v>占兴标</v>
      </c>
      <c r="E1442" s="5" t="str">
        <f>"男"</f>
        <v>男</v>
      </c>
    </row>
    <row r="1443" spans="1:5" ht="30" customHeight="1">
      <c r="A1443" s="4">
        <v>1441</v>
      </c>
      <c r="B1443" s="5" t="str">
        <f>"264420201010123231947"</f>
        <v>264420201010123231947</v>
      </c>
      <c r="C1443" s="5" t="s">
        <v>28</v>
      </c>
      <c r="D1443" s="5" t="str">
        <f>"蔡胜峰"</f>
        <v>蔡胜峰</v>
      </c>
      <c r="E1443" s="5" t="str">
        <f>"男"</f>
        <v>男</v>
      </c>
    </row>
    <row r="1444" spans="1:5" ht="30" customHeight="1">
      <c r="A1444" s="4">
        <v>1442</v>
      </c>
      <c r="B1444" s="5" t="str">
        <f>"264420201010123232948"</f>
        <v>264420201010123232948</v>
      </c>
      <c r="C1444" s="5" t="s">
        <v>28</v>
      </c>
      <c r="D1444" s="5" t="str">
        <f>"李香艳"</f>
        <v>李香艳</v>
      </c>
      <c r="E1444" s="5" t="str">
        <f>"女"</f>
        <v>女</v>
      </c>
    </row>
    <row r="1445" spans="1:5" ht="30" customHeight="1">
      <c r="A1445" s="4">
        <v>1443</v>
      </c>
      <c r="B1445" s="5" t="str">
        <f>"264420201010124242953"</f>
        <v>264420201010124242953</v>
      </c>
      <c r="C1445" s="5" t="s">
        <v>28</v>
      </c>
      <c r="D1445" s="5" t="str">
        <f>"林春雄"</f>
        <v>林春雄</v>
      </c>
      <c r="E1445" s="5" t="str">
        <f aca="true" t="shared" si="52" ref="E1445:E1450">"男"</f>
        <v>男</v>
      </c>
    </row>
    <row r="1446" spans="1:5" ht="30" customHeight="1">
      <c r="A1446" s="4">
        <v>1444</v>
      </c>
      <c r="B1446" s="5" t="str">
        <f>"264420201010124321955"</f>
        <v>264420201010124321955</v>
      </c>
      <c r="C1446" s="5" t="s">
        <v>28</v>
      </c>
      <c r="D1446" s="5" t="str">
        <f>"王绥霖"</f>
        <v>王绥霖</v>
      </c>
      <c r="E1446" s="5" t="str">
        <f t="shared" si="52"/>
        <v>男</v>
      </c>
    </row>
    <row r="1447" spans="1:5" ht="30" customHeight="1">
      <c r="A1447" s="4">
        <v>1445</v>
      </c>
      <c r="B1447" s="5" t="str">
        <f>"264420201010135054974"</f>
        <v>264420201010135054974</v>
      </c>
      <c r="C1447" s="5" t="s">
        <v>28</v>
      </c>
      <c r="D1447" s="5" t="str">
        <f>"谢代宁"</f>
        <v>谢代宁</v>
      </c>
      <c r="E1447" s="5" t="str">
        <f t="shared" si="52"/>
        <v>男</v>
      </c>
    </row>
    <row r="1448" spans="1:5" ht="30" customHeight="1">
      <c r="A1448" s="4">
        <v>1446</v>
      </c>
      <c r="B1448" s="5" t="str">
        <f>"264420201010135438975"</f>
        <v>264420201010135438975</v>
      </c>
      <c r="C1448" s="5" t="s">
        <v>28</v>
      </c>
      <c r="D1448" s="5" t="str">
        <f>"杨旭光"</f>
        <v>杨旭光</v>
      </c>
      <c r="E1448" s="5" t="str">
        <f t="shared" si="52"/>
        <v>男</v>
      </c>
    </row>
    <row r="1449" spans="1:5" ht="30" customHeight="1">
      <c r="A1449" s="4">
        <v>1447</v>
      </c>
      <c r="B1449" s="5" t="str">
        <f>"264420201010144722986"</f>
        <v>264420201010144722986</v>
      </c>
      <c r="C1449" s="5" t="s">
        <v>28</v>
      </c>
      <c r="D1449" s="5" t="str">
        <f>"盛青楠"</f>
        <v>盛青楠</v>
      </c>
      <c r="E1449" s="5" t="str">
        <f t="shared" si="52"/>
        <v>男</v>
      </c>
    </row>
    <row r="1450" spans="1:5" ht="30" customHeight="1">
      <c r="A1450" s="4">
        <v>1448</v>
      </c>
      <c r="B1450" s="5" t="str">
        <f>"2644202010101544031014"</f>
        <v>2644202010101544031014</v>
      </c>
      <c r="C1450" s="5" t="s">
        <v>28</v>
      </c>
      <c r="D1450" s="5" t="str">
        <f>"陈希越"</f>
        <v>陈希越</v>
      </c>
      <c r="E1450" s="5" t="str">
        <f t="shared" si="52"/>
        <v>男</v>
      </c>
    </row>
    <row r="1451" spans="1:5" ht="30" customHeight="1">
      <c r="A1451" s="4">
        <v>1449</v>
      </c>
      <c r="B1451" s="5" t="str">
        <f>"2644202010101639321035"</f>
        <v>2644202010101639321035</v>
      </c>
      <c r="C1451" s="5" t="s">
        <v>28</v>
      </c>
      <c r="D1451" s="5" t="str">
        <f>"叶才霞"</f>
        <v>叶才霞</v>
      </c>
      <c r="E1451" s="5" t="str">
        <f>"女"</f>
        <v>女</v>
      </c>
    </row>
    <row r="1452" spans="1:5" ht="30" customHeight="1">
      <c r="A1452" s="4">
        <v>1450</v>
      </c>
      <c r="B1452" s="5" t="str">
        <f>"2644202010101730121059"</f>
        <v>2644202010101730121059</v>
      </c>
      <c r="C1452" s="5" t="s">
        <v>28</v>
      </c>
      <c r="D1452" s="5" t="str">
        <f>"陈先伟"</f>
        <v>陈先伟</v>
      </c>
      <c r="E1452" s="5" t="str">
        <f>"男"</f>
        <v>男</v>
      </c>
    </row>
    <row r="1453" spans="1:5" ht="30" customHeight="1">
      <c r="A1453" s="4">
        <v>1451</v>
      </c>
      <c r="B1453" s="5" t="str">
        <f>"2644202010101730331060"</f>
        <v>2644202010101730331060</v>
      </c>
      <c r="C1453" s="5" t="s">
        <v>28</v>
      </c>
      <c r="D1453" s="5" t="str">
        <f>"黄裕洪"</f>
        <v>黄裕洪</v>
      </c>
      <c r="E1453" s="5" t="str">
        <f>"男"</f>
        <v>男</v>
      </c>
    </row>
    <row r="1454" spans="1:5" ht="30" customHeight="1">
      <c r="A1454" s="4">
        <v>1452</v>
      </c>
      <c r="B1454" s="5" t="str">
        <f>"2644202010101810591072"</f>
        <v>2644202010101810591072</v>
      </c>
      <c r="C1454" s="5" t="s">
        <v>28</v>
      </c>
      <c r="D1454" s="5" t="str">
        <f>"董柳"</f>
        <v>董柳</v>
      </c>
      <c r="E1454" s="5" t="str">
        <f>"女"</f>
        <v>女</v>
      </c>
    </row>
    <row r="1455" spans="1:5" ht="30" customHeight="1">
      <c r="A1455" s="4">
        <v>1453</v>
      </c>
      <c r="B1455" s="5" t="str">
        <f>"2644202010101918161086"</f>
        <v>2644202010101918161086</v>
      </c>
      <c r="C1455" s="5" t="s">
        <v>28</v>
      </c>
      <c r="D1455" s="5" t="str">
        <f>"吴珊珊"</f>
        <v>吴珊珊</v>
      </c>
      <c r="E1455" s="5" t="str">
        <f>"女"</f>
        <v>女</v>
      </c>
    </row>
    <row r="1456" spans="1:5" ht="30" customHeight="1">
      <c r="A1456" s="4">
        <v>1454</v>
      </c>
      <c r="B1456" s="5" t="str">
        <f>"2644202010102034371107"</f>
        <v>2644202010102034371107</v>
      </c>
      <c r="C1456" s="5" t="s">
        <v>28</v>
      </c>
      <c r="D1456" s="5" t="str">
        <f>"苏小腾"</f>
        <v>苏小腾</v>
      </c>
      <c r="E1456" s="5" t="str">
        <f aca="true" t="shared" si="53" ref="E1456:E1461">"男"</f>
        <v>男</v>
      </c>
    </row>
    <row r="1457" spans="1:5" ht="30" customHeight="1">
      <c r="A1457" s="4">
        <v>1455</v>
      </c>
      <c r="B1457" s="5" t="str">
        <f>"2644202010102054241110"</f>
        <v>2644202010102054241110</v>
      </c>
      <c r="C1457" s="5" t="s">
        <v>28</v>
      </c>
      <c r="D1457" s="5" t="str">
        <f>"李召"</f>
        <v>李召</v>
      </c>
      <c r="E1457" s="5" t="str">
        <f t="shared" si="53"/>
        <v>男</v>
      </c>
    </row>
    <row r="1458" spans="1:5" ht="30" customHeight="1">
      <c r="A1458" s="4">
        <v>1456</v>
      </c>
      <c r="B1458" s="5" t="str">
        <f>"2644202010102131371128"</f>
        <v>2644202010102131371128</v>
      </c>
      <c r="C1458" s="5" t="s">
        <v>28</v>
      </c>
      <c r="D1458" s="5" t="str">
        <f>"陈维铭"</f>
        <v>陈维铭</v>
      </c>
      <c r="E1458" s="5" t="str">
        <f t="shared" si="53"/>
        <v>男</v>
      </c>
    </row>
    <row r="1459" spans="1:5" ht="30" customHeight="1">
      <c r="A1459" s="4">
        <v>1457</v>
      </c>
      <c r="B1459" s="5" t="str">
        <f>"2644202010102134421130"</f>
        <v>2644202010102134421130</v>
      </c>
      <c r="C1459" s="5" t="s">
        <v>28</v>
      </c>
      <c r="D1459" s="5" t="str">
        <f>"吴维椎"</f>
        <v>吴维椎</v>
      </c>
      <c r="E1459" s="5" t="str">
        <f t="shared" si="53"/>
        <v>男</v>
      </c>
    </row>
    <row r="1460" spans="1:5" ht="30" customHeight="1">
      <c r="A1460" s="4">
        <v>1458</v>
      </c>
      <c r="B1460" s="5" t="str">
        <f>"2644202010102135091131"</f>
        <v>2644202010102135091131</v>
      </c>
      <c r="C1460" s="5" t="s">
        <v>28</v>
      </c>
      <c r="D1460" s="5" t="str">
        <f>"黄小龙"</f>
        <v>黄小龙</v>
      </c>
      <c r="E1460" s="5" t="str">
        <f t="shared" si="53"/>
        <v>男</v>
      </c>
    </row>
    <row r="1461" spans="1:5" ht="30" customHeight="1">
      <c r="A1461" s="4">
        <v>1459</v>
      </c>
      <c r="B1461" s="5" t="str">
        <f>"2644202010102250501153"</f>
        <v>2644202010102250501153</v>
      </c>
      <c r="C1461" s="5" t="s">
        <v>28</v>
      </c>
      <c r="D1461" s="5" t="str">
        <f>"符启飞"</f>
        <v>符启飞</v>
      </c>
      <c r="E1461" s="5" t="str">
        <f t="shared" si="53"/>
        <v>男</v>
      </c>
    </row>
    <row r="1462" spans="1:5" ht="30" customHeight="1">
      <c r="A1462" s="4">
        <v>1460</v>
      </c>
      <c r="B1462" s="5" t="str">
        <f>"2644202010110807441179"</f>
        <v>2644202010110807441179</v>
      </c>
      <c r="C1462" s="5" t="s">
        <v>28</v>
      </c>
      <c r="D1462" s="5" t="str">
        <f>"吴海波"</f>
        <v>吴海波</v>
      </c>
      <c r="E1462" s="5" t="str">
        <f>"女"</f>
        <v>女</v>
      </c>
    </row>
    <row r="1463" spans="1:5" ht="30" customHeight="1">
      <c r="A1463" s="4">
        <v>1461</v>
      </c>
      <c r="B1463" s="5" t="str">
        <f>"2644202010110846091185"</f>
        <v>2644202010110846091185</v>
      </c>
      <c r="C1463" s="5" t="s">
        <v>28</v>
      </c>
      <c r="D1463" s="5" t="str">
        <f>"张博云"</f>
        <v>张博云</v>
      </c>
      <c r="E1463" s="5" t="str">
        <f>"男"</f>
        <v>男</v>
      </c>
    </row>
    <row r="1464" spans="1:5" ht="30" customHeight="1">
      <c r="A1464" s="4">
        <v>1462</v>
      </c>
      <c r="B1464" s="5" t="str">
        <f>"2644202010110905511188"</f>
        <v>2644202010110905511188</v>
      </c>
      <c r="C1464" s="5" t="s">
        <v>28</v>
      </c>
      <c r="D1464" s="5" t="str">
        <f>"曾宪鹏"</f>
        <v>曾宪鹏</v>
      </c>
      <c r="E1464" s="5" t="str">
        <f>"男"</f>
        <v>男</v>
      </c>
    </row>
    <row r="1465" spans="1:5" ht="30" customHeight="1">
      <c r="A1465" s="4">
        <v>1463</v>
      </c>
      <c r="B1465" s="5" t="str">
        <f>"2644202010110946501203"</f>
        <v>2644202010110946501203</v>
      </c>
      <c r="C1465" s="5" t="s">
        <v>28</v>
      </c>
      <c r="D1465" s="5" t="str">
        <f>"许小然"</f>
        <v>许小然</v>
      </c>
      <c r="E1465" s="5" t="str">
        <f>"男"</f>
        <v>男</v>
      </c>
    </row>
    <row r="1466" spans="1:5" ht="30" customHeight="1">
      <c r="A1466" s="4">
        <v>1464</v>
      </c>
      <c r="B1466" s="5" t="str">
        <f>"2644202010111107011220"</f>
        <v>2644202010111107011220</v>
      </c>
      <c r="C1466" s="5" t="s">
        <v>28</v>
      </c>
      <c r="D1466" s="5" t="str">
        <f>"刘文龙"</f>
        <v>刘文龙</v>
      </c>
      <c r="E1466" s="5" t="str">
        <f>"男"</f>
        <v>男</v>
      </c>
    </row>
    <row r="1467" spans="1:5" ht="30" customHeight="1">
      <c r="A1467" s="4">
        <v>1465</v>
      </c>
      <c r="B1467" s="5" t="str">
        <f>"2644202010111442171282"</f>
        <v>2644202010111442171282</v>
      </c>
      <c r="C1467" s="5" t="s">
        <v>28</v>
      </c>
      <c r="D1467" s="5" t="str">
        <f>"杨旸"</f>
        <v>杨旸</v>
      </c>
      <c r="E1467" s="5" t="str">
        <f>"女"</f>
        <v>女</v>
      </c>
    </row>
    <row r="1468" spans="1:5" ht="30" customHeight="1">
      <c r="A1468" s="4">
        <v>1466</v>
      </c>
      <c r="B1468" s="5" t="str">
        <f>"2644202010111450281285"</f>
        <v>2644202010111450281285</v>
      </c>
      <c r="C1468" s="5" t="s">
        <v>28</v>
      </c>
      <c r="D1468" s="5" t="str">
        <f>"郭光群"</f>
        <v>郭光群</v>
      </c>
      <c r="E1468" s="5" t="str">
        <f aca="true" t="shared" si="54" ref="E1468:E1477">"男"</f>
        <v>男</v>
      </c>
    </row>
    <row r="1469" spans="1:5" ht="30" customHeight="1">
      <c r="A1469" s="4">
        <v>1467</v>
      </c>
      <c r="B1469" s="5" t="str">
        <f>"2644202010111642291323"</f>
        <v>2644202010111642291323</v>
      </c>
      <c r="C1469" s="5" t="s">
        <v>28</v>
      </c>
      <c r="D1469" s="5" t="str">
        <f>"钟海庚"</f>
        <v>钟海庚</v>
      </c>
      <c r="E1469" s="5" t="str">
        <f t="shared" si="54"/>
        <v>男</v>
      </c>
    </row>
    <row r="1470" spans="1:5" ht="30" customHeight="1">
      <c r="A1470" s="4">
        <v>1468</v>
      </c>
      <c r="B1470" s="5" t="str">
        <f>"2644202010111643251324"</f>
        <v>2644202010111643251324</v>
      </c>
      <c r="C1470" s="5" t="s">
        <v>28</v>
      </c>
      <c r="D1470" s="5" t="str">
        <f>"李琦"</f>
        <v>李琦</v>
      </c>
      <c r="E1470" s="5" t="str">
        <f t="shared" si="54"/>
        <v>男</v>
      </c>
    </row>
    <row r="1471" spans="1:5" ht="30" customHeight="1">
      <c r="A1471" s="4">
        <v>1469</v>
      </c>
      <c r="B1471" s="5" t="str">
        <f>"2644202010111658011329"</f>
        <v>2644202010111658011329</v>
      </c>
      <c r="C1471" s="5" t="s">
        <v>28</v>
      </c>
      <c r="D1471" s="5" t="str">
        <f>"陈泰洋"</f>
        <v>陈泰洋</v>
      </c>
      <c r="E1471" s="5" t="str">
        <f t="shared" si="54"/>
        <v>男</v>
      </c>
    </row>
    <row r="1472" spans="1:5" ht="30" customHeight="1">
      <c r="A1472" s="4">
        <v>1470</v>
      </c>
      <c r="B1472" s="5" t="str">
        <f>"2644202010111755161350"</f>
        <v>2644202010111755161350</v>
      </c>
      <c r="C1472" s="5" t="s">
        <v>28</v>
      </c>
      <c r="D1472" s="5" t="str">
        <f>"陈月"</f>
        <v>陈月</v>
      </c>
      <c r="E1472" s="5" t="str">
        <f t="shared" si="54"/>
        <v>男</v>
      </c>
    </row>
    <row r="1473" spans="1:5" ht="30" customHeight="1">
      <c r="A1473" s="4">
        <v>1471</v>
      </c>
      <c r="B1473" s="5" t="str">
        <f>"2644202010111843021358"</f>
        <v>2644202010111843021358</v>
      </c>
      <c r="C1473" s="5" t="s">
        <v>28</v>
      </c>
      <c r="D1473" s="5" t="str">
        <f>"王俊强"</f>
        <v>王俊强</v>
      </c>
      <c r="E1473" s="5" t="str">
        <f t="shared" si="54"/>
        <v>男</v>
      </c>
    </row>
    <row r="1474" spans="1:5" ht="30" customHeight="1">
      <c r="A1474" s="4">
        <v>1472</v>
      </c>
      <c r="B1474" s="5" t="str">
        <f>"2644202010111915271366"</f>
        <v>2644202010111915271366</v>
      </c>
      <c r="C1474" s="5" t="s">
        <v>28</v>
      </c>
      <c r="D1474" s="5" t="str">
        <f>"陈大顺"</f>
        <v>陈大顺</v>
      </c>
      <c r="E1474" s="5" t="str">
        <f t="shared" si="54"/>
        <v>男</v>
      </c>
    </row>
    <row r="1475" spans="1:5" ht="30" customHeight="1">
      <c r="A1475" s="4">
        <v>1473</v>
      </c>
      <c r="B1475" s="5" t="str">
        <f>"2644202010111923061369"</f>
        <v>2644202010111923061369</v>
      </c>
      <c r="C1475" s="5" t="s">
        <v>28</v>
      </c>
      <c r="D1475" s="5" t="str">
        <f>"吴泌雨"</f>
        <v>吴泌雨</v>
      </c>
      <c r="E1475" s="5" t="str">
        <f t="shared" si="54"/>
        <v>男</v>
      </c>
    </row>
    <row r="1476" spans="1:5" ht="30" customHeight="1">
      <c r="A1476" s="4">
        <v>1474</v>
      </c>
      <c r="B1476" s="5" t="str">
        <f>"2644202010111951591381"</f>
        <v>2644202010111951591381</v>
      </c>
      <c r="C1476" s="5" t="s">
        <v>28</v>
      </c>
      <c r="D1476" s="5" t="str">
        <f>"麦日浩"</f>
        <v>麦日浩</v>
      </c>
      <c r="E1476" s="5" t="str">
        <f t="shared" si="54"/>
        <v>男</v>
      </c>
    </row>
    <row r="1477" spans="1:5" ht="30" customHeight="1">
      <c r="A1477" s="4">
        <v>1475</v>
      </c>
      <c r="B1477" s="5" t="str">
        <f>"2644202010112125211417"</f>
        <v>2644202010112125211417</v>
      </c>
      <c r="C1477" s="5" t="s">
        <v>28</v>
      </c>
      <c r="D1477" s="5" t="str">
        <f>"孙业权"</f>
        <v>孙业权</v>
      </c>
      <c r="E1477" s="5" t="str">
        <f t="shared" si="54"/>
        <v>男</v>
      </c>
    </row>
    <row r="1478" spans="1:5" ht="30" customHeight="1">
      <c r="A1478" s="4">
        <v>1476</v>
      </c>
      <c r="B1478" s="5" t="str">
        <f>"2644202010112246501437"</f>
        <v>2644202010112246501437</v>
      </c>
      <c r="C1478" s="5" t="s">
        <v>28</v>
      </c>
      <c r="D1478" s="5" t="str">
        <f>"吴焕莲"</f>
        <v>吴焕莲</v>
      </c>
      <c r="E1478" s="5" t="str">
        <f>"女"</f>
        <v>女</v>
      </c>
    </row>
    <row r="1479" spans="1:5" ht="30" customHeight="1">
      <c r="A1479" s="4">
        <v>1477</v>
      </c>
      <c r="B1479" s="5" t="str">
        <f>"2644202010112328501450"</f>
        <v>2644202010112328501450</v>
      </c>
      <c r="C1479" s="5" t="s">
        <v>28</v>
      </c>
      <c r="D1479" s="5" t="str">
        <f>"陈名秋"</f>
        <v>陈名秋</v>
      </c>
      <c r="E1479" s="5" t="str">
        <f>"男"</f>
        <v>男</v>
      </c>
    </row>
    <row r="1480" spans="1:5" ht="30" customHeight="1">
      <c r="A1480" s="4">
        <v>1478</v>
      </c>
      <c r="B1480" s="5" t="str">
        <f>"2644202010112352241454"</f>
        <v>2644202010112352241454</v>
      </c>
      <c r="C1480" s="5" t="s">
        <v>28</v>
      </c>
      <c r="D1480" s="5" t="str">
        <f>"黄坚"</f>
        <v>黄坚</v>
      </c>
      <c r="E1480" s="5" t="str">
        <f>"男"</f>
        <v>男</v>
      </c>
    </row>
    <row r="1481" spans="1:5" ht="30" customHeight="1">
      <c r="A1481" s="4">
        <v>1479</v>
      </c>
      <c r="B1481" s="5" t="str">
        <f>"2644202010120109011458"</f>
        <v>2644202010120109011458</v>
      </c>
      <c r="C1481" s="5" t="s">
        <v>28</v>
      </c>
      <c r="D1481" s="5" t="str">
        <f>"许旭光"</f>
        <v>许旭光</v>
      </c>
      <c r="E1481" s="5" t="str">
        <f>"男"</f>
        <v>男</v>
      </c>
    </row>
    <row r="1482" spans="1:5" ht="30" customHeight="1">
      <c r="A1482" s="4">
        <v>1480</v>
      </c>
      <c r="B1482" s="5" t="str">
        <f>"2644202010120913531477"</f>
        <v>2644202010120913531477</v>
      </c>
      <c r="C1482" s="5" t="s">
        <v>28</v>
      </c>
      <c r="D1482" s="5" t="str">
        <f>"尹斯文"</f>
        <v>尹斯文</v>
      </c>
      <c r="E1482" s="5" t="str">
        <f>"女"</f>
        <v>女</v>
      </c>
    </row>
    <row r="1483" spans="1:5" ht="30" customHeight="1">
      <c r="A1483" s="4">
        <v>1481</v>
      </c>
      <c r="B1483" s="5" t="str">
        <f>"2644202010120932191486"</f>
        <v>2644202010120932191486</v>
      </c>
      <c r="C1483" s="5" t="s">
        <v>28</v>
      </c>
      <c r="D1483" s="5" t="str">
        <f>"吴清笔"</f>
        <v>吴清笔</v>
      </c>
      <c r="E1483" s="5" t="str">
        <f aca="true" t="shared" si="55" ref="E1483:E1494">"男"</f>
        <v>男</v>
      </c>
    </row>
    <row r="1484" spans="1:5" ht="30" customHeight="1">
      <c r="A1484" s="4">
        <v>1482</v>
      </c>
      <c r="B1484" s="5" t="str">
        <f>"2644202010121004131496"</f>
        <v>2644202010121004131496</v>
      </c>
      <c r="C1484" s="5" t="s">
        <v>28</v>
      </c>
      <c r="D1484" s="5" t="str">
        <f>"陈家鹏"</f>
        <v>陈家鹏</v>
      </c>
      <c r="E1484" s="5" t="str">
        <f t="shared" si="55"/>
        <v>男</v>
      </c>
    </row>
    <row r="1485" spans="1:5" ht="30" customHeight="1">
      <c r="A1485" s="4">
        <v>1483</v>
      </c>
      <c r="B1485" s="5" t="str">
        <f>"2644202010121115571526"</f>
        <v>2644202010121115571526</v>
      </c>
      <c r="C1485" s="5" t="s">
        <v>28</v>
      </c>
      <c r="D1485" s="5" t="str">
        <f>"莫浩"</f>
        <v>莫浩</v>
      </c>
      <c r="E1485" s="5" t="str">
        <f t="shared" si="55"/>
        <v>男</v>
      </c>
    </row>
    <row r="1486" spans="1:5" ht="30" customHeight="1">
      <c r="A1486" s="4">
        <v>1484</v>
      </c>
      <c r="B1486" s="5" t="str">
        <f>"2644202010121138321539"</f>
        <v>2644202010121138321539</v>
      </c>
      <c r="C1486" s="5" t="s">
        <v>28</v>
      </c>
      <c r="D1486" s="5" t="str">
        <f>"伍海锋"</f>
        <v>伍海锋</v>
      </c>
      <c r="E1486" s="5" t="str">
        <f t="shared" si="55"/>
        <v>男</v>
      </c>
    </row>
    <row r="1487" spans="1:5" ht="30" customHeight="1">
      <c r="A1487" s="4">
        <v>1485</v>
      </c>
      <c r="B1487" s="5" t="str">
        <f>"2644202010121152381546"</f>
        <v>2644202010121152381546</v>
      </c>
      <c r="C1487" s="5" t="s">
        <v>28</v>
      </c>
      <c r="D1487" s="5" t="str">
        <f>"李日君"</f>
        <v>李日君</v>
      </c>
      <c r="E1487" s="5" t="str">
        <f t="shared" si="55"/>
        <v>男</v>
      </c>
    </row>
    <row r="1488" spans="1:5" ht="30" customHeight="1">
      <c r="A1488" s="4">
        <v>1486</v>
      </c>
      <c r="B1488" s="5" t="str">
        <f>"2644202010121156111548"</f>
        <v>2644202010121156111548</v>
      </c>
      <c r="C1488" s="5" t="s">
        <v>28</v>
      </c>
      <c r="D1488" s="5" t="str">
        <f>"谢焕晖"</f>
        <v>谢焕晖</v>
      </c>
      <c r="E1488" s="5" t="str">
        <f t="shared" si="55"/>
        <v>男</v>
      </c>
    </row>
    <row r="1489" spans="1:5" ht="30" customHeight="1">
      <c r="A1489" s="4">
        <v>1487</v>
      </c>
      <c r="B1489" s="5" t="str">
        <f>"2644202010121326251568"</f>
        <v>2644202010121326251568</v>
      </c>
      <c r="C1489" s="5" t="s">
        <v>28</v>
      </c>
      <c r="D1489" s="5" t="str">
        <f>"李万欢"</f>
        <v>李万欢</v>
      </c>
      <c r="E1489" s="5" t="str">
        <f t="shared" si="55"/>
        <v>男</v>
      </c>
    </row>
    <row r="1490" spans="1:5" ht="30" customHeight="1">
      <c r="A1490" s="4">
        <v>1488</v>
      </c>
      <c r="B1490" s="5" t="str">
        <f>"2644202010121525341613"</f>
        <v>2644202010121525341613</v>
      </c>
      <c r="C1490" s="5" t="s">
        <v>28</v>
      </c>
      <c r="D1490" s="5" t="str">
        <f>"张耀泽"</f>
        <v>张耀泽</v>
      </c>
      <c r="E1490" s="5" t="str">
        <f t="shared" si="55"/>
        <v>男</v>
      </c>
    </row>
    <row r="1491" spans="1:5" ht="30" customHeight="1">
      <c r="A1491" s="4">
        <v>1489</v>
      </c>
      <c r="B1491" s="5" t="str">
        <f>"2644202010121538061621"</f>
        <v>2644202010121538061621</v>
      </c>
      <c r="C1491" s="5" t="s">
        <v>28</v>
      </c>
      <c r="D1491" s="5" t="str">
        <f>"谢明业"</f>
        <v>谢明业</v>
      </c>
      <c r="E1491" s="5" t="str">
        <f t="shared" si="55"/>
        <v>男</v>
      </c>
    </row>
    <row r="1492" spans="1:5" ht="30" customHeight="1">
      <c r="A1492" s="4">
        <v>1490</v>
      </c>
      <c r="B1492" s="5" t="str">
        <f>"2644202010121550291627"</f>
        <v>2644202010121550291627</v>
      </c>
      <c r="C1492" s="5" t="s">
        <v>28</v>
      </c>
      <c r="D1492" s="5" t="str">
        <f>"李日宏"</f>
        <v>李日宏</v>
      </c>
      <c r="E1492" s="5" t="str">
        <f t="shared" si="55"/>
        <v>男</v>
      </c>
    </row>
    <row r="1493" spans="1:5" ht="30" customHeight="1">
      <c r="A1493" s="4">
        <v>1491</v>
      </c>
      <c r="B1493" s="5" t="str">
        <f>"2644202010121631411646"</f>
        <v>2644202010121631411646</v>
      </c>
      <c r="C1493" s="5" t="s">
        <v>28</v>
      </c>
      <c r="D1493" s="5" t="str">
        <f>"符圣高"</f>
        <v>符圣高</v>
      </c>
      <c r="E1493" s="5" t="str">
        <f t="shared" si="55"/>
        <v>男</v>
      </c>
    </row>
    <row r="1494" spans="1:5" ht="30" customHeight="1">
      <c r="A1494" s="4">
        <v>1492</v>
      </c>
      <c r="B1494" s="5" t="str">
        <f>"2644202010121649031648"</f>
        <v>2644202010121649031648</v>
      </c>
      <c r="C1494" s="5" t="s">
        <v>28</v>
      </c>
      <c r="D1494" s="5" t="str">
        <f>"王德精"</f>
        <v>王德精</v>
      </c>
      <c r="E1494" s="5" t="str">
        <f t="shared" si="55"/>
        <v>男</v>
      </c>
    </row>
    <row r="1495" spans="1:5" ht="30" customHeight="1">
      <c r="A1495" s="4">
        <v>1493</v>
      </c>
      <c r="B1495" s="5" t="str">
        <f>"2644202010121717221655"</f>
        <v>2644202010121717221655</v>
      </c>
      <c r="C1495" s="5" t="s">
        <v>28</v>
      </c>
      <c r="D1495" s="5" t="str">
        <f>"黎俊雅"</f>
        <v>黎俊雅</v>
      </c>
      <c r="E1495" s="5" t="str">
        <f>"女"</f>
        <v>女</v>
      </c>
    </row>
    <row r="1496" spans="1:5" ht="30" customHeight="1">
      <c r="A1496" s="4">
        <v>1494</v>
      </c>
      <c r="B1496" s="5" t="str">
        <f>"2644202010121740521663"</f>
        <v>2644202010121740521663</v>
      </c>
      <c r="C1496" s="5" t="s">
        <v>28</v>
      </c>
      <c r="D1496" s="5" t="str">
        <f>"吴坤伟"</f>
        <v>吴坤伟</v>
      </c>
      <c r="E1496" s="5" t="str">
        <f aca="true" t="shared" si="56" ref="E1496:E1501">"男"</f>
        <v>男</v>
      </c>
    </row>
    <row r="1497" spans="1:5" ht="30" customHeight="1">
      <c r="A1497" s="4">
        <v>1495</v>
      </c>
      <c r="B1497" s="5" t="str">
        <f>"2644202010121821501676"</f>
        <v>2644202010121821501676</v>
      </c>
      <c r="C1497" s="5" t="s">
        <v>28</v>
      </c>
      <c r="D1497" s="5" t="str">
        <f>"王成山"</f>
        <v>王成山</v>
      </c>
      <c r="E1497" s="5" t="str">
        <f t="shared" si="56"/>
        <v>男</v>
      </c>
    </row>
    <row r="1498" spans="1:5" ht="30" customHeight="1">
      <c r="A1498" s="4">
        <v>1496</v>
      </c>
      <c r="B1498" s="5" t="str">
        <f>"2644202010122015381695"</f>
        <v>2644202010122015381695</v>
      </c>
      <c r="C1498" s="5" t="s">
        <v>28</v>
      </c>
      <c r="D1498" s="5" t="str">
        <f>"韦海波"</f>
        <v>韦海波</v>
      </c>
      <c r="E1498" s="5" t="str">
        <f t="shared" si="56"/>
        <v>男</v>
      </c>
    </row>
    <row r="1499" spans="1:5" ht="30" customHeight="1">
      <c r="A1499" s="4">
        <v>1497</v>
      </c>
      <c r="B1499" s="5" t="str">
        <f>"2644202010122043281704"</f>
        <v>2644202010122043281704</v>
      </c>
      <c r="C1499" s="5" t="s">
        <v>28</v>
      </c>
      <c r="D1499" s="5" t="str">
        <f>"张其发"</f>
        <v>张其发</v>
      </c>
      <c r="E1499" s="5" t="str">
        <f t="shared" si="56"/>
        <v>男</v>
      </c>
    </row>
    <row r="1500" spans="1:5" ht="30" customHeight="1">
      <c r="A1500" s="4">
        <v>1498</v>
      </c>
      <c r="B1500" s="5" t="str">
        <f>"2644202010122056441710"</f>
        <v>2644202010122056441710</v>
      </c>
      <c r="C1500" s="5" t="s">
        <v>28</v>
      </c>
      <c r="D1500" s="5" t="str">
        <f>"王春政"</f>
        <v>王春政</v>
      </c>
      <c r="E1500" s="5" t="str">
        <f t="shared" si="56"/>
        <v>男</v>
      </c>
    </row>
    <row r="1501" spans="1:5" ht="30" customHeight="1">
      <c r="A1501" s="4">
        <v>1499</v>
      </c>
      <c r="B1501" s="5" t="str">
        <f>"2644202010122107531714"</f>
        <v>2644202010122107531714</v>
      </c>
      <c r="C1501" s="5" t="s">
        <v>28</v>
      </c>
      <c r="D1501" s="5" t="str">
        <f>"吴挺博"</f>
        <v>吴挺博</v>
      </c>
      <c r="E1501" s="5" t="str">
        <f t="shared" si="56"/>
        <v>男</v>
      </c>
    </row>
    <row r="1502" spans="1:5" ht="30" customHeight="1">
      <c r="A1502" s="4">
        <v>1500</v>
      </c>
      <c r="B1502" s="5" t="str">
        <f>"2644202010122116391717"</f>
        <v>2644202010122116391717</v>
      </c>
      <c r="C1502" s="5" t="s">
        <v>28</v>
      </c>
      <c r="D1502" s="5" t="str">
        <f>"魏梦"</f>
        <v>魏梦</v>
      </c>
      <c r="E1502" s="5" t="str">
        <f>"女"</f>
        <v>女</v>
      </c>
    </row>
    <row r="1503" spans="1:5" ht="30" customHeight="1">
      <c r="A1503" s="4">
        <v>1501</v>
      </c>
      <c r="B1503" s="5" t="str">
        <f>"2644202010122226331735"</f>
        <v>2644202010122226331735</v>
      </c>
      <c r="C1503" s="5" t="s">
        <v>28</v>
      </c>
      <c r="D1503" s="5" t="str">
        <f>"王宏伟"</f>
        <v>王宏伟</v>
      </c>
      <c r="E1503" s="5" t="str">
        <f>"女"</f>
        <v>女</v>
      </c>
    </row>
    <row r="1504" spans="1:5" ht="30" customHeight="1">
      <c r="A1504" s="4">
        <v>1502</v>
      </c>
      <c r="B1504" s="5" t="str">
        <f>"2644202010122257231745"</f>
        <v>2644202010122257231745</v>
      </c>
      <c r="C1504" s="5" t="s">
        <v>28</v>
      </c>
      <c r="D1504" s="5" t="str">
        <f>"黄海峰"</f>
        <v>黄海峰</v>
      </c>
      <c r="E1504" s="5" t="str">
        <f>"男"</f>
        <v>男</v>
      </c>
    </row>
    <row r="1505" spans="1:5" ht="30" customHeight="1">
      <c r="A1505" s="4">
        <v>1503</v>
      </c>
      <c r="B1505" s="5" t="str">
        <f>"2644202010122330011749"</f>
        <v>2644202010122330011749</v>
      </c>
      <c r="C1505" s="5" t="s">
        <v>28</v>
      </c>
      <c r="D1505" s="5" t="str">
        <f>"黄华通"</f>
        <v>黄华通</v>
      </c>
      <c r="E1505" s="5" t="str">
        <f>"男"</f>
        <v>男</v>
      </c>
    </row>
    <row r="1506" spans="1:5" ht="30" customHeight="1">
      <c r="A1506" s="4">
        <v>1504</v>
      </c>
      <c r="B1506" s="5" t="str">
        <f>"2644202010122337041751"</f>
        <v>2644202010122337041751</v>
      </c>
      <c r="C1506" s="5" t="s">
        <v>28</v>
      </c>
      <c r="D1506" s="5" t="str">
        <f>"邓玉宏"</f>
        <v>邓玉宏</v>
      </c>
      <c r="E1506" s="5" t="str">
        <f>"女"</f>
        <v>女</v>
      </c>
    </row>
    <row r="1507" spans="1:5" ht="30" customHeight="1">
      <c r="A1507" s="4">
        <v>1505</v>
      </c>
      <c r="B1507" s="5" t="str">
        <f>"2644202010130842011765"</f>
        <v>2644202010130842011765</v>
      </c>
      <c r="C1507" s="5" t="s">
        <v>28</v>
      </c>
      <c r="D1507" s="5" t="str">
        <f>"胡翔"</f>
        <v>胡翔</v>
      </c>
      <c r="E1507" s="5" t="str">
        <f>"男"</f>
        <v>男</v>
      </c>
    </row>
    <row r="1508" spans="1:5" ht="30" customHeight="1">
      <c r="A1508" s="4">
        <v>1506</v>
      </c>
      <c r="B1508" s="5" t="str">
        <f>"2644202010130850551767"</f>
        <v>2644202010130850551767</v>
      </c>
      <c r="C1508" s="5" t="s">
        <v>28</v>
      </c>
      <c r="D1508" s="5" t="str">
        <f>"王俊"</f>
        <v>王俊</v>
      </c>
      <c r="E1508" s="5" t="str">
        <f>"男"</f>
        <v>男</v>
      </c>
    </row>
    <row r="1509" spans="1:5" ht="30" customHeight="1">
      <c r="A1509" s="4">
        <v>1507</v>
      </c>
      <c r="B1509" s="5" t="str">
        <f>"2644202010130919001778"</f>
        <v>2644202010130919001778</v>
      </c>
      <c r="C1509" s="5" t="s">
        <v>28</v>
      </c>
      <c r="D1509" s="5" t="str">
        <f>"吴坤省"</f>
        <v>吴坤省</v>
      </c>
      <c r="E1509" s="5" t="str">
        <f>"男"</f>
        <v>男</v>
      </c>
    </row>
    <row r="1510" spans="1:5" ht="30" customHeight="1">
      <c r="A1510" s="4">
        <v>1508</v>
      </c>
      <c r="B1510" s="5" t="str">
        <f>"2644202010130948441791"</f>
        <v>2644202010130948441791</v>
      </c>
      <c r="C1510" s="5" t="s">
        <v>28</v>
      </c>
      <c r="D1510" s="5" t="str">
        <f>"何佩兰"</f>
        <v>何佩兰</v>
      </c>
      <c r="E1510" s="5" t="str">
        <f>"女"</f>
        <v>女</v>
      </c>
    </row>
    <row r="1511" spans="1:5" ht="30" customHeight="1">
      <c r="A1511" s="4">
        <v>1509</v>
      </c>
      <c r="B1511" s="5" t="str">
        <f>"2644202010131105151823"</f>
        <v>2644202010131105151823</v>
      </c>
      <c r="C1511" s="5" t="s">
        <v>28</v>
      </c>
      <c r="D1511" s="5" t="str">
        <f>"陈灵"</f>
        <v>陈灵</v>
      </c>
      <c r="E1511" s="5" t="str">
        <f aca="true" t="shared" si="57" ref="E1511:E1518">"男"</f>
        <v>男</v>
      </c>
    </row>
    <row r="1512" spans="1:5" ht="30" customHeight="1">
      <c r="A1512" s="4">
        <v>1510</v>
      </c>
      <c r="B1512" s="5" t="str">
        <f>"2644202010131111331828"</f>
        <v>2644202010131111331828</v>
      </c>
      <c r="C1512" s="5" t="s">
        <v>28</v>
      </c>
      <c r="D1512" s="5" t="str">
        <f>"王培旭"</f>
        <v>王培旭</v>
      </c>
      <c r="E1512" s="5" t="str">
        <f t="shared" si="57"/>
        <v>男</v>
      </c>
    </row>
    <row r="1513" spans="1:5" ht="30" customHeight="1">
      <c r="A1513" s="4">
        <v>1511</v>
      </c>
      <c r="B1513" s="5" t="str">
        <f>"2644202010131206571843"</f>
        <v>2644202010131206571843</v>
      </c>
      <c r="C1513" s="5" t="s">
        <v>28</v>
      </c>
      <c r="D1513" s="5" t="str">
        <f>"许哲扬"</f>
        <v>许哲扬</v>
      </c>
      <c r="E1513" s="5" t="str">
        <f t="shared" si="57"/>
        <v>男</v>
      </c>
    </row>
    <row r="1514" spans="1:5" ht="30" customHeight="1">
      <c r="A1514" s="4">
        <v>1512</v>
      </c>
      <c r="B1514" s="5" t="str">
        <f>"2644202010131236291850"</f>
        <v>2644202010131236291850</v>
      </c>
      <c r="C1514" s="5" t="s">
        <v>28</v>
      </c>
      <c r="D1514" s="5" t="str">
        <f>"陈怀耀"</f>
        <v>陈怀耀</v>
      </c>
      <c r="E1514" s="5" t="str">
        <f t="shared" si="57"/>
        <v>男</v>
      </c>
    </row>
    <row r="1515" spans="1:5" ht="30" customHeight="1">
      <c r="A1515" s="4">
        <v>1513</v>
      </c>
      <c r="B1515" s="5" t="str">
        <f>"2644202010131426271869"</f>
        <v>2644202010131426271869</v>
      </c>
      <c r="C1515" s="5" t="s">
        <v>28</v>
      </c>
      <c r="D1515" s="5" t="str">
        <f>"吴立"</f>
        <v>吴立</v>
      </c>
      <c r="E1515" s="5" t="str">
        <f t="shared" si="57"/>
        <v>男</v>
      </c>
    </row>
    <row r="1516" spans="1:5" ht="30" customHeight="1">
      <c r="A1516" s="4">
        <v>1514</v>
      </c>
      <c r="B1516" s="5" t="str">
        <f>"2644202010131449181877"</f>
        <v>2644202010131449181877</v>
      </c>
      <c r="C1516" s="5" t="s">
        <v>28</v>
      </c>
      <c r="D1516" s="5" t="str">
        <f>"黄梓倍"</f>
        <v>黄梓倍</v>
      </c>
      <c r="E1516" s="5" t="str">
        <f t="shared" si="57"/>
        <v>男</v>
      </c>
    </row>
    <row r="1517" spans="1:5" ht="30" customHeight="1">
      <c r="A1517" s="4">
        <v>1515</v>
      </c>
      <c r="B1517" s="5" t="str">
        <f>"2644202010131529371891"</f>
        <v>2644202010131529371891</v>
      </c>
      <c r="C1517" s="5" t="s">
        <v>28</v>
      </c>
      <c r="D1517" s="5" t="str">
        <f>"曾德峰"</f>
        <v>曾德峰</v>
      </c>
      <c r="E1517" s="5" t="str">
        <f t="shared" si="57"/>
        <v>男</v>
      </c>
    </row>
    <row r="1518" spans="1:5" ht="30" customHeight="1">
      <c r="A1518" s="4">
        <v>1516</v>
      </c>
      <c r="B1518" s="5" t="str">
        <f>"2644202010131639461915"</f>
        <v>2644202010131639461915</v>
      </c>
      <c r="C1518" s="5" t="s">
        <v>28</v>
      </c>
      <c r="D1518" s="5" t="str">
        <f>"李虹机"</f>
        <v>李虹机</v>
      </c>
      <c r="E1518" s="5" t="str">
        <f t="shared" si="57"/>
        <v>男</v>
      </c>
    </row>
    <row r="1519" spans="1:5" ht="30" customHeight="1">
      <c r="A1519" s="4">
        <v>1517</v>
      </c>
      <c r="B1519" s="5" t="str">
        <f>"2644202010131641381917"</f>
        <v>2644202010131641381917</v>
      </c>
      <c r="C1519" s="5" t="s">
        <v>28</v>
      </c>
      <c r="D1519" s="5" t="str">
        <f>"孙记换"</f>
        <v>孙记换</v>
      </c>
      <c r="E1519" s="5" t="str">
        <f>"女"</f>
        <v>女</v>
      </c>
    </row>
    <row r="1520" spans="1:5" ht="30" customHeight="1">
      <c r="A1520" s="4">
        <v>1518</v>
      </c>
      <c r="B1520" s="5" t="str">
        <f>"2644202010131706251921"</f>
        <v>2644202010131706251921</v>
      </c>
      <c r="C1520" s="5" t="s">
        <v>28</v>
      </c>
      <c r="D1520" s="5" t="str">
        <f>"王元群"</f>
        <v>王元群</v>
      </c>
      <c r="E1520" s="5" t="str">
        <f>"男"</f>
        <v>男</v>
      </c>
    </row>
    <row r="1521" spans="1:5" ht="30" customHeight="1">
      <c r="A1521" s="4">
        <v>1519</v>
      </c>
      <c r="B1521" s="5" t="str">
        <f>"2644202010131742271928"</f>
        <v>2644202010131742271928</v>
      </c>
      <c r="C1521" s="5" t="s">
        <v>28</v>
      </c>
      <c r="D1521" s="5" t="str">
        <f>"郑华"</f>
        <v>郑华</v>
      </c>
      <c r="E1521" s="5" t="str">
        <f>"女"</f>
        <v>女</v>
      </c>
    </row>
    <row r="1522" spans="1:5" ht="30" customHeight="1">
      <c r="A1522" s="4">
        <v>1520</v>
      </c>
      <c r="B1522" s="5" t="str">
        <f>"2644202010131809581937"</f>
        <v>2644202010131809581937</v>
      </c>
      <c r="C1522" s="5" t="s">
        <v>28</v>
      </c>
      <c r="D1522" s="5" t="str">
        <f>"陈日俊"</f>
        <v>陈日俊</v>
      </c>
      <c r="E1522" s="5" t="str">
        <f aca="true" t="shared" si="58" ref="E1522:E1529">"男"</f>
        <v>男</v>
      </c>
    </row>
    <row r="1523" spans="1:5" ht="30" customHeight="1">
      <c r="A1523" s="4">
        <v>1521</v>
      </c>
      <c r="B1523" s="5" t="str">
        <f>"2644202010132011581955"</f>
        <v>2644202010132011581955</v>
      </c>
      <c r="C1523" s="5" t="s">
        <v>28</v>
      </c>
      <c r="D1523" s="5" t="str">
        <f>"曾一凡"</f>
        <v>曾一凡</v>
      </c>
      <c r="E1523" s="5" t="str">
        <f t="shared" si="58"/>
        <v>男</v>
      </c>
    </row>
    <row r="1524" spans="1:5" ht="30" customHeight="1">
      <c r="A1524" s="4">
        <v>1522</v>
      </c>
      <c r="B1524" s="5" t="str">
        <f>"2644202010132014471956"</f>
        <v>2644202010132014471956</v>
      </c>
      <c r="C1524" s="5" t="s">
        <v>28</v>
      </c>
      <c r="D1524" s="5" t="str">
        <f>"林升祯"</f>
        <v>林升祯</v>
      </c>
      <c r="E1524" s="5" t="str">
        <f t="shared" si="58"/>
        <v>男</v>
      </c>
    </row>
    <row r="1525" spans="1:5" ht="30" customHeight="1">
      <c r="A1525" s="4">
        <v>1523</v>
      </c>
      <c r="B1525" s="5" t="str">
        <f>"2644202010132133041977"</f>
        <v>2644202010132133041977</v>
      </c>
      <c r="C1525" s="5" t="s">
        <v>28</v>
      </c>
      <c r="D1525" s="5" t="str">
        <f>"王森"</f>
        <v>王森</v>
      </c>
      <c r="E1525" s="5" t="str">
        <f t="shared" si="58"/>
        <v>男</v>
      </c>
    </row>
    <row r="1526" spans="1:5" ht="30" customHeight="1">
      <c r="A1526" s="4">
        <v>1524</v>
      </c>
      <c r="B1526" s="5" t="str">
        <f>"2644202010132134571978"</f>
        <v>2644202010132134571978</v>
      </c>
      <c r="C1526" s="5" t="s">
        <v>28</v>
      </c>
      <c r="D1526" s="5" t="str">
        <f>"陈秋"</f>
        <v>陈秋</v>
      </c>
      <c r="E1526" s="5" t="str">
        <f t="shared" si="58"/>
        <v>男</v>
      </c>
    </row>
    <row r="1527" spans="1:5" ht="30" customHeight="1">
      <c r="A1527" s="4">
        <v>1525</v>
      </c>
      <c r="B1527" s="5" t="str">
        <f>"2644202010140848302027"</f>
        <v>2644202010140848302027</v>
      </c>
      <c r="C1527" s="5" t="s">
        <v>28</v>
      </c>
      <c r="D1527" s="5" t="str">
        <f>"王凯"</f>
        <v>王凯</v>
      </c>
      <c r="E1527" s="5" t="str">
        <f t="shared" si="58"/>
        <v>男</v>
      </c>
    </row>
    <row r="1528" spans="1:5" ht="30" customHeight="1">
      <c r="A1528" s="4">
        <v>1526</v>
      </c>
      <c r="B1528" s="5" t="str">
        <f>"2644202010140951082041"</f>
        <v>2644202010140951082041</v>
      </c>
      <c r="C1528" s="5" t="s">
        <v>28</v>
      </c>
      <c r="D1528" s="5" t="str">
        <f>"夏青"</f>
        <v>夏青</v>
      </c>
      <c r="E1528" s="5" t="str">
        <f t="shared" si="58"/>
        <v>男</v>
      </c>
    </row>
    <row r="1529" spans="1:5" ht="30" customHeight="1">
      <c r="A1529" s="4">
        <v>1527</v>
      </c>
      <c r="B1529" s="5" t="str">
        <f>"2644202010141134482068"</f>
        <v>2644202010141134482068</v>
      </c>
      <c r="C1529" s="5" t="s">
        <v>28</v>
      </c>
      <c r="D1529" s="5" t="str">
        <f>"黄达"</f>
        <v>黄达</v>
      </c>
      <c r="E1529" s="5" t="str">
        <f t="shared" si="58"/>
        <v>男</v>
      </c>
    </row>
    <row r="1530" spans="1:5" ht="30" customHeight="1">
      <c r="A1530" s="4">
        <v>1528</v>
      </c>
      <c r="B1530" s="5" t="str">
        <f>"2644202010141350212100"</f>
        <v>2644202010141350212100</v>
      </c>
      <c r="C1530" s="5" t="s">
        <v>28</v>
      </c>
      <c r="D1530" s="5" t="str">
        <f>"武亮洁"</f>
        <v>武亮洁</v>
      </c>
      <c r="E1530" s="5" t="str">
        <f>"女"</f>
        <v>女</v>
      </c>
    </row>
    <row r="1531" spans="1:5" ht="30" customHeight="1">
      <c r="A1531" s="4">
        <v>1529</v>
      </c>
      <c r="B1531" s="5" t="str">
        <f>"2644202010141443062116"</f>
        <v>2644202010141443062116</v>
      </c>
      <c r="C1531" s="5" t="s">
        <v>28</v>
      </c>
      <c r="D1531" s="5" t="str">
        <f>"王有帝"</f>
        <v>王有帝</v>
      </c>
      <c r="E1531" s="5" t="str">
        <f aca="true" t="shared" si="59" ref="E1531:E1538">"男"</f>
        <v>男</v>
      </c>
    </row>
    <row r="1532" spans="1:5" ht="30" customHeight="1">
      <c r="A1532" s="4">
        <v>1530</v>
      </c>
      <c r="B1532" s="5" t="str">
        <f>"2644202010141523342126"</f>
        <v>2644202010141523342126</v>
      </c>
      <c r="C1532" s="5" t="s">
        <v>28</v>
      </c>
      <c r="D1532" s="5" t="str">
        <f>"林开壮"</f>
        <v>林开壮</v>
      </c>
      <c r="E1532" s="5" t="str">
        <f t="shared" si="59"/>
        <v>男</v>
      </c>
    </row>
    <row r="1533" spans="1:5" ht="30" customHeight="1">
      <c r="A1533" s="4">
        <v>1531</v>
      </c>
      <c r="B1533" s="5" t="str">
        <f>"2644202010141551392135"</f>
        <v>2644202010141551392135</v>
      </c>
      <c r="C1533" s="5" t="s">
        <v>28</v>
      </c>
      <c r="D1533" s="5" t="str">
        <f>"吴乾深"</f>
        <v>吴乾深</v>
      </c>
      <c r="E1533" s="5" t="str">
        <f t="shared" si="59"/>
        <v>男</v>
      </c>
    </row>
    <row r="1534" spans="1:5" ht="30" customHeight="1">
      <c r="A1534" s="4">
        <v>1532</v>
      </c>
      <c r="B1534" s="5" t="str">
        <f>"2644202010141803362182"</f>
        <v>2644202010141803362182</v>
      </c>
      <c r="C1534" s="5" t="s">
        <v>28</v>
      </c>
      <c r="D1534" s="5" t="str">
        <f>"邓明锐"</f>
        <v>邓明锐</v>
      </c>
      <c r="E1534" s="5" t="str">
        <f t="shared" si="59"/>
        <v>男</v>
      </c>
    </row>
    <row r="1535" spans="1:5" ht="30" customHeight="1">
      <c r="A1535" s="4">
        <v>1533</v>
      </c>
      <c r="B1535" s="5" t="str">
        <f>"2644202010141855052197"</f>
        <v>2644202010141855052197</v>
      </c>
      <c r="C1535" s="5" t="s">
        <v>28</v>
      </c>
      <c r="D1535" s="5" t="str">
        <f>"谢红剑"</f>
        <v>谢红剑</v>
      </c>
      <c r="E1535" s="5" t="str">
        <f t="shared" si="59"/>
        <v>男</v>
      </c>
    </row>
    <row r="1536" spans="1:5" ht="30" customHeight="1">
      <c r="A1536" s="4">
        <v>1534</v>
      </c>
      <c r="B1536" s="5" t="str">
        <f>"2644202010142008202221"</f>
        <v>2644202010142008202221</v>
      </c>
      <c r="C1536" s="5" t="s">
        <v>28</v>
      </c>
      <c r="D1536" s="5" t="str">
        <f>"韩永志"</f>
        <v>韩永志</v>
      </c>
      <c r="E1536" s="5" t="str">
        <f t="shared" si="59"/>
        <v>男</v>
      </c>
    </row>
    <row r="1537" spans="1:5" ht="30" customHeight="1">
      <c r="A1537" s="4">
        <v>1535</v>
      </c>
      <c r="B1537" s="5" t="str">
        <f>"2644202010142120352245"</f>
        <v>2644202010142120352245</v>
      </c>
      <c r="C1537" s="5" t="s">
        <v>28</v>
      </c>
      <c r="D1537" s="5" t="str">
        <f>"蔡期章"</f>
        <v>蔡期章</v>
      </c>
      <c r="E1537" s="5" t="str">
        <f t="shared" si="59"/>
        <v>男</v>
      </c>
    </row>
    <row r="1538" spans="1:5" ht="30" customHeight="1">
      <c r="A1538" s="4">
        <v>1536</v>
      </c>
      <c r="B1538" s="5" t="str">
        <f>"2644202010142158342260"</f>
        <v>2644202010142158342260</v>
      </c>
      <c r="C1538" s="5" t="s">
        <v>28</v>
      </c>
      <c r="D1538" s="5" t="str">
        <f>"甘昌斌"</f>
        <v>甘昌斌</v>
      </c>
      <c r="E1538" s="5" t="str">
        <f t="shared" si="59"/>
        <v>男</v>
      </c>
    </row>
    <row r="1539" spans="1:5" ht="30" customHeight="1">
      <c r="A1539" s="4">
        <v>1537</v>
      </c>
      <c r="B1539" s="5" t="str">
        <f>"2644202010142220042268"</f>
        <v>2644202010142220042268</v>
      </c>
      <c r="C1539" s="5" t="s">
        <v>28</v>
      </c>
      <c r="D1539" s="5" t="str">
        <f>"袁玉英"</f>
        <v>袁玉英</v>
      </c>
      <c r="E1539" s="5" t="str">
        <f>"女"</f>
        <v>女</v>
      </c>
    </row>
    <row r="1540" spans="1:5" ht="30" customHeight="1">
      <c r="A1540" s="4">
        <v>1538</v>
      </c>
      <c r="B1540" s="5" t="str">
        <f>"2644202010142241552272"</f>
        <v>2644202010142241552272</v>
      </c>
      <c r="C1540" s="5" t="s">
        <v>28</v>
      </c>
      <c r="D1540" s="5" t="str">
        <f>"张劲"</f>
        <v>张劲</v>
      </c>
      <c r="E1540" s="5" t="str">
        <f aca="true" t="shared" si="60" ref="E1540:E1547">"男"</f>
        <v>男</v>
      </c>
    </row>
    <row r="1541" spans="1:5" ht="30" customHeight="1">
      <c r="A1541" s="4">
        <v>1539</v>
      </c>
      <c r="B1541" s="5" t="str">
        <f>"2644202010142318462290"</f>
        <v>2644202010142318462290</v>
      </c>
      <c r="C1541" s="5" t="s">
        <v>28</v>
      </c>
      <c r="D1541" s="5" t="str">
        <f>"郑健"</f>
        <v>郑健</v>
      </c>
      <c r="E1541" s="5" t="str">
        <f t="shared" si="60"/>
        <v>男</v>
      </c>
    </row>
    <row r="1542" spans="1:5" ht="30" customHeight="1">
      <c r="A1542" s="4">
        <v>1540</v>
      </c>
      <c r="B1542" s="5" t="str">
        <f>"2644202010150804302321"</f>
        <v>2644202010150804302321</v>
      </c>
      <c r="C1542" s="5" t="s">
        <v>28</v>
      </c>
      <c r="D1542" s="5" t="str">
        <f>"方小双"</f>
        <v>方小双</v>
      </c>
      <c r="E1542" s="5" t="str">
        <f t="shared" si="60"/>
        <v>男</v>
      </c>
    </row>
    <row r="1543" spans="1:5" ht="30" customHeight="1">
      <c r="A1543" s="4">
        <v>1541</v>
      </c>
      <c r="B1543" s="5" t="str">
        <f>"2644202010150929302349"</f>
        <v>2644202010150929302349</v>
      </c>
      <c r="C1543" s="5" t="s">
        <v>28</v>
      </c>
      <c r="D1543" s="5" t="str">
        <f>"钟诚"</f>
        <v>钟诚</v>
      </c>
      <c r="E1543" s="5" t="str">
        <f t="shared" si="60"/>
        <v>男</v>
      </c>
    </row>
    <row r="1544" spans="1:5" ht="30" customHeight="1">
      <c r="A1544" s="4">
        <v>1542</v>
      </c>
      <c r="B1544" s="5" t="str">
        <f>"2644202010151117122382"</f>
        <v>2644202010151117122382</v>
      </c>
      <c r="C1544" s="5" t="s">
        <v>28</v>
      </c>
      <c r="D1544" s="5" t="str">
        <f>"潘孝智"</f>
        <v>潘孝智</v>
      </c>
      <c r="E1544" s="5" t="str">
        <f t="shared" si="60"/>
        <v>男</v>
      </c>
    </row>
    <row r="1545" spans="1:5" ht="30" customHeight="1">
      <c r="A1545" s="4">
        <v>1543</v>
      </c>
      <c r="B1545" s="5" t="str">
        <f>"2644202010151257372400"</f>
        <v>2644202010151257372400</v>
      </c>
      <c r="C1545" s="5" t="s">
        <v>28</v>
      </c>
      <c r="D1545" s="5" t="str">
        <f>"李健伟"</f>
        <v>李健伟</v>
      </c>
      <c r="E1545" s="5" t="str">
        <f t="shared" si="60"/>
        <v>男</v>
      </c>
    </row>
    <row r="1546" spans="1:5" ht="30" customHeight="1">
      <c r="A1546" s="4">
        <v>1544</v>
      </c>
      <c r="B1546" s="5" t="str">
        <f>"2644202010151345522407"</f>
        <v>2644202010151345522407</v>
      </c>
      <c r="C1546" s="5" t="s">
        <v>28</v>
      </c>
      <c r="D1546" s="5" t="str">
        <f>"陈文干"</f>
        <v>陈文干</v>
      </c>
      <c r="E1546" s="5" t="str">
        <f t="shared" si="60"/>
        <v>男</v>
      </c>
    </row>
    <row r="1547" spans="1:5" ht="30" customHeight="1">
      <c r="A1547" s="4">
        <v>1545</v>
      </c>
      <c r="B1547" s="5" t="str">
        <f>"2644202010151508092427"</f>
        <v>2644202010151508092427</v>
      </c>
      <c r="C1547" s="5" t="s">
        <v>28</v>
      </c>
      <c r="D1547" s="5" t="str">
        <f>"陈英策"</f>
        <v>陈英策</v>
      </c>
      <c r="E1547" s="5" t="str">
        <f t="shared" si="60"/>
        <v>男</v>
      </c>
    </row>
    <row r="1548" spans="1:5" ht="30" customHeight="1">
      <c r="A1548" s="4">
        <v>1546</v>
      </c>
      <c r="B1548" s="5" t="str">
        <f>"2644202010151545332441"</f>
        <v>2644202010151545332441</v>
      </c>
      <c r="C1548" s="5" t="s">
        <v>28</v>
      </c>
      <c r="D1548" s="5" t="str">
        <f>"车力木格"</f>
        <v>车力木格</v>
      </c>
      <c r="E1548" s="5" t="str">
        <f>"女"</f>
        <v>女</v>
      </c>
    </row>
  </sheetData>
  <sheetProtection/>
  <autoFilter ref="A2:E1548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2020-10-16T00:46:15Z</dcterms:created>
  <dcterms:modified xsi:type="dcterms:W3CDTF">2020-10-19T08:25:10Z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