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<sst xmlns="http://schemas.openxmlformats.org/spreadsheetml/2006/main" count="1069" uniqueCount="242">
  <si>
    <t xml:space="preserve">陵水黎族自治县第二人民医院（河北医科大学第一医院陵水分院）     公开招聘考试   </t>
  </si>
  <si>
    <t>考场号</t>
  </si>
  <si>
    <t>座位号</t>
  </si>
  <si>
    <t>姓名</t>
  </si>
  <si>
    <t>性别</t>
  </si>
  <si>
    <t>身份证号码</t>
  </si>
  <si>
    <t>考试成绩</t>
  </si>
  <si>
    <t>备注</t>
  </si>
  <si>
    <t>护理5</t>
  </si>
  <si>
    <t>入围面试</t>
  </si>
  <si>
    <t>护理1</t>
  </si>
  <si>
    <t>护理10</t>
  </si>
  <si>
    <t>杨兰</t>
  </si>
  <si>
    <t>女</t>
  </si>
  <si>
    <t>460034199712030022</t>
  </si>
  <si>
    <t>护理11</t>
  </si>
  <si>
    <t>黄少青</t>
  </si>
  <si>
    <t>460034199307182727</t>
  </si>
  <si>
    <t>护理9</t>
  </si>
  <si>
    <t>郑兰兰</t>
  </si>
  <si>
    <t>469028200003245043</t>
  </si>
  <si>
    <t>陈彩飞</t>
  </si>
  <si>
    <t>460034199608030444</t>
  </si>
  <si>
    <t>陈丹</t>
  </si>
  <si>
    <t>460034199704135027</t>
  </si>
  <si>
    <t>护理7</t>
  </si>
  <si>
    <t>护理2</t>
  </si>
  <si>
    <t>胡茂敏</t>
  </si>
  <si>
    <t>46003419990512042X</t>
  </si>
  <si>
    <t>郑小香</t>
  </si>
  <si>
    <t>460034199406185026</t>
  </si>
  <si>
    <t>郑诗芬</t>
  </si>
  <si>
    <t>469028200005161222</t>
  </si>
  <si>
    <t>护理4</t>
  </si>
  <si>
    <t>护理12</t>
  </si>
  <si>
    <t>卓婷婷</t>
  </si>
  <si>
    <t>460034199503043329</t>
  </si>
  <si>
    <t>丘燕飞</t>
  </si>
  <si>
    <t>46003419930616042X</t>
  </si>
  <si>
    <t>护理6</t>
  </si>
  <si>
    <t>谢亚盈</t>
  </si>
  <si>
    <t>460034199104030440</t>
  </si>
  <si>
    <t>护理3</t>
  </si>
  <si>
    <t>谭亚雅</t>
  </si>
  <si>
    <t>460034199211070966</t>
  </si>
  <si>
    <t>任伟娜</t>
  </si>
  <si>
    <t>130406198008200361</t>
  </si>
  <si>
    <t>符小沙</t>
  </si>
  <si>
    <t>460034199105300924</t>
  </si>
  <si>
    <t>李培晓</t>
  </si>
  <si>
    <t>460034198912203325</t>
  </si>
  <si>
    <t>谭燕瑶</t>
  </si>
  <si>
    <t>460034199704170420</t>
  </si>
  <si>
    <t>陈延杰</t>
  </si>
  <si>
    <t>男</t>
  </si>
  <si>
    <t>460034199701181212</t>
  </si>
  <si>
    <t>许如晶</t>
  </si>
  <si>
    <t>460034199109121229</t>
  </si>
  <si>
    <t>杨楚映</t>
  </si>
  <si>
    <t>460034199807030420</t>
  </si>
  <si>
    <t>护理8</t>
  </si>
  <si>
    <t>李潇潇</t>
  </si>
  <si>
    <t>460034200110100746</t>
  </si>
  <si>
    <t>郑春香</t>
  </si>
  <si>
    <t>460034199306155065</t>
  </si>
  <si>
    <t>冯春春</t>
  </si>
  <si>
    <t>460034199303040449</t>
  </si>
  <si>
    <t>黄亚丽</t>
  </si>
  <si>
    <t>41142119880323364X</t>
  </si>
  <si>
    <t>符梦玉</t>
  </si>
  <si>
    <t>460034199204241229</t>
  </si>
  <si>
    <t>杨娇芳</t>
  </si>
  <si>
    <t>460034199302070443</t>
  </si>
  <si>
    <t>徐燕雅</t>
  </si>
  <si>
    <t>46003419980111122X</t>
  </si>
  <si>
    <t>胡小婷</t>
  </si>
  <si>
    <t>460034199606154128</t>
  </si>
  <si>
    <t>周子儿</t>
  </si>
  <si>
    <t>460034199406260428</t>
  </si>
  <si>
    <t>刘小册</t>
  </si>
  <si>
    <t>460034199509281520</t>
  </si>
  <si>
    <t>王赛群</t>
  </si>
  <si>
    <t>460034199412021829</t>
  </si>
  <si>
    <t>吴珠环</t>
  </si>
  <si>
    <t>460034199404051825</t>
  </si>
  <si>
    <t>卢义芬</t>
  </si>
  <si>
    <t>46003419950525332X</t>
  </si>
  <si>
    <t>王彩红</t>
  </si>
  <si>
    <t>460034200008010701</t>
  </si>
  <si>
    <t>吴婷婷</t>
  </si>
  <si>
    <t>460034200001045821</t>
  </si>
  <si>
    <t>李东耕</t>
  </si>
  <si>
    <t>460034199805201521</t>
  </si>
  <si>
    <t>陈燕玲</t>
  </si>
  <si>
    <t>46003419950816412X</t>
  </si>
  <si>
    <t>黄念</t>
  </si>
  <si>
    <t>460033199210024881</t>
  </si>
  <si>
    <t>卓冬叶</t>
  </si>
  <si>
    <t>460034199507234122</t>
  </si>
  <si>
    <t>李素芬</t>
  </si>
  <si>
    <t>460034200006111824</t>
  </si>
  <si>
    <t>王雪波</t>
  </si>
  <si>
    <t>460034199504020428</t>
  </si>
  <si>
    <t>吉岳消</t>
  </si>
  <si>
    <t>460200199210251404</t>
  </si>
  <si>
    <t>何子花</t>
  </si>
  <si>
    <t>460034199705210041</t>
  </si>
  <si>
    <t>曾小宁</t>
  </si>
  <si>
    <t>460034199205090426</t>
  </si>
  <si>
    <t>陈小娥</t>
  </si>
  <si>
    <t>460034198909295820</t>
  </si>
  <si>
    <t>林小妹</t>
  </si>
  <si>
    <t>460034199608191221</t>
  </si>
  <si>
    <t>何花</t>
  </si>
  <si>
    <t>460034199304010049</t>
  </si>
  <si>
    <t>郑爽爽</t>
  </si>
  <si>
    <t>469028200010065024</t>
  </si>
  <si>
    <t>吴亚丹</t>
  </si>
  <si>
    <t>460034198910051524</t>
  </si>
  <si>
    <t>李玲玲</t>
  </si>
  <si>
    <t>469028200004040728</t>
  </si>
  <si>
    <t>黄娇丹</t>
  </si>
  <si>
    <t>460034199609171265</t>
  </si>
  <si>
    <t>符容惠</t>
  </si>
  <si>
    <t>460007199610065006</t>
  </si>
  <si>
    <t>符里婷</t>
  </si>
  <si>
    <t>46003419880413502X</t>
  </si>
  <si>
    <t>王丽君</t>
  </si>
  <si>
    <t>460026199812170321</t>
  </si>
  <si>
    <t>叶艳珠</t>
  </si>
  <si>
    <t>46003419971223042X</t>
  </si>
  <si>
    <t>郑灵丽</t>
  </si>
  <si>
    <t>469028199111054425</t>
  </si>
  <si>
    <t>蓝菲</t>
  </si>
  <si>
    <t>46003119951120404X</t>
  </si>
  <si>
    <t>施桑桑</t>
  </si>
  <si>
    <t>460034199608040423</t>
  </si>
  <si>
    <t>李亚纳</t>
  </si>
  <si>
    <t>460034199507151829</t>
  </si>
  <si>
    <t>王丽婕</t>
  </si>
  <si>
    <t>460001200104211725</t>
  </si>
  <si>
    <t>彭美莲</t>
  </si>
  <si>
    <t>460034199411305547</t>
  </si>
  <si>
    <t>董永丽</t>
  </si>
  <si>
    <t>460034199504171226</t>
  </si>
  <si>
    <t>王玑</t>
  </si>
  <si>
    <t>460034199903291823</t>
  </si>
  <si>
    <t>李小妹</t>
  </si>
  <si>
    <t>460034199902173622</t>
  </si>
  <si>
    <t>冯春燕</t>
  </si>
  <si>
    <t>460034199501304724</t>
  </si>
  <si>
    <t>郑丽娇</t>
  </si>
  <si>
    <t>46003419990715552X</t>
  </si>
  <si>
    <t>阮亚芳</t>
  </si>
  <si>
    <t>460034199308264724</t>
  </si>
  <si>
    <t>吴丹丹</t>
  </si>
  <si>
    <t>460034199508200426</t>
  </si>
  <si>
    <t>郭淑娟</t>
  </si>
  <si>
    <t>46003419960102472X</t>
  </si>
  <si>
    <t>李霜霜</t>
  </si>
  <si>
    <t>460034199504080703</t>
  </si>
  <si>
    <t>李莎莎</t>
  </si>
  <si>
    <t>469028200007170720</t>
  </si>
  <si>
    <t>马凤玉</t>
  </si>
  <si>
    <t>460034199305251223</t>
  </si>
  <si>
    <t>陈初一</t>
  </si>
  <si>
    <t>460034199812010424</t>
  </si>
  <si>
    <t>符惠玲</t>
  </si>
  <si>
    <t>460034199305261229</t>
  </si>
  <si>
    <t>许谈一</t>
  </si>
  <si>
    <t>460034199412011241</t>
  </si>
  <si>
    <t>陈雪</t>
  </si>
  <si>
    <t>460034199004150541</t>
  </si>
  <si>
    <t>周婉如</t>
  </si>
  <si>
    <t>460034199907121848</t>
  </si>
  <si>
    <t>卓杨婷</t>
  </si>
  <si>
    <t>469028200112174424</t>
  </si>
  <si>
    <t>吴剑娇</t>
  </si>
  <si>
    <t>469007199512307321</t>
  </si>
  <si>
    <t>郑露盈</t>
  </si>
  <si>
    <t>460034200003225025</t>
  </si>
  <si>
    <t>卢少玲</t>
  </si>
  <si>
    <t>460033199312117165</t>
  </si>
  <si>
    <t>李雅莉</t>
  </si>
  <si>
    <t>460034199912231849</t>
  </si>
  <si>
    <t>林诗音</t>
  </si>
  <si>
    <t>46003419911204122X</t>
  </si>
  <si>
    <t>余小云</t>
  </si>
  <si>
    <t>460034198701272128</t>
  </si>
  <si>
    <t>陈杨芳</t>
  </si>
  <si>
    <t>460034199902240719</t>
  </si>
  <si>
    <t>陈嘉欣</t>
  </si>
  <si>
    <t>460200199909214447</t>
  </si>
  <si>
    <t>邹璐瑶</t>
  </si>
  <si>
    <t>469028199808155840</t>
  </si>
  <si>
    <t>陈小妹</t>
  </si>
  <si>
    <t>460034199507150500</t>
  </si>
  <si>
    <t>杨青苹</t>
  </si>
  <si>
    <t>460034199709220423</t>
  </si>
  <si>
    <t>苏妙转</t>
  </si>
  <si>
    <t>460034199408202424</t>
  </si>
  <si>
    <t>黄麟琇</t>
  </si>
  <si>
    <t>460034198903171245</t>
  </si>
  <si>
    <t>何朝敏</t>
  </si>
  <si>
    <t>460034199203020029</t>
  </si>
  <si>
    <t>周青岩</t>
  </si>
  <si>
    <t>469028200203131227</t>
  </si>
  <si>
    <t>丰美娟</t>
  </si>
  <si>
    <t>460034199112260422</t>
  </si>
  <si>
    <t>符慧芳</t>
  </si>
  <si>
    <t>460034199205230927</t>
  </si>
  <si>
    <t>陈晓月</t>
  </si>
  <si>
    <t>460006199908097522</t>
  </si>
  <si>
    <t>陈燕霞</t>
  </si>
  <si>
    <t>46003419971203412X</t>
  </si>
  <si>
    <t>许英书</t>
  </si>
  <si>
    <t>460034199804191827</t>
  </si>
  <si>
    <t>胡夏冰</t>
  </si>
  <si>
    <t>460034199403170443</t>
  </si>
  <si>
    <t>陈雪玲</t>
  </si>
  <si>
    <t>460026199703092424</t>
  </si>
  <si>
    <t>何婷婷</t>
  </si>
  <si>
    <t>469028199203032127</t>
  </si>
  <si>
    <t>周文莹</t>
  </si>
  <si>
    <t>460034200004060429</t>
  </si>
  <si>
    <t>钟莎莎</t>
  </si>
  <si>
    <t>46003420010309152X</t>
  </si>
  <si>
    <t>缺考</t>
  </si>
  <si>
    <t>梁巧妹</t>
  </si>
  <si>
    <t>460034199303111526</t>
  </si>
  <si>
    <t>符娇霞</t>
  </si>
  <si>
    <t>460034199303021248</t>
  </si>
  <si>
    <t>向英</t>
  </si>
  <si>
    <t>433127199104020823</t>
  </si>
  <si>
    <t>许桦</t>
  </si>
  <si>
    <t>460034199802100020</t>
  </si>
  <si>
    <t>欧彩莲</t>
  </si>
  <si>
    <t>469028199606060720</t>
  </si>
  <si>
    <t>郑静清凌</t>
  </si>
  <si>
    <t>460034199708255026</t>
  </si>
  <si>
    <t>吴柳梅</t>
  </si>
  <si>
    <t>460003199410192822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</si>
</sst>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76" fontId="45" fillId="0" borderId="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33" borderId="9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9" xfId="0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Border="1" applyAlignment="1" quotePrefix="1">
      <alignment horizontal="center" vertical="center" wrapText="1"/>
    </xf>
    <xf numFmtId="176" fontId="6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65"/>
  <sheetViews>
    <sheetView tabSelected="1" zoomScale="130" zoomScaleNormal="130" zoomScaleSheetLayoutView="100" workbookViewId="0" topLeftCell="A1">
      <selection activeCell="M4" sqref="M4"/>
    </sheetView>
  </sheetViews>
  <sheetFormatPr defaultColWidth="9.00390625" defaultRowHeight="15"/>
  <cols>
    <col min="1" max="1" width="17.28125" style="2" customWidth="1"/>
    <col min="2" max="2" width="11.140625" style="2" customWidth="1"/>
    <col min="3" max="3" width="14.00390625" style="2" customWidth="1"/>
    <col min="4" max="4" width="10.8515625" style="2" customWidth="1"/>
    <col min="5" max="5" width="28.8515625" style="2" customWidth="1"/>
    <col min="6" max="6" width="11.421875" style="3" customWidth="1"/>
    <col min="7" max="7" width="10.140625" style="3" customWidth="1"/>
  </cols>
  <sheetData>
    <row r="1" spans="1:5" ht="45.75" customHeight="1">
      <c r="A1" s="4" t="s">
        <v>0</v>
      </c>
      <c r="B1" s="4"/>
      <c r="C1" s="4"/>
      <c r="D1" s="4"/>
      <c r="E1" s="4"/>
    </row>
    <row r="2" spans="1:7" ht="1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</row>
    <row r="3" spans="1:7" ht="15" customHeight="1">
      <c r="A3" s="8" t="s">
        <v>8</v>
      </c>
      <c r="B3" s="8">
        <v>33</v>
      </c>
      <c r="C3" s="8" t="str">
        <f>"陈泽昊"</f>
        <v>陈泽昊</v>
      </c>
      <c r="D3" s="8" t="str">
        <f>"男"</f>
        <v>男</v>
      </c>
      <c r="E3" s="8" t="str">
        <f>"130105199808091230"</f>
        <v>130105199808091230</v>
      </c>
      <c r="F3" s="9">
        <v>83</v>
      </c>
      <c r="G3" s="10" t="s">
        <v>9</v>
      </c>
    </row>
    <row r="4" spans="1:7" ht="15" customHeight="1">
      <c r="A4" s="8" t="s">
        <v>10</v>
      </c>
      <c r="B4" s="8">
        <v>8</v>
      </c>
      <c r="C4" s="8" t="str">
        <f>"许娇珠"</f>
        <v>许娇珠</v>
      </c>
      <c r="D4" s="8" t="str">
        <f>"女"</f>
        <v>女</v>
      </c>
      <c r="E4" s="8" t="str">
        <f>"460034199001055047"</f>
        <v>460034199001055047</v>
      </c>
      <c r="F4" s="11">
        <v>79</v>
      </c>
      <c r="G4" s="10" t="s">
        <v>9</v>
      </c>
    </row>
    <row r="5" spans="1:7" ht="15" customHeight="1">
      <c r="A5" s="8" t="s">
        <v>11</v>
      </c>
      <c r="B5" s="8">
        <v>24</v>
      </c>
      <c r="C5" s="8" t="s">
        <v>12</v>
      </c>
      <c r="D5" s="8" t="s">
        <v>13</v>
      </c>
      <c r="E5" s="34" t="s">
        <v>14</v>
      </c>
      <c r="F5" s="10">
        <v>75</v>
      </c>
      <c r="G5" s="10" t="s">
        <v>9</v>
      </c>
    </row>
    <row r="6" spans="1:7" ht="15" customHeight="1">
      <c r="A6" s="8" t="s">
        <v>15</v>
      </c>
      <c r="B6" s="8">
        <v>8</v>
      </c>
      <c r="C6" s="8" t="s">
        <v>16</v>
      </c>
      <c r="D6" s="8" t="s">
        <v>13</v>
      </c>
      <c r="E6" s="34" t="s">
        <v>17</v>
      </c>
      <c r="F6" s="13">
        <v>75</v>
      </c>
      <c r="G6" s="10" t="s">
        <v>9</v>
      </c>
    </row>
    <row r="7" spans="1:9" ht="15" customHeight="1">
      <c r="A7" s="8" t="s">
        <v>18</v>
      </c>
      <c r="B7" s="8">
        <v>35</v>
      </c>
      <c r="C7" s="8" t="s">
        <v>19</v>
      </c>
      <c r="D7" s="8" t="s">
        <v>13</v>
      </c>
      <c r="E7" s="14" t="s">
        <v>20</v>
      </c>
      <c r="F7" s="10">
        <v>74</v>
      </c>
      <c r="G7" s="10" t="s">
        <v>9</v>
      </c>
      <c r="H7" s="15"/>
      <c r="I7" s="15"/>
    </row>
    <row r="8" spans="1:8" ht="15" customHeight="1">
      <c r="A8" s="8" t="s">
        <v>8</v>
      </c>
      <c r="B8" s="8">
        <v>5</v>
      </c>
      <c r="C8" s="8" t="str">
        <f>"陈才飘"</f>
        <v>陈才飘</v>
      </c>
      <c r="D8" s="8" t="str">
        <f>"女"</f>
        <v>女</v>
      </c>
      <c r="E8" s="8" t="str">
        <f>"460034199508112143"</f>
        <v>460034199508112143</v>
      </c>
      <c r="F8" s="16">
        <v>72</v>
      </c>
      <c r="G8" s="10" t="s">
        <v>9</v>
      </c>
      <c r="H8" s="17"/>
    </row>
    <row r="9" spans="1:7" ht="15" customHeight="1">
      <c r="A9" s="8" t="s">
        <v>11</v>
      </c>
      <c r="B9" s="8">
        <v>31</v>
      </c>
      <c r="C9" s="8" t="s">
        <v>21</v>
      </c>
      <c r="D9" s="8" t="s">
        <v>13</v>
      </c>
      <c r="E9" s="34" t="s">
        <v>22</v>
      </c>
      <c r="F9" s="10">
        <v>72</v>
      </c>
      <c r="G9" s="10" t="s">
        <v>9</v>
      </c>
    </row>
    <row r="10" spans="1:9" ht="15" customHeight="1">
      <c r="A10" s="8" t="s">
        <v>11</v>
      </c>
      <c r="B10" s="8">
        <v>34</v>
      </c>
      <c r="C10" s="8" t="s">
        <v>23</v>
      </c>
      <c r="D10" s="8" t="s">
        <v>13</v>
      </c>
      <c r="E10" s="34" t="s">
        <v>24</v>
      </c>
      <c r="F10" s="10">
        <v>72</v>
      </c>
      <c r="G10" s="10" t="s">
        <v>9</v>
      </c>
      <c r="H10" s="15"/>
      <c r="I10" s="15"/>
    </row>
    <row r="11" spans="1:7" ht="15" customHeight="1">
      <c r="A11" s="8" t="s">
        <v>25</v>
      </c>
      <c r="B11" s="8">
        <v>12</v>
      </c>
      <c r="C11" s="8" t="str">
        <f>"王琪教"</f>
        <v>王琪教</v>
      </c>
      <c r="D11" s="8" t="str">
        <f>"女"</f>
        <v>女</v>
      </c>
      <c r="E11" s="8" t="str">
        <f>"460003199406302021"</f>
        <v>460003199406302021</v>
      </c>
      <c r="F11" s="9">
        <v>72</v>
      </c>
      <c r="G11" s="10" t="s">
        <v>9</v>
      </c>
    </row>
    <row r="12" spans="1:7" ht="15" customHeight="1">
      <c r="A12" s="8" t="s">
        <v>26</v>
      </c>
      <c r="B12" s="8">
        <v>29</v>
      </c>
      <c r="C12" s="8" t="str">
        <f>"张在丽"</f>
        <v>张在丽</v>
      </c>
      <c r="D12" s="8" t="str">
        <f>"女"</f>
        <v>女</v>
      </c>
      <c r="E12" s="8" t="str">
        <f>"460003199705093821"</f>
        <v>460003199705093821</v>
      </c>
      <c r="F12" s="9">
        <v>71</v>
      </c>
      <c r="G12" s="10" t="s">
        <v>9</v>
      </c>
    </row>
    <row r="13" spans="1:7" ht="15" customHeight="1">
      <c r="A13" s="8" t="s">
        <v>11</v>
      </c>
      <c r="B13" s="8">
        <v>27</v>
      </c>
      <c r="C13" s="8" t="s">
        <v>27</v>
      </c>
      <c r="D13" s="8" t="s">
        <v>13</v>
      </c>
      <c r="E13" s="14" t="s">
        <v>28</v>
      </c>
      <c r="F13" s="10">
        <v>69</v>
      </c>
      <c r="G13" s="10" t="s">
        <v>9</v>
      </c>
    </row>
    <row r="14" spans="1:8" ht="15" customHeight="1">
      <c r="A14" s="8" t="s">
        <v>11</v>
      </c>
      <c r="B14" s="8">
        <v>32</v>
      </c>
      <c r="C14" s="8" t="s">
        <v>29</v>
      </c>
      <c r="D14" s="8" t="s">
        <v>13</v>
      </c>
      <c r="E14" s="34" t="s">
        <v>30</v>
      </c>
      <c r="F14" s="10">
        <v>69</v>
      </c>
      <c r="G14" s="10" t="s">
        <v>9</v>
      </c>
      <c r="H14">
        <v>16</v>
      </c>
    </row>
    <row r="15" spans="1:8" ht="15" customHeight="1">
      <c r="A15" s="8" t="s">
        <v>10</v>
      </c>
      <c r="B15" s="8">
        <v>31</v>
      </c>
      <c r="C15" s="8" t="str">
        <f>"杨涯"</f>
        <v>杨涯</v>
      </c>
      <c r="D15" s="8" t="str">
        <f>"女"</f>
        <v>女</v>
      </c>
      <c r="E15" s="8" t="str">
        <f>"460034199502240427"</f>
        <v>460034199502240427</v>
      </c>
      <c r="F15" s="9">
        <v>68</v>
      </c>
      <c r="G15" s="10" t="s">
        <v>9</v>
      </c>
      <c r="H15" s="15"/>
    </row>
    <row r="16" spans="1:7" ht="15" customHeight="1">
      <c r="A16" s="8" t="s">
        <v>8</v>
      </c>
      <c r="B16" s="8">
        <v>14</v>
      </c>
      <c r="C16" s="8" t="str">
        <f>"邓欣"</f>
        <v>邓欣</v>
      </c>
      <c r="D16" s="8" t="str">
        <f>"女"</f>
        <v>女</v>
      </c>
      <c r="E16" s="8" t="str">
        <f>"460034199503030448"</f>
        <v>460034199503030448</v>
      </c>
      <c r="F16" s="10">
        <v>64</v>
      </c>
      <c r="G16" s="10" t="s">
        <v>9</v>
      </c>
    </row>
    <row r="17" spans="1:7" ht="15" customHeight="1">
      <c r="A17" s="8" t="s">
        <v>18</v>
      </c>
      <c r="B17" s="8">
        <v>39</v>
      </c>
      <c r="C17" s="8" t="s">
        <v>31</v>
      </c>
      <c r="D17" s="8" t="s">
        <v>13</v>
      </c>
      <c r="E17" s="34" t="s">
        <v>32</v>
      </c>
      <c r="F17" s="10">
        <v>63</v>
      </c>
      <c r="G17" s="10" t="s">
        <v>9</v>
      </c>
    </row>
    <row r="18" spans="1:7" ht="15" customHeight="1">
      <c r="A18" s="8" t="s">
        <v>33</v>
      </c>
      <c r="B18" s="8">
        <v>4</v>
      </c>
      <c r="C18" s="8" t="str">
        <f>"欧彩莲"</f>
        <v>欧彩莲</v>
      </c>
      <c r="D18" s="8" t="str">
        <f>"女"</f>
        <v>女</v>
      </c>
      <c r="E18" s="8" t="str">
        <f>"469028199606060720"</f>
        <v>469028199606060720</v>
      </c>
      <c r="F18" s="10">
        <v>62</v>
      </c>
      <c r="G18" s="10" t="s">
        <v>9</v>
      </c>
    </row>
    <row r="19" spans="1:7" ht="15" customHeight="1">
      <c r="A19" s="8" t="s">
        <v>34</v>
      </c>
      <c r="B19" s="8">
        <v>10</v>
      </c>
      <c r="C19" s="8" t="s">
        <v>35</v>
      </c>
      <c r="D19" s="8" t="s">
        <v>13</v>
      </c>
      <c r="E19" s="34" t="s">
        <v>36</v>
      </c>
      <c r="F19" s="10">
        <v>62</v>
      </c>
      <c r="G19" s="10" t="s">
        <v>9</v>
      </c>
    </row>
    <row r="20" spans="1:7" ht="15" customHeight="1">
      <c r="A20" s="8" t="s">
        <v>34</v>
      </c>
      <c r="B20" s="8">
        <v>21</v>
      </c>
      <c r="C20" s="8" t="s">
        <v>37</v>
      </c>
      <c r="D20" s="8" t="s">
        <v>13</v>
      </c>
      <c r="E20" s="14" t="s">
        <v>38</v>
      </c>
      <c r="F20" s="10">
        <v>62</v>
      </c>
      <c r="G20" s="10" t="s">
        <v>9</v>
      </c>
    </row>
    <row r="21" spans="1:7" ht="15" customHeight="1">
      <c r="A21" s="8" t="s">
        <v>39</v>
      </c>
      <c r="B21" s="8">
        <v>25</v>
      </c>
      <c r="C21" s="8" t="str">
        <f>"王春南"</f>
        <v>王春南</v>
      </c>
      <c r="D21" s="8" t="str">
        <f>"女"</f>
        <v>女</v>
      </c>
      <c r="E21" s="8" t="str">
        <f>"460027199806013721"</f>
        <v>460027199806013721</v>
      </c>
      <c r="F21" s="9">
        <v>60</v>
      </c>
      <c r="G21" s="10" t="s">
        <v>9</v>
      </c>
    </row>
    <row r="22" spans="1:7" ht="15" customHeight="1">
      <c r="A22" s="8" t="s">
        <v>39</v>
      </c>
      <c r="B22" s="8">
        <v>34</v>
      </c>
      <c r="C22" s="8" t="str">
        <f>"贾雪丽"</f>
        <v>贾雪丽</v>
      </c>
      <c r="D22" s="8" t="str">
        <f>"女"</f>
        <v>女</v>
      </c>
      <c r="E22" s="8" t="str">
        <f>"130125199810048026"</f>
        <v>130125199810048026</v>
      </c>
      <c r="F22" s="9">
        <v>60</v>
      </c>
      <c r="G22" s="10" t="s">
        <v>9</v>
      </c>
    </row>
    <row r="23" spans="1:7" ht="15" customHeight="1">
      <c r="A23" s="8" t="s">
        <v>25</v>
      </c>
      <c r="B23" s="8">
        <v>15</v>
      </c>
      <c r="C23" s="8" t="str">
        <f>"谢伟乾"</f>
        <v>谢伟乾</v>
      </c>
      <c r="D23" s="8" t="str">
        <f>"女"</f>
        <v>女</v>
      </c>
      <c r="E23" s="8" t="str">
        <f>"460003199407104844"</f>
        <v>460003199407104844</v>
      </c>
      <c r="F23" s="13">
        <v>60</v>
      </c>
      <c r="G23" s="10" t="s">
        <v>9</v>
      </c>
    </row>
    <row r="24" spans="1:7" ht="15" customHeight="1">
      <c r="A24" s="8" t="s">
        <v>34</v>
      </c>
      <c r="B24" s="8">
        <v>19</v>
      </c>
      <c r="C24" s="8" t="s">
        <v>40</v>
      </c>
      <c r="D24" s="8" t="s">
        <v>13</v>
      </c>
      <c r="E24" s="34" t="s">
        <v>41</v>
      </c>
      <c r="F24" s="10">
        <v>60</v>
      </c>
      <c r="G24" s="10" t="s">
        <v>9</v>
      </c>
    </row>
    <row r="25" spans="1:9" ht="15" customHeight="1">
      <c r="A25" s="8" t="s">
        <v>42</v>
      </c>
      <c r="B25" s="8">
        <v>14</v>
      </c>
      <c r="C25" s="8" t="str">
        <f>"张玲玉"</f>
        <v>张玲玉</v>
      </c>
      <c r="D25" s="8" t="str">
        <f>"女"</f>
        <v>女</v>
      </c>
      <c r="E25" s="8" t="str">
        <f>"431126199606215622"</f>
        <v>431126199606215622</v>
      </c>
      <c r="F25" s="10">
        <v>59</v>
      </c>
      <c r="G25" s="10" t="s">
        <v>9</v>
      </c>
      <c r="I25" s="17"/>
    </row>
    <row r="26" spans="1:7" ht="15" customHeight="1">
      <c r="A26" s="8" t="s">
        <v>34</v>
      </c>
      <c r="B26" s="8">
        <v>9</v>
      </c>
      <c r="C26" s="8" t="s">
        <v>43</v>
      </c>
      <c r="D26" s="8" t="s">
        <v>13</v>
      </c>
      <c r="E26" s="34" t="s">
        <v>44</v>
      </c>
      <c r="F26" s="10">
        <v>59</v>
      </c>
      <c r="G26" s="10" t="s">
        <v>9</v>
      </c>
    </row>
    <row r="27" spans="1:7" ht="15" customHeight="1">
      <c r="A27" s="8" t="s">
        <v>10</v>
      </c>
      <c r="B27" s="8">
        <v>29</v>
      </c>
      <c r="C27" s="8" t="str">
        <f>"李国倡"</f>
        <v>李国倡</v>
      </c>
      <c r="D27" s="8" t="str">
        <f>"男"</f>
        <v>男</v>
      </c>
      <c r="E27" s="8" t="str">
        <f>"460003199810086631"</f>
        <v>460003199810086631</v>
      </c>
      <c r="F27" s="11">
        <v>58</v>
      </c>
      <c r="G27" s="10" t="s">
        <v>9</v>
      </c>
    </row>
    <row r="28" spans="1:9" ht="15" customHeight="1">
      <c r="A28" s="8" t="s">
        <v>26</v>
      </c>
      <c r="B28" s="8">
        <v>36</v>
      </c>
      <c r="C28" s="8" t="str">
        <f>"王云延"</f>
        <v>王云延</v>
      </c>
      <c r="D28" s="8" t="str">
        <f>"女"</f>
        <v>女</v>
      </c>
      <c r="E28" s="8" t="str">
        <f>"460034199610140423"</f>
        <v>460034199610140423</v>
      </c>
      <c r="F28" s="10">
        <v>58</v>
      </c>
      <c r="G28" s="10" t="s">
        <v>9</v>
      </c>
      <c r="I28" s="15"/>
    </row>
    <row r="29" spans="1:7" ht="15" customHeight="1">
      <c r="A29" s="8" t="s">
        <v>39</v>
      </c>
      <c r="B29" s="8">
        <v>26</v>
      </c>
      <c r="C29" s="8" t="str">
        <f>"何达金"</f>
        <v>何达金</v>
      </c>
      <c r="D29" s="8" t="str">
        <f>"女"</f>
        <v>女</v>
      </c>
      <c r="E29" s="8" t="str">
        <f>"460026199804190920"</f>
        <v>460026199804190920</v>
      </c>
      <c r="F29" s="9">
        <v>58</v>
      </c>
      <c r="G29" s="10" t="s">
        <v>9</v>
      </c>
    </row>
    <row r="30" spans="1:7" ht="15" customHeight="1">
      <c r="A30" s="8" t="s">
        <v>39</v>
      </c>
      <c r="B30" s="8">
        <v>39</v>
      </c>
      <c r="C30" s="8" t="str">
        <f>"柯锦焕"</f>
        <v>柯锦焕</v>
      </c>
      <c r="D30" s="8" t="str">
        <f>"女"</f>
        <v>女</v>
      </c>
      <c r="E30" s="8" t="str">
        <f>"460003199205104301"</f>
        <v>460003199205104301</v>
      </c>
      <c r="F30" s="10">
        <v>58</v>
      </c>
      <c r="G30" s="10" t="s">
        <v>9</v>
      </c>
    </row>
    <row r="31" spans="1:7" ht="15" customHeight="1">
      <c r="A31" s="8" t="s">
        <v>11</v>
      </c>
      <c r="B31" s="8">
        <v>28</v>
      </c>
      <c r="C31" s="8" t="s">
        <v>45</v>
      </c>
      <c r="D31" s="8" t="s">
        <v>13</v>
      </c>
      <c r="E31" s="34" t="s">
        <v>46</v>
      </c>
      <c r="F31" s="10">
        <v>58</v>
      </c>
      <c r="G31" s="10" t="s">
        <v>9</v>
      </c>
    </row>
    <row r="32" spans="1:7" ht="15" customHeight="1">
      <c r="A32" s="8" t="s">
        <v>33</v>
      </c>
      <c r="B32" s="8">
        <v>19</v>
      </c>
      <c r="C32" s="8" t="str">
        <f>"郭健雄"</f>
        <v>郭健雄</v>
      </c>
      <c r="D32" s="8" t="str">
        <f>"男"</f>
        <v>男</v>
      </c>
      <c r="E32" s="8" t="str">
        <f>"460003199605192611"</f>
        <v>460003199605192611</v>
      </c>
      <c r="F32" s="9">
        <v>56</v>
      </c>
      <c r="G32" s="10" t="s">
        <v>9</v>
      </c>
    </row>
    <row r="33" spans="1:7" ht="15" customHeight="1">
      <c r="A33" s="8" t="s">
        <v>34</v>
      </c>
      <c r="B33" s="8">
        <v>8</v>
      </c>
      <c r="C33" s="8" t="s">
        <v>47</v>
      </c>
      <c r="D33" s="8" t="s">
        <v>13</v>
      </c>
      <c r="E33" s="34" t="s">
        <v>48</v>
      </c>
      <c r="F33" s="10">
        <v>56</v>
      </c>
      <c r="G33" s="10" t="s">
        <v>9</v>
      </c>
    </row>
    <row r="34" spans="1:7" ht="15" customHeight="1">
      <c r="A34" s="8" t="s">
        <v>8</v>
      </c>
      <c r="B34" s="8">
        <v>20</v>
      </c>
      <c r="C34" s="8" t="str">
        <f>"黎小愉"</f>
        <v>黎小愉</v>
      </c>
      <c r="D34" s="8" t="str">
        <f>"女"</f>
        <v>女</v>
      </c>
      <c r="E34" s="8" t="str">
        <f>"460034199605170927"</f>
        <v>460034199605170927</v>
      </c>
      <c r="F34" s="9">
        <v>55</v>
      </c>
      <c r="G34" s="10" t="s">
        <v>9</v>
      </c>
    </row>
    <row r="35" spans="1:7" ht="15" customHeight="1">
      <c r="A35" s="8" t="s">
        <v>26</v>
      </c>
      <c r="B35" s="8">
        <v>15</v>
      </c>
      <c r="C35" s="8" t="str">
        <f>"郑亚莞"</f>
        <v>郑亚莞</v>
      </c>
      <c r="D35" s="8" t="str">
        <f>"女"</f>
        <v>女</v>
      </c>
      <c r="E35" s="8" t="str">
        <f>"460034199606121828"</f>
        <v>460034199606121828</v>
      </c>
      <c r="F35" s="9">
        <v>54</v>
      </c>
      <c r="G35" s="10" t="s">
        <v>9</v>
      </c>
    </row>
    <row r="36" spans="1:7" ht="15" customHeight="1">
      <c r="A36" s="8" t="s">
        <v>33</v>
      </c>
      <c r="B36" s="8">
        <v>5</v>
      </c>
      <c r="C36" s="8" t="str">
        <f>"符步科"</f>
        <v>符步科</v>
      </c>
      <c r="D36" s="8" t="str">
        <f>"男"</f>
        <v>男</v>
      </c>
      <c r="E36" s="8" t="str">
        <f>"460003199511032211"</f>
        <v>460003199511032211</v>
      </c>
      <c r="F36" s="10">
        <v>54</v>
      </c>
      <c r="G36" s="10" t="s">
        <v>9</v>
      </c>
    </row>
    <row r="37" spans="1:7" ht="15" customHeight="1">
      <c r="A37" s="8" t="s">
        <v>8</v>
      </c>
      <c r="B37" s="8">
        <v>17</v>
      </c>
      <c r="C37" s="8" t="str">
        <f>"钟丹萍"</f>
        <v>钟丹萍</v>
      </c>
      <c r="D37" s="8" t="str">
        <f>"女"</f>
        <v>女</v>
      </c>
      <c r="E37" s="8" t="str">
        <f>"460028199604066928"</f>
        <v>460028199604066928</v>
      </c>
      <c r="F37" s="10">
        <v>54</v>
      </c>
      <c r="G37" s="10" t="s">
        <v>9</v>
      </c>
    </row>
    <row r="38" spans="1:7" ht="15" customHeight="1">
      <c r="A38" s="8" t="s">
        <v>10</v>
      </c>
      <c r="B38" s="8">
        <v>20</v>
      </c>
      <c r="C38" s="8" t="str">
        <f>"郑奇娜"</f>
        <v>郑奇娜</v>
      </c>
      <c r="D38" s="8" t="str">
        <f>"女"</f>
        <v>女</v>
      </c>
      <c r="E38" s="8" t="str">
        <f>"460200199202121669"</f>
        <v>460200199202121669</v>
      </c>
      <c r="F38" s="10">
        <v>53</v>
      </c>
      <c r="G38" s="10" t="s">
        <v>9</v>
      </c>
    </row>
    <row r="39" spans="1:7" ht="15" customHeight="1">
      <c r="A39" s="8" t="s">
        <v>10</v>
      </c>
      <c r="B39" s="8">
        <v>28</v>
      </c>
      <c r="C39" s="8" t="str">
        <f>"邓仪倩"</f>
        <v>邓仪倩</v>
      </c>
      <c r="D39" s="8" t="str">
        <f>"女"</f>
        <v>女</v>
      </c>
      <c r="E39" s="8" t="str">
        <f>"469028199706100427"</f>
        <v>469028199706100427</v>
      </c>
      <c r="F39" s="9">
        <v>52</v>
      </c>
      <c r="G39" s="10" t="s">
        <v>9</v>
      </c>
    </row>
    <row r="40" spans="1:7" ht="15" customHeight="1">
      <c r="A40" s="8" t="s">
        <v>11</v>
      </c>
      <c r="B40" s="8">
        <v>17</v>
      </c>
      <c r="C40" s="8" t="s">
        <v>49</v>
      </c>
      <c r="D40" s="8" t="s">
        <v>13</v>
      </c>
      <c r="E40" s="34" t="s">
        <v>50</v>
      </c>
      <c r="F40" s="10">
        <v>52</v>
      </c>
      <c r="G40" s="10" t="s">
        <v>9</v>
      </c>
    </row>
    <row r="41" spans="1:7" ht="15" customHeight="1">
      <c r="A41" s="8" t="s">
        <v>8</v>
      </c>
      <c r="B41" s="8">
        <v>9</v>
      </c>
      <c r="C41" s="8" t="str">
        <f>"吴兴武"</f>
        <v>吴兴武</v>
      </c>
      <c r="D41" s="8" t="str">
        <f>"男"</f>
        <v>男</v>
      </c>
      <c r="E41" s="8" t="str">
        <f>"460003199806066638"</f>
        <v>460003199806066638</v>
      </c>
      <c r="F41" s="10">
        <v>51</v>
      </c>
      <c r="G41" s="10" t="s">
        <v>9</v>
      </c>
    </row>
    <row r="42" spans="1:8" ht="15" customHeight="1">
      <c r="A42" s="8" t="s">
        <v>8</v>
      </c>
      <c r="B42" s="8">
        <v>30</v>
      </c>
      <c r="C42" s="8" t="str">
        <f>"黎想"</f>
        <v>黎想</v>
      </c>
      <c r="D42" s="8" t="str">
        <f>"女"</f>
        <v>女</v>
      </c>
      <c r="E42" s="8" t="str">
        <f>"460033199905103228"</f>
        <v>460033199905103228</v>
      </c>
      <c r="F42" s="9">
        <v>51</v>
      </c>
      <c r="G42" s="10" t="s">
        <v>9</v>
      </c>
      <c r="H42">
        <v>18</v>
      </c>
    </row>
    <row r="43" spans="1:7" ht="15" customHeight="1">
      <c r="A43" s="8" t="s">
        <v>11</v>
      </c>
      <c r="B43" s="8">
        <v>38</v>
      </c>
      <c r="C43" s="8" t="s">
        <v>51</v>
      </c>
      <c r="D43" s="8" t="s">
        <v>13</v>
      </c>
      <c r="E43" s="34" t="s">
        <v>52</v>
      </c>
      <c r="F43" s="10">
        <v>51</v>
      </c>
      <c r="G43" s="10" t="s">
        <v>9</v>
      </c>
    </row>
    <row r="44" spans="1:8" ht="15" customHeight="1">
      <c r="A44" s="8" t="s">
        <v>39</v>
      </c>
      <c r="B44" s="8">
        <v>1</v>
      </c>
      <c r="C44" s="8" t="str">
        <f>"罗泽来"</f>
        <v>罗泽来</v>
      </c>
      <c r="D44" s="8" t="str">
        <f>"女"</f>
        <v>女</v>
      </c>
      <c r="E44" s="8" t="str">
        <f>"460033199803114487"</f>
        <v>460033199803114487</v>
      </c>
      <c r="F44" s="10">
        <v>50</v>
      </c>
      <c r="G44" s="10" t="s">
        <v>9</v>
      </c>
      <c r="H44">
        <v>11</v>
      </c>
    </row>
    <row r="45" spans="1:7" ht="15" customHeight="1">
      <c r="A45" s="8" t="s">
        <v>39</v>
      </c>
      <c r="B45" s="8">
        <v>29</v>
      </c>
      <c r="C45" s="8" t="str">
        <f>"林坚花"</f>
        <v>林坚花</v>
      </c>
      <c r="D45" s="8" t="str">
        <f>"女"</f>
        <v>女</v>
      </c>
      <c r="E45" s="8" t="str">
        <f>"460003200108272827"</f>
        <v>460003200108272827</v>
      </c>
      <c r="F45" s="9">
        <v>50</v>
      </c>
      <c r="G45" s="10" t="s">
        <v>9</v>
      </c>
    </row>
    <row r="46" spans="1:7" ht="15" customHeight="1">
      <c r="A46" s="8" t="s">
        <v>39</v>
      </c>
      <c r="B46" s="8">
        <v>36</v>
      </c>
      <c r="C46" s="8" t="str">
        <f>"邢维婧"</f>
        <v>邢维婧</v>
      </c>
      <c r="D46" s="8" t="str">
        <f>"女"</f>
        <v>女</v>
      </c>
      <c r="E46" s="8" t="str">
        <f>"460033199612293224"</f>
        <v>460033199612293224</v>
      </c>
      <c r="F46" s="9">
        <v>50</v>
      </c>
      <c r="G46" s="10" t="s">
        <v>9</v>
      </c>
    </row>
    <row r="47" spans="1:8" ht="15" customHeight="1">
      <c r="A47" s="8" t="s">
        <v>34</v>
      </c>
      <c r="B47" s="8">
        <v>12</v>
      </c>
      <c r="C47" s="8" t="s">
        <v>53</v>
      </c>
      <c r="D47" s="8" t="s">
        <v>54</v>
      </c>
      <c r="E47" s="34" t="s">
        <v>55</v>
      </c>
      <c r="F47" s="10">
        <v>50</v>
      </c>
      <c r="G47" s="10" t="s">
        <v>9</v>
      </c>
      <c r="H47">
        <v>10</v>
      </c>
    </row>
    <row r="48" spans="1:7" ht="15" customHeight="1">
      <c r="A48" s="8" t="s">
        <v>34</v>
      </c>
      <c r="B48" s="8">
        <v>20</v>
      </c>
      <c r="C48" s="8" t="s">
        <v>56</v>
      </c>
      <c r="D48" s="8" t="s">
        <v>13</v>
      </c>
      <c r="E48" s="34" t="s">
        <v>57</v>
      </c>
      <c r="F48" s="10">
        <v>50</v>
      </c>
      <c r="G48" s="10" t="s">
        <v>9</v>
      </c>
    </row>
    <row r="49" spans="1:8" ht="15" customHeight="1">
      <c r="A49" s="8" t="s">
        <v>26</v>
      </c>
      <c r="B49" s="8">
        <v>23</v>
      </c>
      <c r="C49" s="8" t="str">
        <f>"郑带弟"</f>
        <v>郑带弟</v>
      </c>
      <c r="D49" s="8" t="str">
        <f>"女"</f>
        <v>女</v>
      </c>
      <c r="E49" s="8" t="str">
        <f>"460034199505270429"</f>
        <v>460034199505270429</v>
      </c>
      <c r="F49" s="10">
        <v>49</v>
      </c>
      <c r="G49" s="10" t="s">
        <v>9</v>
      </c>
      <c r="H49" s="15"/>
    </row>
    <row r="50" spans="1:7" ht="15" customHeight="1">
      <c r="A50" s="8" t="s">
        <v>8</v>
      </c>
      <c r="B50" s="8">
        <v>18</v>
      </c>
      <c r="C50" s="8" t="str">
        <f>"陈宛秋"</f>
        <v>陈宛秋</v>
      </c>
      <c r="D50" s="8" t="str">
        <f>"女"</f>
        <v>女</v>
      </c>
      <c r="E50" s="8" t="str">
        <f>"460033199705263227"</f>
        <v>460033199705263227</v>
      </c>
      <c r="F50" s="10">
        <v>49</v>
      </c>
      <c r="G50" s="10" t="s">
        <v>9</v>
      </c>
    </row>
    <row r="51" spans="1:8" ht="15" customHeight="1">
      <c r="A51" s="8" t="s">
        <v>8</v>
      </c>
      <c r="B51" s="8">
        <v>21</v>
      </c>
      <c r="C51" s="8" t="str">
        <f>"陈倩灵"</f>
        <v>陈倩灵</v>
      </c>
      <c r="D51" s="8" t="str">
        <f>"女"</f>
        <v>女</v>
      </c>
      <c r="E51" s="8" t="str">
        <f>"460033199801203240"</f>
        <v>460033199801203240</v>
      </c>
      <c r="F51" s="9">
        <v>49</v>
      </c>
      <c r="G51" s="10" t="s">
        <v>9</v>
      </c>
      <c r="H51" s="17"/>
    </row>
    <row r="52" spans="1:7" ht="15" customHeight="1">
      <c r="A52" s="8" t="s">
        <v>11</v>
      </c>
      <c r="B52" s="8">
        <v>9</v>
      </c>
      <c r="C52" s="8" t="s">
        <v>58</v>
      </c>
      <c r="D52" s="8" t="s">
        <v>13</v>
      </c>
      <c r="E52" s="34" t="s">
        <v>59</v>
      </c>
      <c r="F52" s="10">
        <v>49</v>
      </c>
      <c r="G52" s="10" t="s">
        <v>9</v>
      </c>
    </row>
    <row r="53" spans="1:7" ht="15" customHeight="1">
      <c r="A53" s="8" t="s">
        <v>10</v>
      </c>
      <c r="B53" s="8">
        <v>10</v>
      </c>
      <c r="C53" s="8" t="str">
        <f>"黄敬琳"</f>
        <v>黄敬琳</v>
      </c>
      <c r="D53" s="8" t="str">
        <f>"女"</f>
        <v>女</v>
      </c>
      <c r="E53" s="8" t="str">
        <f>"460034199004145523"</f>
        <v>460034199004145523</v>
      </c>
      <c r="F53" s="9">
        <v>48</v>
      </c>
      <c r="G53" s="10" t="s">
        <v>9</v>
      </c>
    </row>
    <row r="54" spans="1:7" ht="15" customHeight="1">
      <c r="A54" s="8" t="s">
        <v>60</v>
      </c>
      <c r="B54" s="8">
        <v>16</v>
      </c>
      <c r="C54" s="8" t="str">
        <f>"王彩玉"</f>
        <v>王彩玉</v>
      </c>
      <c r="D54" s="8" t="str">
        <f>"女"</f>
        <v>女</v>
      </c>
      <c r="E54" s="8" t="str">
        <f>"460028199511206063"</f>
        <v>460028199511206063</v>
      </c>
      <c r="F54" s="13">
        <v>48</v>
      </c>
      <c r="G54" s="10" t="s">
        <v>9</v>
      </c>
    </row>
    <row r="55" spans="1:7" ht="15" customHeight="1">
      <c r="A55" s="8" t="s">
        <v>60</v>
      </c>
      <c r="B55" s="8">
        <v>31</v>
      </c>
      <c r="C55" s="8" t="str">
        <f>"肖薪芯"</f>
        <v>肖薪芯</v>
      </c>
      <c r="D55" s="8" t="str">
        <f>"女"</f>
        <v>女</v>
      </c>
      <c r="E55" s="8" t="str">
        <f>"46902820010215004X"</f>
        <v>46902820010215004X</v>
      </c>
      <c r="F55" s="13">
        <v>48</v>
      </c>
      <c r="G55" s="10" t="s">
        <v>9</v>
      </c>
    </row>
    <row r="56" spans="1:7" ht="15" customHeight="1">
      <c r="A56" s="8" t="s">
        <v>34</v>
      </c>
      <c r="B56" s="8">
        <v>4</v>
      </c>
      <c r="C56" s="8" t="s">
        <v>61</v>
      </c>
      <c r="D56" s="8" t="s">
        <v>13</v>
      </c>
      <c r="E56" s="34" t="s">
        <v>62</v>
      </c>
      <c r="F56" s="10">
        <v>48</v>
      </c>
      <c r="G56" s="10" t="s">
        <v>9</v>
      </c>
    </row>
    <row r="57" spans="1:9" ht="15" customHeight="1">
      <c r="A57" s="8" t="s">
        <v>34</v>
      </c>
      <c r="B57" s="8">
        <v>13</v>
      </c>
      <c r="C57" s="8" t="s">
        <v>63</v>
      </c>
      <c r="D57" s="8" t="s">
        <v>13</v>
      </c>
      <c r="E57" s="34" t="s">
        <v>64</v>
      </c>
      <c r="F57" s="10">
        <v>48</v>
      </c>
      <c r="G57" s="10" t="s">
        <v>9</v>
      </c>
      <c r="I57" s="17"/>
    </row>
    <row r="58" spans="1:7" ht="15" customHeight="1">
      <c r="A58" s="8" t="s">
        <v>42</v>
      </c>
      <c r="B58" s="8">
        <v>22</v>
      </c>
      <c r="C58" s="8" t="str">
        <f>"林连美"</f>
        <v>林连美</v>
      </c>
      <c r="D58" s="8" t="str">
        <f aca="true" t="shared" si="0" ref="D58:D63">"女"</f>
        <v>女</v>
      </c>
      <c r="E58" s="8" t="str">
        <f>"460006199402061709"</f>
        <v>460006199402061709</v>
      </c>
      <c r="F58" s="10">
        <v>47</v>
      </c>
      <c r="G58" s="10" t="s">
        <v>9</v>
      </c>
    </row>
    <row r="59" spans="1:7" ht="15" customHeight="1">
      <c r="A59" s="8" t="s">
        <v>33</v>
      </c>
      <c r="B59" s="8">
        <v>21</v>
      </c>
      <c r="C59" s="8" t="str">
        <f>"谢少凡"</f>
        <v>谢少凡</v>
      </c>
      <c r="D59" s="8" t="str">
        <f t="shared" si="0"/>
        <v>女</v>
      </c>
      <c r="E59" s="8" t="str">
        <f>"460025199706061221"</f>
        <v>460025199706061221</v>
      </c>
      <c r="F59" s="9">
        <v>47</v>
      </c>
      <c r="G59" s="10" t="s">
        <v>9</v>
      </c>
    </row>
    <row r="60" spans="1:7" ht="15" customHeight="1">
      <c r="A60" s="8" t="s">
        <v>60</v>
      </c>
      <c r="B60" s="8">
        <v>15</v>
      </c>
      <c r="C60" s="8" t="str">
        <f>"王春满"</f>
        <v>王春满</v>
      </c>
      <c r="D60" s="8" t="str">
        <f t="shared" si="0"/>
        <v>女</v>
      </c>
      <c r="E60" s="8" t="str">
        <f>"460034200011251821"</f>
        <v>460034200011251821</v>
      </c>
      <c r="F60" s="13">
        <v>47</v>
      </c>
      <c r="G60" s="10" t="s">
        <v>9</v>
      </c>
    </row>
    <row r="61" spans="1:7" ht="15" customHeight="1">
      <c r="A61" s="8" t="s">
        <v>10</v>
      </c>
      <c r="B61" s="8">
        <v>26</v>
      </c>
      <c r="C61" s="8" t="str">
        <f>"钟文彩"</f>
        <v>钟文彩</v>
      </c>
      <c r="D61" s="8" t="str">
        <f t="shared" si="0"/>
        <v>女</v>
      </c>
      <c r="E61" s="8" t="str">
        <f>"460031199701104824"</f>
        <v>460031199701104824</v>
      </c>
      <c r="F61" s="9">
        <v>46</v>
      </c>
      <c r="G61" s="10" t="s">
        <v>9</v>
      </c>
    </row>
    <row r="62" spans="1:7" ht="15" customHeight="1">
      <c r="A62" s="8" t="s">
        <v>39</v>
      </c>
      <c r="B62" s="8">
        <v>31</v>
      </c>
      <c r="C62" s="8" t="str">
        <f>"符玉娟"</f>
        <v>符玉娟</v>
      </c>
      <c r="D62" s="8" t="str">
        <f t="shared" si="0"/>
        <v>女</v>
      </c>
      <c r="E62" s="8" t="str">
        <f>"460007199705068525"</f>
        <v>460007199705068525</v>
      </c>
      <c r="F62" s="9">
        <v>46</v>
      </c>
      <c r="G62" s="10" t="s">
        <v>9</v>
      </c>
    </row>
    <row r="63" spans="1:8" ht="15" customHeight="1">
      <c r="A63" s="8" t="s">
        <v>25</v>
      </c>
      <c r="B63" s="8">
        <v>5</v>
      </c>
      <c r="C63" s="8" t="str">
        <f>"陈真真"</f>
        <v>陈真真</v>
      </c>
      <c r="D63" s="8" t="str">
        <f t="shared" si="0"/>
        <v>女</v>
      </c>
      <c r="E63" s="8" t="str">
        <f>"460034199410120460"</f>
        <v>460034199410120460</v>
      </c>
      <c r="F63" s="18">
        <v>46</v>
      </c>
      <c r="G63" s="10" t="s">
        <v>9</v>
      </c>
      <c r="H63">
        <v>2</v>
      </c>
    </row>
    <row r="64" spans="1:7" ht="15" customHeight="1">
      <c r="A64" s="8" t="s">
        <v>11</v>
      </c>
      <c r="B64" s="8">
        <v>10</v>
      </c>
      <c r="C64" s="8" t="s">
        <v>65</v>
      </c>
      <c r="D64" s="8" t="s">
        <v>13</v>
      </c>
      <c r="E64" s="34" t="s">
        <v>66</v>
      </c>
      <c r="F64" s="10">
        <v>46</v>
      </c>
      <c r="G64" s="10" t="s">
        <v>9</v>
      </c>
    </row>
    <row r="65" spans="1:7" ht="15" customHeight="1">
      <c r="A65" s="8" t="s">
        <v>10</v>
      </c>
      <c r="B65" s="8">
        <v>25</v>
      </c>
      <c r="C65" s="8" t="str">
        <f>"罗家莉"</f>
        <v>罗家莉</v>
      </c>
      <c r="D65" s="8" t="str">
        <f>"女"</f>
        <v>女</v>
      </c>
      <c r="E65" s="8" t="str">
        <f>"460006199902030028"</f>
        <v>460006199902030028</v>
      </c>
      <c r="F65" s="9">
        <v>45</v>
      </c>
      <c r="G65" s="10" t="s">
        <v>9</v>
      </c>
    </row>
    <row r="66" spans="1:9" ht="15" customHeight="1">
      <c r="A66" s="8" t="s">
        <v>26</v>
      </c>
      <c r="B66" s="8">
        <v>3</v>
      </c>
      <c r="C66" s="8" t="str">
        <f>"马小按"</f>
        <v>马小按</v>
      </c>
      <c r="D66" s="8" t="str">
        <f>"女"</f>
        <v>女</v>
      </c>
      <c r="E66" s="8" t="str">
        <f>"460034199704143625"</f>
        <v>460034199704143625</v>
      </c>
      <c r="F66" s="10">
        <v>45</v>
      </c>
      <c r="G66" s="10" t="s">
        <v>9</v>
      </c>
      <c r="H66" s="15"/>
      <c r="I66" s="15"/>
    </row>
    <row r="67" spans="1:8" ht="15" customHeight="1">
      <c r="A67" s="8" t="s">
        <v>26</v>
      </c>
      <c r="B67" s="8">
        <v>25</v>
      </c>
      <c r="C67" s="8" t="str">
        <f>"林海榆"</f>
        <v>林海榆</v>
      </c>
      <c r="D67" s="8" t="str">
        <f>"女"</f>
        <v>女</v>
      </c>
      <c r="E67" s="8" t="str">
        <f>"460028199706280028"</f>
        <v>460028199706280028</v>
      </c>
      <c r="F67" s="10">
        <v>45</v>
      </c>
      <c r="G67" s="10" t="s">
        <v>9</v>
      </c>
      <c r="H67">
        <v>12</v>
      </c>
    </row>
    <row r="68" spans="1:7" ht="15" customHeight="1">
      <c r="A68" s="8" t="s">
        <v>8</v>
      </c>
      <c r="B68" s="8">
        <v>7</v>
      </c>
      <c r="C68" s="8" t="str">
        <f>"温丹玲"</f>
        <v>温丹玲</v>
      </c>
      <c r="D68" s="8" t="str">
        <f>"女"</f>
        <v>女</v>
      </c>
      <c r="E68" s="8" t="str">
        <f>"460027199410055941"</f>
        <v>460027199410055941</v>
      </c>
      <c r="F68" s="10">
        <v>45</v>
      </c>
      <c r="G68" s="10" t="s">
        <v>9</v>
      </c>
    </row>
    <row r="69" spans="1:9" ht="15" customHeight="1">
      <c r="A69" s="8" t="s">
        <v>18</v>
      </c>
      <c r="B69" s="8">
        <v>3</v>
      </c>
      <c r="C69" s="8" t="str">
        <f>"林坚"</f>
        <v>林坚</v>
      </c>
      <c r="D69" s="8" t="str">
        <f>"女"</f>
        <v>女</v>
      </c>
      <c r="E69" s="8" t="str">
        <f>"460027199511226009"</f>
        <v>460027199511226009</v>
      </c>
      <c r="F69" s="19">
        <v>45</v>
      </c>
      <c r="G69" s="10" t="s">
        <v>9</v>
      </c>
      <c r="I69" s="22"/>
    </row>
    <row r="70" spans="1:9" ht="15" customHeight="1">
      <c r="A70" s="8" t="s">
        <v>15</v>
      </c>
      <c r="B70" s="8">
        <v>24</v>
      </c>
      <c r="C70" s="8" t="s">
        <v>67</v>
      </c>
      <c r="D70" s="8" t="s">
        <v>13</v>
      </c>
      <c r="E70" s="14" t="s">
        <v>68</v>
      </c>
      <c r="F70" s="13">
        <v>45</v>
      </c>
      <c r="G70" s="10" t="s">
        <v>9</v>
      </c>
      <c r="H70" s="20"/>
      <c r="I70" s="20"/>
    </row>
    <row r="71" spans="1:7" ht="15" customHeight="1">
      <c r="A71" s="8" t="s">
        <v>26</v>
      </c>
      <c r="B71" s="8">
        <v>35</v>
      </c>
      <c r="C71" s="8" t="str">
        <f>"陈彩娇"</f>
        <v>陈彩娇</v>
      </c>
      <c r="D71" s="8" t="str">
        <f aca="true" t="shared" si="1" ref="D71:D77">"女"</f>
        <v>女</v>
      </c>
      <c r="E71" s="8" t="str">
        <f>"460003199604126225"</f>
        <v>460003199604126225</v>
      </c>
      <c r="F71" s="10">
        <v>44</v>
      </c>
      <c r="G71" s="10" t="s">
        <v>9</v>
      </c>
    </row>
    <row r="72" spans="1:7" ht="15" customHeight="1">
      <c r="A72" s="8" t="s">
        <v>26</v>
      </c>
      <c r="B72" s="8">
        <v>39</v>
      </c>
      <c r="C72" s="8" t="str">
        <f>"胡大妹"</f>
        <v>胡大妹</v>
      </c>
      <c r="D72" s="8" t="str">
        <f t="shared" si="1"/>
        <v>女</v>
      </c>
      <c r="E72" s="8" t="str">
        <f>"460034199407214124"</f>
        <v>460034199407214124</v>
      </c>
      <c r="F72" s="10">
        <v>44</v>
      </c>
      <c r="G72" s="10" t="s">
        <v>9</v>
      </c>
    </row>
    <row r="73" spans="1:7" ht="15" customHeight="1">
      <c r="A73" s="8" t="s">
        <v>42</v>
      </c>
      <c r="B73" s="8">
        <v>25</v>
      </c>
      <c r="C73" s="8" t="str">
        <f>"黄怡菓"</f>
        <v>黄怡菓</v>
      </c>
      <c r="D73" s="8" t="str">
        <f t="shared" si="1"/>
        <v>女</v>
      </c>
      <c r="E73" s="8" t="str">
        <f>"460034199303280928"</f>
        <v>460034199303280928</v>
      </c>
      <c r="F73" s="10">
        <v>44</v>
      </c>
      <c r="G73" s="10" t="s">
        <v>9</v>
      </c>
    </row>
    <row r="74" spans="1:7" ht="15" customHeight="1">
      <c r="A74" s="8" t="s">
        <v>33</v>
      </c>
      <c r="B74" s="8">
        <v>12</v>
      </c>
      <c r="C74" s="8" t="str">
        <f>"施石岸"</f>
        <v>施石岸</v>
      </c>
      <c r="D74" s="8" t="str">
        <f t="shared" si="1"/>
        <v>女</v>
      </c>
      <c r="E74" s="8" t="str">
        <f>"460034199501051528"</f>
        <v>460034199501051528</v>
      </c>
      <c r="F74" s="9">
        <v>44</v>
      </c>
      <c r="G74" s="10" t="s">
        <v>9</v>
      </c>
    </row>
    <row r="75" spans="1:7" ht="15" customHeight="1">
      <c r="A75" s="8" t="s">
        <v>8</v>
      </c>
      <c r="B75" s="8">
        <v>1</v>
      </c>
      <c r="C75" s="8" t="str">
        <f>"李嫚"</f>
        <v>李嫚</v>
      </c>
      <c r="D75" s="8" t="str">
        <f t="shared" si="1"/>
        <v>女</v>
      </c>
      <c r="E75" s="8" t="str">
        <f>"460034199302050928"</f>
        <v>460034199302050928</v>
      </c>
      <c r="F75" s="10">
        <v>44</v>
      </c>
      <c r="G75" s="10" t="s">
        <v>9</v>
      </c>
    </row>
    <row r="76" spans="1:7" ht="15" customHeight="1">
      <c r="A76" s="8" t="s">
        <v>8</v>
      </c>
      <c r="B76" s="8">
        <v>32</v>
      </c>
      <c r="C76" s="8" t="str">
        <f>"郭登玲"</f>
        <v>郭登玲</v>
      </c>
      <c r="D76" s="8" t="str">
        <f t="shared" si="1"/>
        <v>女</v>
      </c>
      <c r="E76" s="8" t="str">
        <f>"46000319970114242X"</f>
        <v>46000319970114242X</v>
      </c>
      <c r="F76" s="9">
        <v>44</v>
      </c>
      <c r="G76" s="10" t="s">
        <v>9</v>
      </c>
    </row>
    <row r="77" spans="1:7" ht="15" customHeight="1">
      <c r="A77" s="8" t="s">
        <v>8</v>
      </c>
      <c r="B77" s="8">
        <v>39</v>
      </c>
      <c r="C77" s="8" t="str">
        <f>"羊金秀"</f>
        <v>羊金秀</v>
      </c>
      <c r="D77" s="8" t="str">
        <f t="shared" si="1"/>
        <v>女</v>
      </c>
      <c r="E77" s="8" t="str">
        <f>"46000320001120342X"</f>
        <v>46000320001120342X</v>
      </c>
      <c r="F77" s="9">
        <v>44</v>
      </c>
      <c r="G77" s="10" t="s">
        <v>9</v>
      </c>
    </row>
    <row r="78" spans="1:7" ht="15" customHeight="1">
      <c r="A78" s="8" t="s">
        <v>11</v>
      </c>
      <c r="B78" s="8">
        <v>36</v>
      </c>
      <c r="C78" s="8" t="s">
        <v>69</v>
      </c>
      <c r="D78" s="8" t="s">
        <v>13</v>
      </c>
      <c r="E78" s="34" t="s">
        <v>70</v>
      </c>
      <c r="F78" s="10">
        <v>44</v>
      </c>
      <c r="G78" s="10" t="s">
        <v>9</v>
      </c>
    </row>
    <row r="79" spans="1:7" ht="15" customHeight="1">
      <c r="A79" s="8" t="s">
        <v>26</v>
      </c>
      <c r="B79" s="8">
        <v>16</v>
      </c>
      <c r="C79" s="8" t="str">
        <f>"吴桂菲"</f>
        <v>吴桂菲</v>
      </c>
      <c r="D79" s="8" t="str">
        <f>"女"</f>
        <v>女</v>
      </c>
      <c r="E79" s="8" t="str">
        <f>"460103199510052726"</f>
        <v>460103199510052726</v>
      </c>
      <c r="F79" s="9">
        <v>43</v>
      </c>
      <c r="G79" s="10" t="s">
        <v>9</v>
      </c>
    </row>
    <row r="80" spans="1:8" ht="15" customHeight="1">
      <c r="A80" s="8" t="s">
        <v>42</v>
      </c>
      <c r="B80" s="8">
        <v>3</v>
      </c>
      <c r="C80" s="8" t="str">
        <f>"陈玉菊"</f>
        <v>陈玉菊</v>
      </c>
      <c r="D80" s="8" t="str">
        <f>"女"</f>
        <v>女</v>
      </c>
      <c r="E80" s="8" t="str">
        <f>"460034199505200703"</f>
        <v>460034199505200703</v>
      </c>
      <c r="F80" s="10">
        <v>43</v>
      </c>
      <c r="G80" s="10" t="s">
        <v>9</v>
      </c>
      <c r="H80">
        <v>6</v>
      </c>
    </row>
    <row r="81" spans="1:7" ht="15" customHeight="1">
      <c r="A81" s="8" t="s">
        <v>8</v>
      </c>
      <c r="B81" s="8">
        <v>28</v>
      </c>
      <c r="C81" s="8" t="str">
        <f>"杨妃"</f>
        <v>杨妃</v>
      </c>
      <c r="D81" s="8" t="str">
        <f>"女"</f>
        <v>女</v>
      </c>
      <c r="E81" s="8" t="str">
        <f>"46000319971128662X"</f>
        <v>46000319971128662X</v>
      </c>
      <c r="F81" s="9">
        <v>43</v>
      </c>
      <c r="G81" s="10" t="s">
        <v>9</v>
      </c>
    </row>
    <row r="82" spans="1:7" ht="15" customHeight="1">
      <c r="A82" s="8" t="s">
        <v>11</v>
      </c>
      <c r="B82" s="8">
        <v>2</v>
      </c>
      <c r="C82" s="8" t="s">
        <v>71</v>
      </c>
      <c r="D82" s="8" t="s">
        <v>13</v>
      </c>
      <c r="E82" s="34" t="s">
        <v>72</v>
      </c>
      <c r="F82" s="10">
        <v>43</v>
      </c>
      <c r="G82" s="10" t="s">
        <v>9</v>
      </c>
    </row>
    <row r="83" spans="1:7" ht="15" customHeight="1">
      <c r="A83" s="8" t="s">
        <v>34</v>
      </c>
      <c r="B83" s="8">
        <v>3</v>
      </c>
      <c r="C83" s="8" t="s">
        <v>73</v>
      </c>
      <c r="D83" s="8" t="s">
        <v>13</v>
      </c>
      <c r="E83" s="14" t="s">
        <v>74</v>
      </c>
      <c r="F83" s="10">
        <v>43</v>
      </c>
      <c r="G83" s="10" t="s">
        <v>9</v>
      </c>
    </row>
    <row r="84" spans="1:7" ht="15" customHeight="1">
      <c r="A84" s="8" t="s">
        <v>26</v>
      </c>
      <c r="B84" s="8">
        <v>21</v>
      </c>
      <c r="C84" s="8" t="str">
        <f>"吴利"</f>
        <v>吴利</v>
      </c>
      <c r="D84" s="8" t="str">
        <f>"女"</f>
        <v>女</v>
      </c>
      <c r="E84" s="8" t="str">
        <f>"460006198906062022"</f>
        <v>460006198906062022</v>
      </c>
      <c r="F84" s="10">
        <v>42</v>
      </c>
      <c r="G84" s="10" t="s">
        <v>9</v>
      </c>
    </row>
    <row r="85" spans="1:7" ht="15" customHeight="1">
      <c r="A85" s="8" t="s">
        <v>26</v>
      </c>
      <c r="B85" s="8">
        <v>30</v>
      </c>
      <c r="C85" s="8" t="str">
        <f>"刘小芬"</f>
        <v>刘小芬</v>
      </c>
      <c r="D85" s="8" t="str">
        <f>"女"</f>
        <v>女</v>
      </c>
      <c r="E85" s="8" t="str">
        <f>"460028199609042423"</f>
        <v>460028199609042423</v>
      </c>
      <c r="F85" s="9">
        <v>42</v>
      </c>
      <c r="G85" s="10" t="s">
        <v>9</v>
      </c>
    </row>
    <row r="86" spans="1:7" ht="15" customHeight="1">
      <c r="A86" s="8" t="s">
        <v>42</v>
      </c>
      <c r="B86" s="8">
        <v>12</v>
      </c>
      <c r="C86" s="8" t="str">
        <f>"林秋萍"</f>
        <v>林秋萍</v>
      </c>
      <c r="D86" s="8" t="str">
        <f>"女"</f>
        <v>女</v>
      </c>
      <c r="E86" s="8" t="str">
        <f>"460007199006100821"</f>
        <v>460007199006100821</v>
      </c>
      <c r="F86" s="10">
        <v>42</v>
      </c>
      <c r="G86" s="10" t="s">
        <v>9</v>
      </c>
    </row>
    <row r="87" spans="1:8" ht="15" customHeight="1">
      <c r="A87" s="8" t="s">
        <v>60</v>
      </c>
      <c r="B87" s="8">
        <v>20</v>
      </c>
      <c r="C87" s="8" t="str">
        <f>"黄碧争"</f>
        <v>黄碧争</v>
      </c>
      <c r="D87" s="8" t="str">
        <f>"女"</f>
        <v>女</v>
      </c>
      <c r="E87" s="8" t="str">
        <f>"460035199510192521"</f>
        <v>460035199510192521</v>
      </c>
      <c r="F87" s="13">
        <v>42</v>
      </c>
      <c r="G87" s="10" t="s">
        <v>9</v>
      </c>
      <c r="H87" s="21">
        <v>5</v>
      </c>
    </row>
    <row r="88" spans="1:9" ht="15" customHeight="1">
      <c r="A88" s="8" t="s">
        <v>15</v>
      </c>
      <c r="B88" s="8">
        <v>10</v>
      </c>
      <c r="C88" s="8" t="s">
        <v>75</v>
      </c>
      <c r="D88" s="8" t="s">
        <v>13</v>
      </c>
      <c r="E88" s="34" t="s">
        <v>76</v>
      </c>
      <c r="F88" s="13">
        <v>42</v>
      </c>
      <c r="G88" s="10" t="s">
        <v>9</v>
      </c>
      <c r="H88" s="17"/>
      <c r="I88" s="17"/>
    </row>
    <row r="89" spans="1:8" ht="15" customHeight="1">
      <c r="A89" s="8" t="s">
        <v>26</v>
      </c>
      <c r="B89" s="8">
        <v>2</v>
      </c>
      <c r="C89" s="8" t="str">
        <f>"陈少丽"</f>
        <v>陈少丽</v>
      </c>
      <c r="D89" s="8" t="str">
        <f>"女"</f>
        <v>女</v>
      </c>
      <c r="E89" s="8" t="str">
        <f>"460034199403122126"</f>
        <v>460034199403122126</v>
      </c>
      <c r="F89" s="10">
        <v>41</v>
      </c>
      <c r="G89" s="10" t="s">
        <v>9</v>
      </c>
      <c r="H89" s="17"/>
    </row>
    <row r="90" spans="1:7" ht="15" customHeight="1">
      <c r="A90" s="8" t="s">
        <v>8</v>
      </c>
      <c r="B90" s="8">
        <v>36</v>
      </c>
      <c r="C90" s="8" t="str">
        <f>"苏彩鸿"</f>
        <v>苏彩鸿</v>
      </c>
      <c r="D90" s="8" t="str">
        <f>"女"</f>
        <v>女</v>
      </c>
      <c r="E90" s="8" t="str">
        <f>"460003199606105428"</f>
        <v>460003199606105428</v>
      </c>
      <c r="F90" s="9">
        <v>41</v>
      </c>
      <c r="G90" s="10" t="s">
        <v>9</v>
      </c>
    </row>
    <row r="91" spans="1:7" ht="15" customHeight="1">
      <c r="A91" s="8" t="s">
        <v>11</v>
      </c>
      <c r="B91" s="8">
        <v>15</v>
      </c>
      <c r="C91" s="8" t="s">
        <v>77</v>
      </c>
      <c r="D91" s="8" t="s">
        <v>13</v>
      </c>
      <c r="E91" s="34" t="s">
        <v>78</v>
      </c>
      <c r="F91" s="10">
        <v>41</v>
      </c>
      <c r="G91" s="10" t="s">
        <v>9</v>
      </c>
    </row>
    <row r="92" spans="1:7" ht="15" customHeight="1">
      <c r="A92" s="8" t="s">
        <v>11</v>
      </c>
      <c r="B92" s="8">
        <v>25</v>
      </c>
      <c r="C92" s="8" t="s">
        <v>79</v>
      </c>
      <c r="D92" s="8" t="s">
        <v>13</v>
      </c>
      <c r="E92" s="34" t="s">
        <v>80</v>
      </c>
      <c r="F92" s="10">
        <v>41</v>
      </c>
      <c r="G92" s="10" t="s">
        <v>9</v>
      </c>
    </row>
    <row r="93" spans="1:7" ht="15" customHeight="1">
      <c r="A93" s="8" t="s">
        <v>10</v>
      </c>
      <c r="B93" s="8">
        <v>5</v>
      </c>
      <c r="C93" s="8" t="str">
        <f>"周少琨"</f>
        <v>周少琨</v>
      </c>
      <c r="D93" s="8" t="str">
        <f aca="true" t="shared" si="2" ref="D93:D105">"女"</f>
        <v>女</v>
      </c>
      <c r="E93" s="8" t="str">
        <f>"460004199609054423"</f>
        <v>460004199609054423</v>
      </c>
      <c r="F93" s="10">
        <v>40</v>
      </c>
      <c r="G93" s="10" t="s">
        <v>9</v>
      </c>
    </row>
    <row r="94" spans="1:7" ht="15" customHeight="1">
      <c r="A94" s="8" t="s">
        <v>10</v>
      </c>
      <c r="B94" s="8">
        <v>16</v>
      </c>
      <c r="C94" s="8" t="str">
        <f>"陈娇孟"</f>
        <v>陈娇孟</v>
      </c>
      <c r="D94" s="8" t="str">
        <f t="shared" si="2"/>
        <v>女</v>
      </c>
      <c r="E94" s="8" t="str">
        <f>"460034199603080485"</f>
        <v>460034199603080485</v>
      </c>
      <c r="F94" s="9">
        <v>40</v>
      </c>
      <c r="G94" s="10" t="s">
        <v>9</v>
      </c>
    </row>
    <row r="95" spans="1:7" ht="15" customHeight="1">
      <c r="A95" s="8" t="s">
        <v>10</v>
      </c>
      <c r="B95" s="8">
        <v>36</v>
      </c>
      <c r="C95" s="8" t="str">
        <f>"董思菁"</f>
        <v>董思菁</v>
      </c>
      <c r="D95" s="8" t="str">
        <f t="shared" si="2"/>
        <v>女</v>
      </c>
      <c r="E95" s="8" t="str">
        <f>"460200199610063162"</f>
        <v>460200199610063162</v>
      </c>
      <c r="F95" s="9">
        <v>40</v>
      </c>
      <c r="G95" s="10" t="s">
        <v>9</v>
      </c>
    </row>
    <row r="96" spans="1:8" ht="15" customHeight="1">
      <c r="A96" s="8" t="s">
        <v>10</v>
      </c>
      <c r="B96" s="8">
        <v>37</v>
      </c>
      <c r="C96" s="8" t="str">
        <f>"高婧"</f>
        <v>高婧</v>
      </c>
      <c r="D96" s="8" t="str">
        <f t="shared" si="2"/>
        <v>女</v>
      </c>
      <c r="E96" s="8" t="str">
        <f>"469007199610305362"</f>
        <v>469007199610305362</v>
      </c>
      <c r="F96" s="9">
        <v>40</v>
      </c>
      <c r="G96" s="10" t="s">
        <v>9</v>
      </c>
      <c r="H96">
        <v>14</v>
      </c>
    </row>
    <row r="97" spans="1:7" ht="15" customHeight="1">
      <c r="A97" s="8" t="s">
        <v>10</v>
      </c>
      <c r="B97" s="8">
        <v>38</v>
      </c>
      <c r="C97" s="8" t="str">
        <f>"杨春满"</f>
        <v>杨春满</v>
      </c>
      <c r="D97" s="8" t="str">
        <f t="shared" si="2"/>
        <v>女</v>
      </c>
      <c r="E97" s="8" t="str">
        <f>"460034199005080426"</f>
        <v>460034199005080426</v>
      </c>
      <c r="F97" s="9">
        <v>40</v>
      </c>
      <c r="G97" s="10" t="s">
        <v>9</v>
      </c>
    </row>
    <row r="98" spans="1:7" ht="15" customHeight="1">
      <c r="A98" s="8" t="s">
        <v>10</v>
      </c>
      <c r="B98" s="8">
        <v>39</v>
      </c>
      <c r="C98" s="8" t="str">
        <f>"朱娇淋"</f>
        <v>朱娇淋</v>
      </c>
      <c r="D98" s="8" t="str">
        <f t="shared" si="2"/>
        <v>女</v>
      </c>
      <c r="E98" s="8" t="str">
        <f>"460034199302010424"</f>
        <v>460034199302010424</v>
      </c>
      <c r="F98" s="9">
        <v>40</v>
      </c>
      <c r="G98" s="10" t="s">
        <v>9</v>
      </c>
    </row>
    <row r="99" spans="1:7" ht="15" customHeight="1">
      <c r="A99" s="8" t="s">
        <v>42</v>
      </c>
      <c r="B99" s="8">
        <v>32</v>
      </c>
      <c r="C99" s="8" t="str">
        <f>" 谢吉英"</f>
        <v> 谢吉英</v>
      </c>
      <c r="D99" s="8" t="str">
        <f t="shared" si="2"/>
        <v>女</v>
      </c>
      <c r="E99" s="8" t="str">
        <f>"460003199510062427"</f>
        <v>460003199510062427</v>
      </c>
      <c r="F99" s="9">
        <v>40</v>
      </c>
      <c r="G99" s="10" t="s">
        <v>9</v>
      </c>
    </row>
    <row r="100" spans="1:8" ht="15" customHeight="1">
      <c r="A100" s="8" t="s">
        <v>33</v>
      </c>
      <c r="B100" s="8">
        <v>1</v>
      </c>
      <c r="C100" s="8" t="str">
        <f>"符小袆"</f>
        <v>符小袆</v>
      </c>
      <c r="D100" s="8" t="str">
        <f t="shared" si="2"/>
        <v>女</v>
      </c>
      <c r="E100" s="8" t="str">
        <f>"460034199701283323"</f>
        <v>460034199701283323</v>
      </c>
      <c r="F100" s="10">
        <v>40</v>
      </c>
      <c r="G100" s="10" t="s">
        <v>9</v>
      </c>
      <c r="H100">
        <v>8</v>
      </c>
    </row>
    <row r="101" spans="1:7" ht="15" customHeight="1">
      <c r="A101" s="8" t="s">
        <v>33</v>
      </c>
      <c r="B101" s="8">
        <v>32</v>
      </c>
      <c r="C101" s="8" t="str">
        <f>"胡亚娥"</f>
        <v>胡亚娥</v>
      </c>
      <c r="D101" s="8" t="str">
        <f t="shared" si="2"/>
        <v>女</v>
      </c>
      <c r="E101" s="8" t="str">
        <f>"460034199405024124"</f>
        <v>460034199405024124</v>
      </c>
      <c r="F101" s="10">
        <v>40</v>
      </c>
      <c r="G101" s="10" t="s">
        <v>9</v>
      </c>
    </row>
    <row r="102" spans="1:7" ht="15" customHeight="1">
      <c r="A102" s="8" t="s">
        <v>33</v>
      </c>
      <c r="B102" s="8">
        <v>38</v>
      </c>
      <c r="C102" s="8" t="str">
        <f>"高海秀"</f>
        <v>高海秀</v>
      </c>
      <c r="D102" s="8" t="str">
        <f t="shared" si="2"/>
        <v>女</v>
      </c>
      <c r="E102" s="8" t="str">
        <f>"460007199402285362"</f>
        <v>460007199402285362</v>
      </c>
      <c r="F102" s="9">
        <v>40</v>
      </c>
      <c r="G102" s="10" t="s">
        <v>9</v>
      </c>
    </row>
    <row r="103" spans="1:7" ht="15" customHeight="1">
      <c r="A103" s="8" t="s">
        <v>8</v>
      </c>
      <c r="B103" s="8">
        <v>4</v>
      </c>
      <c r="C103" s="8" t="str">
        <f>"邱春妹"</f>
        <v>邱春妹</v>
      </c>
      <c r="D103" s="8" t="str">
        <f t="shared" si="2"/>
        <v>女</v>
      </c>
      <c r="E103" s="8" t="str">
        <f>"460003199504074229"</f>
        <v>460003199504074229</v>
      </c>
      <c r="F103" s="10">
        <v>40</v>
      </c>
      <c r="G103" s="10" t="s">
        <v>9</v>
      </c>
    </row>
    <row r="104" spans="1:7" ht="15" customHeight="1">
      <c r="A104" s="8" t="s">
        <v>8</v>
      </c>
      <c r="B104" s="8">
        <v>24</v>
      </c>
      <c r="C104" s="8" t="str">
        <f>"邓翠"</f>
        <v>邓翠</v>
      </c>
      <c r="D104" s="8" t="str">
        <f t="shared" si="2"/>
        <v>女</v>
      </c>
      <c r="E104" s="8" t="str">
        <f>"46002519990124092X"</f>
        <v>46002519990124092X</v>
      </c>
      <c r="F104" s="9">
        <v>40</v>
      </c>
      <c r="G104" s="10" t="s">
        <v>9</v>
      </c>
    </row>
    <row r="105" spans="1:7" ht="15" customHeight="1">
      <c r="A105" s="8" t="s">
        <v>8</v>
      </c>
      <c r="B105" s="8">
        <v>40</v>
      </c>
      <c r="C105" s="8" t="str">
        <f>"马美红"</f>
        <v>马美红</v>
      </c>
      <c r="D105" s="8" t="str">
        <f t="shared" si="2"/>
        <v>女</v>
      </c>
      <c r="E105" s="8" t="str">
        <f>"460003199803152821"</f>
        <v>460003199803152821</v>
      </c>
      <c r="F105" s="9">
        <v>40</v>
      </c>
      <c r="G105" s="10" t="s">
        <v>9</v>
      </c>
    </row>
    <row r="106" spans="1:7" ht="15" customHeight="1">
      <c r="A106" s="8" t="s">
        <v>39</v>
      </c>
      <c r="B106" s="8">
        <v>3</v>
      </c>
      <c r="C106" s="8" t="str">
        <f>"唐子东"</f>
        <v>唐子东</v>
      </c>
      <c r="D106" s="8" t="str">
        <f>"男"</f>
        <v>男</v>
      </c>
      <c r="E106" s="8" t="str">
        <f>"460003199804093018"</f>
        <v>460003199804093018</v>
      </c>
      <c r="F106" s="10">
        <v>40</v>
      </c>
      <c r="G106" s="10" t="s">
        <v>9</v>
      </c>
    </row>
    <row r="107" spans="1:7" ht="15" customHeight="1">
      <c r="A107" s="8" t="s">
        <v>39</v>
      </c>
      <c r="B107" s="8">
        <v>14</v>
      </c>
      <c r="C107" s="8" t="str">
        <f>"陈星蓝"</f>
        <v>陈星蓝</v>
      </c>
      <c r="D107" s="8" t="str">
        <f>"女"</f>
        <v>女</v>
      </c>
      <c r="E107" s="8" t="str">
        <f>"460033199703285086"</f>
        <v>460033199703285086</v>
      </c>
      <c r="F107" s="9">
        <v>40</v>
      </c>
      <c r="G107" s="10" t="s">
        <v>9</v>
      </c>
    </row>
    <row r="108" spans="1:7" ht="15" customHeight="1">
      <c r="A108" s="8" t="s">
        <v>39</v>
      </c>
      <c r="B108" s="8">
        <v>32</v>
      </c>
      <c r="C108" s="8" t="str">
        <f>"李开尾"</f>
        <v>李开尾</v>
      </c>
      <c r="D108" s="8" t="str">
        <f>"女"</f>
        <v>女</v>
      </c>
      <c r="E108" s="8" t="str">
        <f>"460031199910225286"</f>
        <v>460031199910225286</v>
      </c>
      <c r="F108" s="9">
        <v>40</v>
      </c>
      <c r="G108" s="10" t="s">
        <v>9</v>
      </c>
    </row>
    <row r="109" spans="1:7" ht="15" customHeight="1">
      <c r="A109" s="8" t="s">
        <v>60</v>
      </c>
      <c r="B109" s="8">
        <v>22</v>
      </c>
      <c r="C109" s="8" t="str">
        <f>"杨明非"</f>
        <v>杨明非</v>
      </c>
      <c r="D109" s="8" t="str">
        <f>"女"</f>
        <v>女</v>
      </c>
      <c r="E109" s="8" t="str">
        <f>"460200199303051882"</f>
        <v>460200199303051882</v>
      </c>
      <c r="F109" s="13">
        <v>40</v>
      </c>
      <c r="G109" s="10" t="s">
        <v>9</v>
      </c>
    </row>
    <row r="110" spans="1:7" ht="15" customHeight="1">
      <c r="A110" s="8" t="s">
        <v>18</v>
      </c>
      <c r="B110" s="8">
        <v>20</v>
      </c>
      <c r="C110" s="8" t="str">
        <f>"陈亚桃"</f>
        <v>陈亚桃</v>
      </c>
      <c r="D110" s="8" t="str">
        <f>"女"</f>
        <v>女</v>
      </c>
      <c r="E110" s="8" t="str">
        <f>"460003199911203227"</f>
        <v>460003199911203227</v>
      </c>
      <c r="F110" s="10">
        <v>40</v>
      </c>
      <c r="G110" s="10" t="s">
        <v>9</v>
      </c>
    </row>
    <row r="111" spans="1:7" ht="15" customHeight="1">
      <c r="A111" s="8" t="s">
        <v>18</v>
      </c>
      <c r="B111" s="8">
        <v>31</v>
      </c>
      <c r="C111" s="8" t="str">
        <f>"符秀言"</f>
        <v>符秀言</v>
      </c>
      <c r="D111" s="8" t="str">
        <f>"女"</f>
        <v>女</v>
      </c>
      <c r="E111" s="8" t="str">
        <f>"460033199902285986"</f>
        <v>460033199902285986</v>
      </c>
      <c r="F111" s="10">
        <v>40</v>
      </c>
      <c r="G111" s="10" t="s">
        <v>9</v>
      </c>
    </row>
    <row r="112" spans="1:7" ht="15" customHeight="1">
      <c r="A112" s="8" t="s">
        <v>11</v>
      </c>
      <c r="B112" s="8">
        <v>14</v>
      </c>
      <c r="C112" s="8" t="s">
        <v>81</v>
      </c>
      <c r="D112" s="8" t="s">
        <v>13</v>
      </c>
      <c r="E112" s="34" t="s">
        <v>82</v>
      </c>
      <c r="F112" s="10">
        <v>40</v>
      </c>
      <c r="G112" s="10" t="s">
        <v>9</v>
      </c>
    </row>
    <row r="113" spans="1:7" ht="15" customHeight="1">
      <c r="A113" s="8" t="s">
        <v>11</v>
      </c>
      <c r="B113" s="8">
        <v>35</v>
      </c>
      <c r="C113" s="8" t="s">
        <v>83</v>
      </c>
      <c r="D113" s="8" t="s">
        <v>13</v>
      </c>
      <c r="E113" s="34" t="s">
        <v>84</v>
      </c>
      <c r="F113" s="10">
        <v>40</v>
      </c>
      <c r="G113" s="10" t="s">
        <v>9</v>
      </c>
    </row>
    <row r="114" spans="1:8" ht="15" customHeight="1">
      <c r="A114" s="8" t="s">
        <v>15</v>
      </c>
      <c r="B114" s="8">
        <v>13</v>
      </c>
      <c r="C114" s="8" t="s">
        <v>85</v>
      </c>
      <c r="D114" s="8" t="s">
        <v>13</v>
      </c>
      <c r="E114" s="14" t="s">
        <v>86</v>
      </c>
      <c r="F114" s="13">
        <v>40</v>
      </c>
      <c r="G114" s="10" t="s">
        <v>9</v>
      </c>
      <c r="H114">
        <v>4</v>
      </c>
    </row>
    <row r="115" spans="1:7" ht="15" customHeight="1">
      <c r="A115" s="8" t="s">
        <v>42</v>
      </c>
      <c r="B115" s="8">
        <v>34</v>
      </c>
      <c r="C115" s="8" t="str">
        <f>"吴翠"</f>
        <v>吴翠</v>
      </c>
      <c r="D115" s="8" t="str">
        <f>"女"</f>
        <v>女</v>
      </c>
      <c r="E115" s="8" t="str">
        <f>"460004199501040687"</f>
        <v>460004199501040687</v>
      </c>
      <c r="F115" s="9">
        <v>39</v>
      </c>
      <c r="G115" s="10" t="s">
        <v>9</v>
      </c>
    </row>
    <row r="116" spans="1:7" ht="15" customHeight="1">
      <c r="A116" s="8" t="s">
        <v>42</v>
      </c>
      <c r="B116" s="8">
        <v>36</v>
      </c>
      <c r="C116" s="8" t="str">
        <f>"陈香燕"</f>
        <v>陈香燕</v>
      </c>
      <c r="D116" s="8" t="str">
        <f>"女"</f>
        <v>女</v>
      </c>
      <c r="E116" s="8" t="str">
        <f>"460032199412106168"</f>
        <v>460032199412106168</v>
      </c>
      <c r="F116" s="9">
        <v>39</v>
      </c>
      <c r="G116" s="10" t="s">
        <v>9</v>
      </c>
    </row>
    <row r="117" spans="1:7" ht="15" customHeight="1">
      <c r="A117" s="8" t="s">
        <v>33</v>
      </c>
      <c r="B117" s="8">
        <v>16</v>
      </c>
      <c r="C117" s="8" t="str">
        <f>"杨亚灵"</f>
        <v>杨亚灵</v>
      </c>
      <c r="D117" s="8" t="str">
        <f>"女"</f>
        <v>女</v>
      </c>
      <c r="E117" s="8" t="str">
        <f>"460034199412080466"</f>
        <v>460034199412080466</v>
      </c>
      <c r="F117" s="9">
        <v>39</v>
      </c>
      <c r="G117" s="10" t="s">
        <v>9</v>
      </c>
    </row>
    <row r="118" spans="1:9" ht="15" customHeight="1">
      <c r="A118" s="8" t="s">
        <v>60</v>
      </c>
      <c r="B118" s="8">
        <v>3</v>
      </c>
      <c r="C118" s="8" t="str">
        <f>"王周曼"</f>
        <v>王周曼</v>
      </c>
      <c r="D118" s="8" t="str">
        <f>"女"</f>
        <v>女</v>
      </c>
      <c r="E118" s="8" t="str">
        <f>"460034199705100440"</f>
        <v>460034199705100440</v>
      </c>
      <c r="F118" s="13">
        <v>39</v>
      </c>
      <c r="G118" s="10" t="s">
        <v>9</v>
      </c>
      <c r="H118" s="15"/>
      <c r="I118" s="15"/>
    </row>
    <row r="119" spans="1:7" ht="15" customHeight="1">
      <c r="A119" s="8" t="s">
        <v>60</v>
      </c>
      <c r="B119" s="8">
        <v>23</v>
      </c>
      <c r="C119" s="8" t="str">
        <f>"颜春燕"</f>
        <v>颜春燕</v>
      </c>
      <c r="D119" s="8" t="str">
        <f>"女"</f>
        <v>女</v>
      </c>
      <c r="E119" s="8" t="str">
        <f>"460025199501121227"</f>
        <v>460025199501121227</v>
      </c>
      <c r="F119" s="13">
        <v>39</v>
      </c>
      <c r="G119" s="10" t="s">
        <v>9</v>
      </c>
    </row>
    <row r="120" spans="1:7" ht="15" customHeight="1">
      <c r="A120" s="8" t="s">
        <v>11</v>
      </c>
      <c r="B120" s="8">
        <v>11</v>
      </c>
      <c r="C120" s="8" t="s">
        <v>87</v>
      </c>
      <c r="D120" s="8" t="s">
        <v>13</v>
      </c>
      <c r="E120" s="34" t="s">
        <v>88</v>
      </c>
      <c r="F120" s="10">
        <v>39</v>
      </c>
      <c r="G120" s="10" t="s">
        <v>9</v>
      </c>
    </row>
    <row r="121" spans="1:7" ht="15" customHeight="1">
      <c r="A121" s="8" t="s">
        <v>10</v>
      </c>
      <c r="B121" s="8">
        <v>27</v>
      </c>
      <c r="C121" s="8" t="str">
        <f>"骆丽花"</f>
        <v>骆丽花</v>
      </c>
      <c r="D121" s="8" t="str">
        <f aca="true" t="shared" si="3" ref="D121:D128">"女"</f>
        <v>女</v>
      </c>
      <c r="E121" s="8" t="str">
        <f>"460003199511203068"</f>
        <v>460003199511203068</v>
      </c>
      <c r="F121" s="9">
        <v>38</v>
      </c>
      <c r="G121" s="10" t="s">
        <v>9</v>
      </c>
    </row>
    <row r="122" spans="1:7" ht="15" customHeight="1">
      <c r="A122" s="8" t="s">
        <v>26</v>
      </c>
      <c r="B122" s="8">
        <v>24</v>
      </c>
      <c r="C122" s="8" t="str">
        <f>"卢玉佳"</f>
        <v>卢玉佳</v>
      </c>
      <c r="D122" s="8" t="str">
        <f t="shared" si="3"/>
        <v>女</v>
      </c>
      <c r="E122" s="8" t="str">
        <f>"460033199503044544"</f>
        <v>460033199503044544</v>
      </c>
      <c r="F122" s="10">
        <v>38</v>
      </c>
      <c r="G122" s="10" t="s">
        <v>9</v>
      </c>
    </row>
    <row r="123" spans="1:7" ht="15" customHeight="1">
      <c r="A123" s="8" t="s">
        <v>42</v>
      </c>
      <c r="B123" s="8">
        <v>17</v>
      </c>
      <c r="C123" s="8" t="str">
        <f>"朱翠宁"</f>
        <v>朱翠宁</v>
      </c>
      <c r="D123" s="8" t="str">
        <f t="shared" si="3"/>
        <v>女</v>
      </c>
      <c r="E123" s="8" t="str">
        <f>"450421199310218063"</f>
        <v>450421199310218063</v>
      </c>
      <c r="F123" s="9">
        <v>38</v>
      </c>
      <c r="G123" s="10" t="s">
        <v>9</v>
      </c>
    </row>
    <row r="124" spans="1:7" ht="15" customHeight="1">
      <c r="A124" s="8" t="s">
        <v>33</v>
      </c>
      <c r="B124" s="8">
        <v>23</v>
      </c>
      <c r="C124" s="8" t="str">
        <f>"翁小惠"</f>
        <v>翁小惠</v>
      </c>
      <c r="D124" s="8" t="str">
        <f t="shared" si="3"/>
        <v>女</v>
      </c>
      <c r="E124" s="8" t="str">
        <f>"460006199701212327"</f>
        <v>460006199701212327</v>
      </c>
      <c r="F124" s="9">
        <v>38</v>
      </c>
      <c r="G124" s="10" t="s">
        <v>9</v>
      </c>
    </row>
    <row r="125" spans="1:7" ht="15" customHeight="1">
      <c r="A125" s="8" t="s">
        <v>39</v>
      </c>
      <c r="B125" s="8">
        <v>5</v>
      </c>
      <c r="C125" s="8" t="str">
        <f>"符丽娜"</f>
        <v>符丽娜</v>
      </c>
      <c r="D125" s="8" t="str">
        <f t="shared" si="3"/>
        <v>女</v>
      </c>
      <c r="E125" s="8" t="str">
        <f>"469028199808282129"</f>
        <v>469028199808282129</v>
      </c>
      <c r="F125" s="10">
        <v>38</v>
      </c>
      <c r="G125" s="10" t="s">
        <v>9</v>
      </c>
    </row>
    <row r="126" spans="1:7" ht="15" customHeight="1">
      <c r="A126" s="8" t="s">
        <v>25</v>
      </c>
      <c r="B126" s="8">
        <v>10</v>
      </c>
      <c r="C126" s="8" t="str">
        <f>"李兰"</f>
        <v>李兰</v>
      </c>
      <c r="D126" s="8" t="str">
        <f t="shared" si="3"/>
        <v>女</v>
      </c>
      <c r="E126" s="8" t="str">
        <f>"460026199802210940"</f>
        <v>460026199802210940</v>
      </c>
      <c r="F126" s="13">
        <v>38</v>
      </c>
      <c r="G126" s="10" t="s">
        <v>9</v>
      </c>
    </row>
    <row r="127" spans="1:7" ht="15" customHeight="1">
      <c r="A127" s="8" t="s">
        <v>60</v>
      </c>
      <c r="B127" s="8">
        <v>14</v>
      </c>
      <c r="C127" s="8" t="str">
        <f>"洪李蝶"</f>
        <v>洪李蝶</v>
      </c>
      <c r="D127" s="8" t="str">
        <f t="shared" si="3"/>
        <v>女</v>
      </c>
      <c r="E127" s="8" t="str">
        <f>"469023200002081321"</f>
        <v>469023200002081321</v>
      </c>
      <c r="F127" s="13">
        <v>38</v>
      </c>
      <c r="G127" s="10" t="s">
        <v>9</v>
      </c>
    </row>
    <row r="128" spans="1:7" ht="15" customHeight="1">
      <c r="A128" s="8" t="s">
        <v>60</v>
      </c>
      <c r="B128" s="8">
        <v>36</v>
      </c>
      <c r="C128" s="8" t="str">
        <f>"王蕊"</f>
        <v>王蕊</v>
      </c>
      <c r="D128" s="8" t="str">
        <f t="shared" si="3"/>
        <v>女</v>
      </c>
      <c r="E128" s="8" t="str">
        <f>"469023200101186647"</f>
        <v>469023200101186647</v>
      </c>
      <c r="F128" s="13">
        <v>38</v>
      </c>
      <c r="G128" s="10" t="s">
        <v>9</v>
      </c>
    </row>
    <row r="129" spans="1:8" ht="15" customHeight="1">
      <c r="A129" s="8" t="s">
        <v>11</v>
      </c>
      <c r="B129" s="8">
        <v>13</v>
      </c>
      <c r="C129" s="8" t="s">
        <v>89</v>
      </c>
      <c r="D129" s="8" t="s">
        <v>13</v>
      </c>
      <c r="E129" s="34" t="s">
        <v>90</v>
      </c>
      <c r="F129" s="10">
        <v>38</v>
      </c>
      <c r="G129" s="10" t="s">
        <v>9</v>
      </c>
      <c r="H129" s="15"/>
    </row>
    <row r="130" spans="1:7" ht="15" customHeight="1">
      <c r="A130" s="8" t="s">
        <v>11</v>
      </c>
      <c r="B130" s="8">
        <v>40</v>
      </c>
      <c r="C130" s="8" t="s">
        <v>91</v>
      </c>
      <c r="D130" s="8" t="s">
        <v>13</v>
      </c>
      <c r="E130" s="34" t="s">
        <v>92</v>
      </c>
      <c r="F130" s="10">
        <v>38</v>
      </c>
      <c r="G130" s="10" t="s">
        <v>9</v>
      </c>
    </row>
    <row r="131" spans="1:7" ht="15" customHeight="1">
      <c r="A131" s="8" t="s">
        <v>15</v>
      </c>
      <c r="B131" s="8">
        <v>4</v>
      </c>
      <c r="C131" s="8" t="s">
        <v>93</v>
      </c>
      <c r="D131" s="8" t="s">
        <v>13</v>
      </c>
      <c r="E131" s="14" t="s">
        <v>94</v>
      </c>
      <c r="F131" s="13">
        <v>38</v>
      </c>
      <c r="G131" s="10" t="s">
        <v>9</v>
      </c>
    </row>
    <row r="132" spans="1:7" ht="15" customHeight="1">
      <c r="A132" s="8" t="s">
        <v>15</v>
      </c>
      <c r="B132" s="8">
        <v>25</v>
      </c>
      <c r="C132" s="8" t="s">
        <v>95</v>
      </c>
      <c r="D132" s="8" t="s">
        <v>13</v>
      </c>
      <c r="E132" s="34" t="s">
        <v>96</v>
      </c>
      <c r="F132" s="13">
        <v>38</v>
      </c>
      <c r="G132" s="10" t="s">
        <v>9</v>
      </c>
    </row>
    <row r="133" spans="1:7" ht="15" customHeight="1">
      <c r="A133" s="8" t="s">
        <v>34</v>
      </c>
      <c r="B133" s="8">
        <v>11</v>
      </c>
      <c r="C133" s="8" t="s">
        <v>97</v>
      </c>
      <c r="D133" s="8" t="s">
        <v>13</v>
      </c>
      <c r="E133" s="34" t="s">
        <v>98</v>
      </c>
      <c r="F133" s="10">
        <v>38</v>
      </c>
      <c r="G133" s="10" t="s">
        <v>9</v>
      </c>
    </row>
    <row r="134" spans="1:7" ht="15" customHeight="1">
      <c r="A134" s="8" t="s">
        <v>26</v>
      </c>
      <c r="B134" s="8">
        <v>14</v>
      </c>
      <c r="C134" s="8" t="str">
        <f>"彭景慧"</f>
        <v>彭景慧</v>
      </c>
      <c r="D134" s="8" t="str">
        <f aca="true" t="shared" si="4" ref="D134:D157">"女"</f>
        <v>女</v>
      </c>
      <c r="E134" s="8" t="str">
        <f>"460034199806050024"</f>
        <v>460034199806050024</v>
      </c>
      <c r="F134" s="9">
        <v>37</v>
      </c>
      <c r="G134" s="10" t="s">
        <v>9</v>
      </c>
    </row>
    <row r="135" spans="1:7" ht="15" customHeight="1">
      <c r="A135" s="8" t="s">
        <v>42</v>
      </c>
      <c r="B135" s="8">
        <v>31</v>
      </c>
      <c r="C135" s="8" t="str">
        <f>"李金平"</f>
        <v>李金平</v>
      </c>
      <c r="D135" s="8" t="str">
        <f t="shared" si="4"/>
        <v>女</v>
      </c>
      <c r="E135" s="8" t="str">
        <f>"460034199402070467"</f>
        <v>460034199402070467</v>
      </c>
      <c r="F135" s="9">
        <v>37</v>
      </c>
      <c r="G135" s="10" t="s">
        <v>9</v>
      </c>
    </row>
    <row r="136" spans="1:7" ht="15" customHeight="1">
      <c r="A136" s="8" t="s">
        <v>33</v>
      </c>
      <c r="B136" s="8">
        <v>11</v>
      </c>
      <c r="C136" s="8" t="str">
        <f>"韩文彬"</f>
        <v>韩文彬</v>
      </c>
      <c r="D136" s="8" t="str">
        <f t="shared" si="4"/>
        <v>女</v>
      </c>
      <c r="E136" s="8" t="str">
        <f>"460022199607266820"</f>
        <v>460022199607266820</v>
      </c>
      <c r="F136" s="9">
        <v>37</v>
      </c>
      <c r="G136" s="10" t="s">
        <v>9</v>
      </c>
    </row>
    <row r="137" spans="1:7" ht="15" customHeight="1">
      <c r="A137" s="8" t="s">
        <v>8</v>
      </c>
      <c r="B137" s="8">
        <v>26</v>
      </c>
      <c r="C137" s="8" t="str">
        <f>"黄垂慧"</f>
        <v>黄垂慧</v>
      </c>
      <c r="D137" s="8" t="str">
        <f t="shared" si="4"/>
        <v>女</v>
      </c>
      <c r="E137" s="8" t="str">
        <f>"469027199408132221"</f>
        <v>469027199408132221</v>
      </c>
      <c r="F137" s="9">
        <v>37</v>
      </c>
      <c r="G137" s="10" t="s">
        <v>9</v>
      </c>
    </row>
    <row r="138" spans="1:8" ht="15" customHeight="1">
      <c r="A138" s="8" t="s">
        <v>60</v>
      </c>
      <c r="B138" s="8">
        <v>30</v>
      </c>
      <c r="C138" s="8" t="str">
        <f>"郭玉玲"</f>
        <v>郭玉玲</v>
      </c>
      <c r="D138" s="8" t="str">
        <f t="shared" si="4"/>
        <v>女</v>
      </c>
      <c r="E138" s="8" t="str">
        <f>"460034199410014721"</f>
        <v>460034199410014721</v>
      </c>
      <c r="F138" s="13">
        <v>37</v>
      </c>
      <c r="G138" s="10" t="s">
        <v>9</v>
      </c>
      <c r="H138" s="17"/>
    </row>
    <row r="139" spans="1:7" ht="15" customHeight="1">
      <c r="A139" s="8" t="s">
        <v>10</v>
      </c>
      <c r="B139" s="8">
        <v>21</v>
      </c>
      <c r="C139" s="8" t="str">
        <f>"王一梅"</f>
        <v>王一梅</v>
      </c>
      <c r="D139" s="8" t="str">
        <f t="shared" si="4"/>
        <v>女</v>
      </c>
      <c r="E139" s="8" t="str">
        <f>"46010319950121122X"</f>
        <v>46010319950121122X</v>
      </c>
      <c r="F139" s="10">
        <v>36</v>
      </c>
      <c r="G139" s="10" t="s">
        <v>9</v>
      </c>
    </row>
    <row r="140" spans="1:7" ht="15" customHeight="1">
      <c r="A140" s="8" t="s">
        <v>10</v>
      </c>
      <c r="B140" s="8">
        <v>32</v>
      </c>
      <c r="C140" s="8" t="str">
        <f>"陈红娇"</f>
        <v>陈红娇</v>
      </c>
      <c r="D140" s="8" t="str">
        <f t="shared" si="4"/>
        <v>女</v>
      </c>
      <c r="E140" s="8" t="str">
        <f>"460034199612065025"</f>
        <v>460034199612065025</v>
      </c>
      <c r="F140" s="9">
        <v>36</v>
      </c>
      <c r="G140" s="10" t="s">
        <v>9</v>
      </c>
    </row>
    <row r="141" spans="1:7" ht="15" customHeight="1">
      <c r="A141" s="8" t="s">
        <v>42</v>
      </c>
      <c r="B141" s="8">
        <v>4</v>
      </c>
      <c r="C141" s="8" t="str">
        <f>"王小丽"</f>
        <v>王小丽</v>
      </c>
      <c r="D141" s="8" t="str">
        <f t="shared" si="4"/>
        <v>女</v>
      </c>
      <c r="E141" s="8" t="str">
        <f>"460034199506110443"</f>
        <v>460034199506110443</v>
      </c>
      <c r="F141" s="10">
        <v>36</v>
      </c>
      <c r="G141" s="10" t="s">
        <v>9</v>
      </c>
    </row>
    <row r="142" spans="1:7" ht="15" customHeight="1">
      <c r="A142" s="8" t="s">
        <v>42</v>
      </c>
      <c r="B142" s="8">
        <v>23</v>
      </c>
      <c r="C142" s="8" t="str">
        <f>"李盈盈"</f>
        <v>李盈盈</v>
      </c>
      <c r="D142" s="8" t="str">
        <f t="shared" si="4"/>
        <v>女</v>
      </c>
      <c r="E142" s="8" t="str">
        <f>"460033199403238085"</f>
        <v>460033199403238085</v>
      </c>
      <c r="F142" s="10">
        <v>36</v>
      </c>
      <c r="G142" s="10" t="s">
        <v>9</v>
      </c>
    </row>
    <row r="143" spans="1:7" ht="15" customHeight="1">
      <c r="A143" s="8" t="s">
        <v>42</v>
      </c>
      <c r="B143" s="8">
        <v>24</v>
      </c>
      <c r="C143" s="8" t="str">
        <f>"胡叶晶"</f>
        <v>胡叶晶</v>
      </c>
      <c r="D143" s="8" t="str">
        <f t="shared" si="4"/>
        <v>女</v>
      </c>
      <c r="E143" s="8" t="str">
        <f>"460034199302033626"</f>
        <v>460034199302033626</v>
      </c>
      <c r="F143" s="10">
        <v>36</v>
      </c>
      <c r="G143" s="10" t="s">
        <v>9</v>
      </c>
    </row>
    <row r="144" spans="1:7" ht="15" customHeight="1">
      <c r="A144" s="8" t="s">
        <v>42</v>
      </c>
      <c r="B144" s="8">
        <v>30</v>
      </c>
      <c r="C144" s="8" t="str">
        <f>"陈三红"</f>
        <v>陈三红</v>
      </c>
      <c r="D144" s="8" t="str">
        <f t="shared" si="4"/>
        <v>女</v>
      </c>
      <c r="E144" s="8" t="str">
        <f>"460003199304015646"</f>
        <v>460003199304015646</v>
      </c>
      <c r="F144" s="9">
        <v>36</v>
      </c>
      <c r="G144" s="10" t="s">
        <v>9</v>
      </c>
    </row>
    <row r="145" spans="1:7" ht="15" customHeight="1">
      <c r="A145" s="8" t="s">
        <v>42</v>
      </c>
      <c r="B145" s="8">
        <v>33</v>
      </c>
      <c r="C145" s="8" t="str">
        <f>"吴贞优"</f>
        <v>吴贞优</v>
      </c>
      <c r="D145" s="8" t="str">
        <f t="shared" si="4"/>
        <v>女</v>
      </c>
      <c r="E145" s="8" t="str">
        <f>"469027199502163227"</f>
        <v>469027199502163227</v>
      </c>
      <c r="F145" s="9">
        <v>36</v>
      </c>
      <c r="G145" s="10" t="s">
        <v>9</v>
      </c>
    </row>
    <row r="146" spans="1:7" ht="15" customHeight="1">
      <c r="A146" s="8" t="s">
        <v>42</v>
      </c>
      <c r="B146" s="8">
        <v>39</v>
      </c>
      <c r="C146" s="8" t="str">
        <f>"许雪花"</f>
        <v>许雪花</v>
      </c>
      <c r="D146" s="8" t="str">
        <f t="shared" si="4"/>
        <v>女</v>
      </c>
      <c r="E146" s="8" t="str">
        <f>"460034199511011829"</f>
        <v>460034199511011829</v>
      </c>
      <c r="F146" s="9">
        <v>36</v>
      </c>
      <c r="G146" s="10" t="s">
        <v>9</v>
      </c>
    </row>
    <row r="147" spans="1:7" ht="15" customHeight="1">
      <c r="A147" s="8" t="s">
        <v>39</v>
      </c>
      <c r="B147" s="8">
        <v>11</v>
      </c>
      <c r="C147" s="8" t="str">
        <f>"关华琳"</f>
        <v>关华琳</v>
      </c>
      <c r="D147" s="8" t="str">
        <f t="shared" si="4"/>
        <v>女</v>
      </c>
      <c r="E147" s="8" t="str">
        <f>"460033199908174486"</f>
        <v>460033199908174486</v>
      </c>
      <c r="F147" s="10">
        <v>36</v>
      </c>
      <c r="G147" s="10" t="s">
        <v>9</v>
      </c>
    </row>
    <row r="148" spans="1:7" ht="15" customHeight="1">
      <c r="A148" s="8" t="s">
        <v>39</v>
      </c>
      <c r="B148" s="8">
        <v>16</v>
      </c>
      <c r="C148" s="8" t="str">
        <f>"符绿萍"</f>
        <v>符绿萍</v>
      </c>
      <c r="D148" s="8" t="str">
        <f t="shared" si="4"/>
        <v>女</v>
      </c>
      <c r="E148" s="8" t="str">
        <f>"460003199805076025"</f>
        <v>460003199805076025</v>
      </c>
      <c r="F148" s="9">
        <v>36</v>
      </c>
      <c r="G148" s="10" t="s">
        <v>9</v>
      </c>
    </row>
    <row r="149" spans="1:7" ht="15" customHeight="1">
      <c r="A149" s="8" t="s">
        <v>25</v>
      </c>
      <c r="B149" s="8">
        <v>8</v>
      </c>
      <c r="C149" s="8" t="str">
        <f>"肖慧燕"</f>
        <v>肖慧燕</v>
      </c>
      <c r="D149" s="8" t="str">
        <f t="shared" si="4"/>
        <v>女</v>
      </c>
      <c r="E149" s="8" t="str">
        <f>"460006199508264424"</f>
        <v>460006199508264424</v>
      </c>
      <c r="F149" s="13">
        <v>36</v>
      </c>
      <c r="G149" s="10" t="s">
        <v>9</v>
      </c>
    </row>
    <row r="150" spans="1:7" ht="15" customHeight="1">
      <c r="A150" s="8" t="s">
        <v>25</v>
      </c>
      <c r="B150" s="8">
        <v>18</v>
      </c>
      <c r="C150" s="8" t="str">
        <f>"王小芬 "</f>
        <v>王小芬 </v>
      </c>
      <c r="D150" s="8" t="str">
        <f t="shared" si="4"/>
        <v>女</v>
      </c>
      <c r="E150" s="8" t="str">
        <f>"460003200005037429"</f>
        <v>460003200005037429</v>
      </c>
      <c r="F150" s="13">
        <v>36</v>
      </c>
      <c r="G150" s="10" t="s">
        <v>9</v>
      </c>
    </row>
    <row r="151" spans="1:7" ht="15" customHeight="1">
      <c r="A151" s="8" t="s">
        <v>60</v>
      </c>
      <c r="B151" s="8">
        <v>6</v>
      </c>
      <c r="C151" s="8" t="str">
        <f>"姚亚雾"</f>
        <v>姚亚雾</v>
      </c>
      <c r="D151" s="8" t="str">
        <f t="shared" si="4"/>
        <v>女</v>
      </c>
      <c r="E151" s="8" t="str">
        <f>"460034199506091828"</f>
        <v>460034199506091828</v>
      </c>
      <c r="F151" s="13">
        <v>36</v>
      </c>
      <c r="G151" s="10" t="s">
        <v>9</v>
      </c>
    </row>
    <row r="152" spans="1:7" ht="15" customHeight="1">
      <c r="A152" s="8" t="s">
        <v>60</v>
      </c>
      <c r="B152" s="8">
        <v>10</v>
      </c>
      <c r="C152" s="8" t="str">
        <f>"胡亚群"</f>
        <v>胡亚群</v>
      </c>
      <c r="D152" s="8" t="str">
        <f t="shared" si="4"/>
        <v>女</v>
      </c>
      <c r="E152" s="8" t="str">
        <f>"46003419910920362X"</f>
        <v>46003419910920362X</v>
      </c>
      <c r="F152" s="13">
        <v>36</v>
      </c>
      <c r="G152" s="10" t="s">
        <v>9</v>
      </c>
    </row>
    <row r="153" spans="1:7" ht="15" customHeight="1">
      <c r="A153" s="8" t="s">
        <v>60</v>
      </c>
      <c r="B153" s="8">
        <v>17</v>
      </c>
      <c r="C153" s="8" t="str">
        <f>"黎雪丽"</f>
        <v>黎雪丽</v>
      </c>
      <c r="D153" s="8" t="str">
        <f t="shared" si="4"/>
        <v>女</v>
      </c>
      <c r="E153" s="8" t="str">
        <f>"460034199404050945"</f>
        <v>460034199404050945</v>
      </c>
      <c r="F153" s="13">
        <v>36</v>
      </c>
      <c r="G153" s="10" t="s">
        <v>9</v>
      </c>
    </row>
    <row r="154" spans="1:7" ht="15" customHeight="1">
      <c r="A154" s="8" t="s">
        <v>60</v>
      </c>
      <c r="B154" s="8">
        <v>40</v>
      </c>
      <c r="C154" s="8" t="str">
        <f>"钟圣欣"</f>
        <v>钟圣欣</v>
      </c>
      <c r="D154" s="8" t="str">
        <f t="shared" si="4"/>
        <v>女</v>
      </c>
      <c r="E154" s="8" t="str">
        <f>"460007199707207242"</f>
        <v>460007199707207242</v>
      </c>
      <c r="F154" s="13">
        <v>36</v>
      </c>
      <c r="G154" s="10" t="s">
        <v>9</v>
      </c>
    </row>
    <row r="155" spans="1:8" ht="15" customHeight="1">
      <c r="A155" s="8" t="s">
        <v>18</v>
      </c>
      <c r="B155" s="8">
        <v>6</v>
      </c>
      <c r="C155" s="8" t="str">
        <f>"郑卿卿"</f>
        <v>郑卿卿</v>
      </c>
      <c r="D155" s="8" t="str">
        <f t="shared" si="4"/>
        <v>女</v>
      </c>
      <c r="E155" s="8" t="str">
        <f>"460003199603047226"</f>
        <v>460003199603047226</v>
      </c>
      <c r="F155" s="19">
        <v>36</v>
      </c>
      <c r="G155" s="10" t="s">
        <v>9</v>
      </c>
      <c r="H155">
        <v>5</v>
      </c>
    </row>
    <row r="156" spans="1:7" ht="15" customHeight="1">
      <c r="A156" s="8" t="s">
        <v>18</v>
      </c>
      <c r="B156" s="8">
        <v>11</v>
      </c>
      <c r="C156" s="8" t="str">
        <f>"郑欣惠"</f>
        <v>郑欣惠</v>
      </c>
      <c r="D156" s="8" t="str">
        <f t="shared" si="4"/>
        <v>女</v>
      </c>
      <c r="E156" s="8" t="str">
        <f>"460035199002121145"</f>
        <v>460035199002121145</v>
      </c>
      <c r="F156" s="10">
        <v>36</v>
      </c>
      <c r="G156" s="10" t="s">
        <v>9</v>
      </c>
    </row>
    <row r="157" spans="1:7" ht="15" customHeight="1">
      <c r="A157" s="8" t="s">
        <v>18</v>
      </c>
      <c r="B157" s="8">
        <v>15</v>
      </c>
      <c r="C157" s="8" t="str">
        <f>"曾福彩"</f>
        <v>曾福彩</v>
      </c>
      <c r="D157" s="8" t="str">
        <f t="shared" si="4"/>
        <v>女</v>
      </c>
      <c r="E157" s="8" t="str">
        <f>"460003199709283024"</f>
        <v>460003199709283024</v>
      </c>
      <c r="F157" s="10">
        <v>36</v>
      </c>
      <c r="G157" s="10" t="s">
        <v>9</v>
      </c>
    </row>
    <row r="158" spans="1:7" ht="15" customHeight="1">
      <c r="A158" s="8" t="s">
        <v>15</v>
      </c>
      <c r="B158" s="8">
        <v>36</v>
      </c>
      <c r="C158" s="8" t="s">
        <v>99</v>
      </c>
      <c r="D158" s="8" t="s">
        <v>13</v>
      </c>
      <c r="E158" s="34" t="s">
        <v>100</v>
      </c>
      <c r="F158" s="13">
        <v>36</v>
      </c>
      <c r="G158" s="10" t="s">
        <v>9</v>
      </c>
    </row>
    <row r="159" spans="1:7" ht="15" customHeight="1">
      <c r="A159" s="8" t="s">
        <v>10</v>
      </c>
      <c r="B159" s="8">
        <v>11</v>
      </c>
      <c r="C159" s="8" t="str">
        <f>"彭甜"</f>
        <v>彭甜</v>
      </c>
      <c r="D159" s="8" t="str">
        <f aca="true" t="shared" si="5" ref="D159:D165">"女"</f>
        <v>女</v>
      </c>
      <c r="E159" s="8" t="str">
        <f>"431228199212120426"</f>
        <v>431228199212120426</v>
      </c>
      <c r="F159" s="9">
        <v>35</v>
      </c>
      <c r="G159" s="10" t="s">
        <v>9</v>
      </c>
    </row>
    <row r="160" spans="1:7" ht="15" customHeight="1">
      <c r="A160" s="8" t="s">
        <v>26</v>
      </c>
      <c r="B160" s="8">
        <v>12</v>
      </c>
      <c r="C160" s="8" t="str">
        <f>"许少华"</f>
        <v>许少华</v>
      </c>
      <c r="D160" s="8" t="str">
        <f t="shared" si="5"/>
        <v>女</v>
      </c>
      <c r="E160" s="8" t="str">
        <f>"460034199504145028"</f>
        <v>460034199504145028</v>
      </c>
      <c r="F160" s="9">
        <v>35</v>
      </c>
      <c r="G160" s="10" t="s">
        <v>9</v>
      </c>
    </row>
    <row r="161" spans="1:7" ht="15" customHeight="1">
      <c r="A161" s="8" t="s">
        <v>42</v>
      </c>
      <c r="B161" s="8">
        <v>15</v>
      </c>
      <c r="C161" s="8" t="str">
        <f>"杨妹"</f>
        <v>杨妹</v>
      </c>
      <c r="D161" s="8" t="str">
        <f t="shared" si="5"/>
        <v>女</v>
      </c>
      <c r="E161" s="8" t="str">
        <f>"460034199006251522"</f>
        <v>460034199006251522</v>
      </c>
      <c r="F161" s="10">
        <v>35</v>
      </c>
      <c r="G161" s="10" t="s">
        <v>9</v>
      </c>
    </row>
    <row r="162" spans="1:7" ht="15" customHeight="1">
      <c r="A162" s="8" t="s">
        <v>42</v>
      </c>
      <c r="B162" s="8">
        <v>21</v>
      </c>
      <c r="C162" s="8" t="str">
        <f>"傅少丽"</f>
        <v>傅少丽</v>
      </c>
      <c r="D162" s="8" t="str">
        <f t="shared" si="5"/>
        <v>女</v>
      </c>
      <c r="E162" s="8" t="str">
        <f>"460034199311051228"</f>
        <v>460034199311051228</v>
      </c>
      <c r="F162" s="10">
        <v>35</v>
      </c>
      <c r="G162" s="10" t="s">
        <v>9</v>
      </c>
    </row>
    <row r="163" spans="1:7" ht="15" customHeight="1">
      <c r="A163" s="8" t="s">
        <v>33</v>
      </c>
      <c r="B163" s="8">
        <v>17</v>
      </c>
      <c r="C163" s="8" t="str">
        <f>"蒙燕妃"</f>
        <v>蒙燕妃</v>
      </c>
      <c r="D163" s="8" t="str">
        <f t="shared" si="5"/>
        <v>女</v>
      </c>
      <c r="E163" s="8" t="str">
        <f>"46000619970730162X"</f>
        <v>46000619970730162X</v>
      </c>
      <c r="F163" s="9">
        <v>35</v>
      </c>
      <c r="G163" s="10" t="s">
        <v>9</v>
      </c>
    </row>
    <row r="164" spans="1:7" ht="15" customHeight="1">
      <c r="A164" s="8" t="s">
        <v>33</v>
      </c>
      <c r="B164" s="8">
        <v>20</v>
      </c>
      <c r="C164" s="8" t="str">
        <f>"符杰飞"</f>
        <v>符杰飞</v>
      </c>
      <c r="D164" s="8" t="str">
        <f t="shared" si="5"/>
        <v>女</v>
      </c>
      <c r="E164" s="8" t="str">
        <f>"460007199301050847"</f>
        <v>460007199301050847</v>
      </c>
      <c r="F164" s="9">
        <v>35</v>
      </c>
      <c r="G164" s="10" t="s">
        <v>9</v>
      </c>
    </row>
    <row r="165" spans="1:7" ht="15" customHeight="1">
      <c r="A165" s="8" t="s">
        <v>8</v>
      </c>
      <c r="B165" s="8">
        <v>23</v>
      </c>
      <c r="C165" s="8" t="str">
        <f>"黄垂卒"</f>
        <v>黄垂卒</v>
      </c>
      <c r="D165" s="8" t="str">
        <f t="shared" si="5"/>
        <v>女</v>
      </c>
      <c r="E165" s="8" t="str">
        <f>"460033199605174489"</f>
        <v>460033199605174489</v>
      </c>
      <c r="F165" s="9">
        <v>35</v>
      </c>
      <c r="G165" s="10" t="s">
        <v>9</v>
      </c>
    </row>
    <row r="166" spans="1:7" ht="15" customHeight="1">
      <c r="A166" s="8" t="s">
        <v>11</v>
      </c>
      <c r="B166" s="8">
        <v>5</v>
      </c>
      <c r="C166" s="8" t="s">
        <v>101</v>
      </c>
      <c r="D166" s="8" t="s">
        <v>13</v>
      </c>
      <c r="E166" s="34" t="s">
        <v>102</v>
      </c>
      <c r="F166" s="10">
        <v>35</v>
      </c>
      <c r="G166" s="10" t="s">
        <v>9</v>
      </c>
    </row>
    <row r="167" spans="1:7" ht="15" customHeight="1">
      <c r="A167" s="8" t="s">
        <v>15</v>
      </c>
      <c r="B167" s="8">
        <v>15</v>
      </c>
      <c r="C167" s="8" t="s">
        <v>103</v>
      </c>
      <c r="D167" s="8" t="s">
        <v>13</v>
      </c>
      <c r="E167" s="34" t="s">
        <v>104</v>
      </c>
      <c r="F167" s="13">
        <v>35</v>
      </c>
      <c r="G167" s="10" t="s">
        <v>9</v>
      </c>
    </row>
    <row r="168" spans="1:7" ht="15" customHeight="1">
      <c r="A168" s="8" t="s">
        <v>10</v>
      </c>
      <c r="B168" s="8">
        <v>30</v>
      </c>
      <c r="C168" s="8" t="str">
        <f>"罗瑶"</f>
        <v>罗瑶</v>
      </c>
      <c r="D168" s="8" t="str">
        <f aca="true" t="shared" si="6" ref="D168:D181">"女"</f>
        <v>女</v>
      </c>
      <c r="E168" s="8" t="str">
        <f>"460033199706034565"</f>
        <v>460033199706034565</v>
      </c>
      <c r="F168" s="9">
        <v>34</v>
      </c>
      <c r="G168" s="10" t="s">
        <v>9</v>
      </c>
    </row>
    <row r="169" spans="1:7" ht="15" customHeight="1">
      <c r="A169" s="8" t="s">
        <v>26</v>
      </c>
      <c r="B169" s="8">
        <v>37</v>
      </c>
      <c r="C169" s="8" t="str">
        <f>"高梦芸"</f>
        <v>高梦芸</v>
      </c>
      <c r="D169" s="8" t="str">
        <f t="shared" si="6"/>
        <v>女</v>
      </c>
      <c r="E169" s="8" t="str">
        <f>"460033199701163261"</f>
        <v>460033199701163261</v>
      </c>
      <c r="F169" s="10">
        <v>34</v>
      </c>
      <c r="G169" s="10" t="s">
        <v>9</v>
      </c>
    </row>
    <row r="170" spans="1:8" ht="15" customHeight="1">
      <c r="A170" s="8" t="s">
        <v>42</v>
      </c>
      <c r="B170" s="8">
        <v>38</v>
      </c>
      <c r="C170" s="8" t="str">
        <f>"何芳"</f>
        <v>何芳</v>
      </c>
      <c r="D170" s="8" t="str">
        <f t="shared" si="6"/>
        <v>女</v>
      </c>
      <c r="E170" s="8" t="str">
        <f>"460033199703233585"</f>
        <v>460033199703233585</v>
      </c>
      <c r="F170" s="9">
        <v>34</v>
      </c>
      <c r="G170" s="10" t="s">
        <v>9</v>
      </c>
      <c r="H170" s="15"/>
    </row>
    <row r="171" spans="1:7" ht="15" customHeight="1">
      <c r="A171" s="8" t="s">
        <v>33</v>
      </c>
      <c r="B171" s="8">
        <v>2</v>
      </c>
      <c r="C171" s="8" t="str">
        <f>"符珠丽"</f>
        <v>符珠丽</v>
      </c>
      <c r="D171" s="8" t="str">
        <f t="shared" si="6"/>
        <v>女</v>
      </c>
      <c r="E171" s="8" t="str">
        <f>"460034199401202747"</f>
        <v>460034199401202747</v>
      </c>
      <c r="F171" s="10">
        <v>34</v>
      </c>
      <c r="G171" s="10" t="s">
        <v>9</v>
      </c>
    </row>
    <row r="172" spans="1:7" ht="15" customHeight="1">
      <c r="A172" s="8" t="s">
        <v>33</v>
      </c>
      <c r="B172" s="8">
        <v>28</v>
      </c>
      <c r="C172" s="8" t="str">
        <f>"陈勤"</f>
        <v>陈勤</v>
      </c>
      <c r="D172" s="8" t="str">
        <f t="shared" si="6"/>
        <v>女</v>
      </c>
      <c r="E172" s="8" t="str">
        <f>"460033199706123883"</f>
        <v>460033199706123883</v>
      </c>
      <c r="F172" s="9">
        <v>34</v>
      </c>
      <c r="G172" s="10" t="s">
        <v>9</v>
      </c>
    </row>
    <row r="173" spans="1:7" ht="15" customHeight="1">
      <c r="A173" s="8" t="s">
        <v>33</v>
      </c>
      <c r="B173" s="8">
        <v>30</v>
      </c>
      <c r="C173" s="8" t="str">
        <f>"杨雪娇"</f>
        <v>杨雪娇</v>
      </c>
      <c r="D173" s="8" t="str">
        <f t="shared" si="6"/>
        <v>女</v>
      </c>
      <c r="E173" s="8" t="str">
        <f>"460033199807106601"</f>
        <v>460033199807106601</v>
      </c>
      <c r="F173" s="10">
        <v>34</v>
      </c>
      <c r="G173" s="10" t="s">
        <v>9</v>
      </c>
    </row>
    <row r="174" spans="1:7" ht="15" customHeight="1">
      <c r="A174" s="8" t="s">
        <v>39</v>
      </c>
      <c r="B174" s="8">
        <v>10</v>
      </c>
      <c r="C174" s="8" t="str">
        <f>"李书彩"</f>
        <v>李书彩</v>
      </c>
      <c r="D174" s="8" t="str">
        <f t="shared" si="6"/>
        <v>女</v>
      </c>
      <c r="E174" s="8" t="str">
        <f>"460003199912305823"</f>
        <v>460003199912305823</v>
      </c>
      <c r="F174" s="10">
        <v>34</v>
      </c>
      <c r="G174" s="10" t="s">
        <v>9</v>
      </c>
    </row>
    <row r="175" spans="1:7" ht="15" customHeight="1">
      <c r="A175" s="8" t="s">
        <v>39</v>
      </c>
      <c r="B175" s="8">
        <v>23</v>
      </c>
      <c r="C175" s="8" t="str">
        <f>"符金竹"</f>
        <v>符金竹</v>
      </c>
      <c r="D175" s="8" t="str">
        <f t="shared" si="6"/>
        <v>女</v>
      </c>
      <c r="E175" s="8" t="str">
        <f>"469024199803136821"</f>
        <v>469024199803136821</v>
      </c>
      <c r="F175" s="9">
        <v>34</v>
      </c>
      <c r="G175" s="10" t="s">
        <v>9</v>
      </c>
    </row>
    <row r="176" spans="1:7" ht="15" customHeight="1">
      <c r="A176" s="8" t="s">
        <v>39</v>
      </c>
      <c r="B176" s="8">
        <v>33</v>
      </c>
      <c r="C176" s="8" t="str">
        <f>"王堂苗"</f>
        <v>王堂苗</v>
      </c>
      <c r="D176" s="8" t="str">
        <f t="shared" si="6"/>
        <v>女</v>
      </c>
      <c r="E176" s="8" t="str">
        <f>"460033199810124501"</f>
        <v>460033199810124501</v>
      </c>
      <c r="F176" s="9">
        <v>34</v>
      </c>
      <c r="G176" s="10" t="s">
        <v>9</v>
      </c>
    </row>
    <row r="177" spans="1:7" ht="15" customHeight="1">
      <c r="A177" s="8" t="s">
        <v>39</v>
      </c>
      <c r="B177" s="8">
        <v>40</v>
      </c>
      <c r="C177" s="8" t="str">
        <f>"林秋景"</f>
        <v>林秋景</v>
      </c>
      <c r="D177" s="8" t="str">
        <f t="shared" si="6"/>
        <v>女</v>
      </c>
      <c r="E177" s="8" t="str">
        <f>"460034199407132428"</f>
        <v>460034199407132428</v>
      </c>
      <c r="F177" s="10">
        <v>34</v>
      </c>
      <c r="G177" s="10" t="s">
        <v>9</v>
      </c>
    </row>
    <row r="178" spans="1:7" ht="15" customHeight="1">
      <c r="A178" s="8" t="s">
        <v>25</v>
      </c>
      <c r="B178" s="8">
        <v>2</v>
      </c>
      <c r="C178" s="8" t="str">
        <f>"王英赞"</f>
        <v>王英赞</v>
      </c>
      <c r="D178" s="8" t="str">
        <f t="shared" si="6"/>
        <v>女</v>
      </c>
      <c r="E178" s="8" t="str">
        <f>"460034199806273623"</f>
        <v>460034199806273623</v>
      </c>
      <c r="F178" s="18">
        <v>34</v>
      </c>
      <c r="G178" s="10" t="s">
        <v>9</v>
      </c>
    </row>
    <row r="179" spans="1:7" ht="15" customHeight="1">
      <c r="A179" s="8" t="s">
        <v>25</v>
      </c>
      <c r="B179" s="8">
        <v>13</v>
      </c>
      <c r="C179" s="8" t="str">
        <f>"吴金"</f>
        <v>吴金</v>
      </c>
      <c r="D179" s="8" t="str">
        <f t="shared" si="6"/>
        <v>女</v>
      </c>
      <c r="E179" s="8" t="str">
        <f>"460002199510252523"</f>
        <v>460002199510252523</v>
      </c>
      <c r="F179" s="13">
        <v>34</v>
      </c>
      <c r="G179" s="10" t="s">
        <v>9</v>
      </c>
    </row>
    <row r="180" spans="1:7" ht="15" customHeight="1">
      <c r="A180" s="8" t="s">
        <v>25</v>
      </c>
      <c r="B180" s="8">
        <v>32</v>
      </c>
      <c r="C180" s="8" t="str">
        <f>"陈运丽"</f>
        <v>陈运丽</v>
      </c>
      <c r="D180" s="8" t="str">
        <f t="shared" si="6"/>
        <v>女</v>
      </c>
      <c r="E180" s="8" t="str">
        <f>"460033199408163887"</f>
        <v>460033199408163887</v>
      </c>
      <c r="F180" s="13">
        <v>34</v>
      </c>
      <c r="G180" s="10" t="s">
        <v>9</v>
      </c>
    </row>
    <row r="181" spans="1:7" ht="15" customHeight="1">
      <c r="A181" s="8" t="s">
        <v>18</v>
      </c>
      <c r="B181" s="8">
        <v>25</v>
      </c>
      <c r="C181" s="8" t="str">
        <f>"吴燕虹"</f>
        <v>吴燕虹</v>
      </c>
      <c r="D181" s="8" t="str">
        <f t="shared" si="6"/>
        <v>女</v>
      </c>
      <c r="E181" s="8" t="str">
        <f>"460031199807205287"</f>
        <v>460031199807205287</v>
      </c>
      <c r="F181" s="10">
        <v>34</v>
      </c>
      <c r="G181" s="10" t="s">
        <v>9</v>
      </c>
    </row>
    <row r="182" spans="1:8" ht="15" customHeight="1">
      <c r="A182" s="8" t="s">
        <v>18</v>
      </c>
      <c r="B182" s="8">
        <v>32</v>
      </c>
      <c r="C182" s="8" t="str">
        <f>"颜建丁"</f>
        <v>颜建丁</v>
      </c>
      <c r="D182" s="8" t="str">
        <f>"男"</f>
        <v>男</v>
      </c>
      <c r="E182" s="8" t="str">
        <f>"460028199809196435"</f>
        <v>460028199809196435</v>
      </c>
      <c r="F182" s="10">
        <v>34</v>
      </c>
      <c r="G182" s="10" t="s">
        <v>9</v>
      </c>
      <c r="H182" s="17"/>
    </row>
    <row r="183" spans="1:7" ht="15" customHeight="1">
      <c r="A183" s="8" t="s">
        <v>11</v>
      </c>
      <c r="B183" s="8">
        <v>6</v>
      </c>
      <c r="C183" s="8" t="s">
        <v>105</v>
      </c>
      <c r="D183" s="8" t="s">
        <v>13</v>
      </c>
      <c r="E183" s="34" t="s">
        <v>106</v>
      </c>
      <c r="F183" s="10">
        <v>34</v>
      </c>
      <c r="G183" s="10" t="s">
        <v>9</v>
      </c>
    </row>
    <row r="184" spans="1:9" ht="15" customHeight="1">
      <c r="A184" s="8" t="s">
        <v>15</v>
      </c>
      <c r="B184" s="8">
        <v>38</v>
      </c>
      <c r="C184" s="8" t="s">
        <v>107</v>
      </c>
      <c r="D184" s="8" t="s">
        <v>13</v>
      </c>
      <c r="E184" s="34" t="s">
        <v>108</v>
      </c>
      <c r="F184" s="13">
        <v>34</v>
      </c>
      <c r="G184" s="10" t="s">
        <v>9</v>
      </c>
      <c r="H184" s="17"/>
      <c r="I184" s="17"/>
    </row>
    <row r="185" spans="1:7" ht="15" customHeight="1">
      <c r="A185" s="8" t="s">
        <v>34</v>
      </c>
      <c r="B185" s="8">
        <v>2</v>
      </c>
      <c r="C185" s="8" t="s">
        <v>109</v>
      </c>
      <c r="D185" s="8" t="s">
        <v>13</v>
      </c>
      <c r="E185" s="34" t="s">
        <v>110</v>
      </c>
      <c r="F185" s="10">
        <v>34</v>
      </c>
      <c r="G185" s="10" t="s">
        <v>9</v>
      </c>
    </row>
    <row r="186" spans="1:7" ht="15" customHeight="1">
      <c r="A186" s="8" t="s">
        <v>10</v>
      </c>
      <c r="B186" s="8">
        <v>33</v>
      </c>
      <c r="C186" s="8" t="str">
        <f>"卢世秋"</f>
        <v>卢世秋</v>
      </c>
      <c r="D186" s="8" t="str">
        <f aca="true" t="shared" si="7" ref="D186:D199">"女"</f>
        <v>女</v>
      </c>
      <c r="E186" s="8" t="str">
        <f>"469007199711130848"</f>
        <v>469007199711130848</v>
      </c>
      <c r="F186" s="9">
        <v>33</v>
      </c>
      <c r="G186" s="10"/>
    </row>
    <row r="187" spans="1:7" ht="15" customHeight="1">
      <c r="A187" s="8" t="s">
        <v>10</v>
      </c>
      <c r="B187" s="8">
        <v>40</v>
      </c>
      <c r="C187" s="8" t="str">
        <f>"吴桂得"</f>
        <v>吴桂得</v>
      </c>
      <c r="D187" s="8" t="str">
        <f t="shared" si="7"/>
        <v>女</v>
      </c>
      <c r="E187" s="8" t="str">
        <f>"460003199305076723"</f>
        <v>460003199305076723</v>
      </c>
      <c r="F187" s="9">
        <v>33</v>
      </c>
      <c r="G187" s="10"/>
    </row>
    <row r="188" spans="1:7" ht="15" customHeight="1">
      <c r="A188" s="8" t="s">
        <v>26</v>
      </c>
      <c r="B188" s="8">
        <v>6</v>
      </c>
      <c r="C188" s="8" t="str">
        <f>"陈亚妹"</f>
        <v>陈亚妹</v>
      </c>
      <c r="D188" s="8" t="str">
        <f t="shared" si="7"/>
        <v>女</v>
      </c>
      <c r="E188" s="8" t="str">
        <f>"460034199711173064"</f>
        <v>460034199711173064</v>
      </c>
      <c r="F188" s="10">
        <v>33</v>
      </c>
      <c r="G188" s="10"/>
    </row>
    <row r="189" spans="1:7" ht="15" customHeight="1">
      <c r="A189" s="8" t="s">
        <v>26</v>
      </c>
      <c r="B189" s="8">
        <v>27</v>
      </c>
      <c r="C189" s="8" t="str">
        <f>"林文巧"</f>
        <v>林文巧</v>
      </c>
      <c r="D189" s="8" t="str">
        <f t="shared" si="7"/>
        <v>女</v>
      </c>
      <c r="E189" s="8" t="str">
        <f>"460034199709101221"</f>
        <v>460034199709101221</v>
      </c>
      <c r="F189" s="9">
        <v>33</v>
      </c>
      <c r="G189" s="10"/>
    </row>
    <row r="190" spans="1:7" ht="15" customHeight="1">
      <c r="A190" s="8" t="s">
        <v>26</v>
      </c>
      <c r="B190" s="8">
        <v>28</v>
      </c>
      <c r="C190" s="8" t="str">
        <f>"赵明婷"</f>
        <v>赵明婷</v>
      </c>
      <c r="D190" s="8" t="str">
        <f t="shared" si="7"/>
        <v>女</v>
      </c>
      <c r="E190" s="8" t="str">
        <f>"460007199305087225"</f>
        <v>460007199305087225</v>
      </c>
      <c r="F190" s="9">
        <v>33</v>
      </c>
      <c r="G190" s="10"/>
    </row>
    <row r="191" spans="1:7" ht="15" customHeight="1">
      <c r="A191" s="8" t="s">
        <v>42</v>
      </c>
      <c r="B191" s="8">
        <v>11</v>
      </c>
      <c r="C191" s="8" t="str">
        <f>"符玉方"</f>
        <v>符玉方</v>
      </c>
      <c r="D191" s="8" t="str">
        <f t="shared" si="7"/>
        <v>女</v>
      </c>
      <c r="E191" s="8" t="str">
        <f>"460007199211028523"</f>
        <v>460007199211028523</v>
      </c>
      <c r="F191" s="10">
        <v>33</v>
      </c>
      <c r="G191" s="10"/>
    </row>
    <row r="192" spans="1:7" ht="15" customHeight="1">
      <c r="A192" s="8" t="s">
        <v>42</v>
      </c>
      <c r="B192" s="8">
        <v>37</v>
      </c>
      <c r="C192" s="8" t="str">
        <f>"叶梦云"</f>
        <v>叶梦云</v>
      </c>
      <c r="D192" s="8" t="str">
        <f t="shared" si="7"/>
        <v>女</v>
      </c>
      <c r="E192" s="8" t="str">
        <f>"460034199910111528"</f>
        <v>460034199910111528</v>
      </c>
      <c r="F192" s="9">
        <v>33</v>
      </c>
      <c r="G192" s="10"/>
    </row>
    <row r="193" spans="1:7" ht="15" customHeight="1">
      <c r="A193" s="8" t="s">
        <v>60</v>
      </c>
      <c r="B193" s="8">
        <v>1</v>
      </c>
      <c r="C193" s="8" t="str">
        <f>"苏洁"</f>
        <v>苏洁</v>
      </c>
      <c r="D193" s="8" t="str">
        <f t="shared" si="7"/>
        <v>女</v>
      </c>
      <c r="E193" s="8" t="str">
        <f>"460200200003261402"</f>
        <v>460200200003261402</v>
      </c>
      <c r="F193" s="18">
        <v>33</v>
      </c>
      <c r="G193" s="10"/>
    </row>
    <row r="194" spans="1:7" ht="15" customHeight="1">
      <c r="A194" s="8" t="s">
        <v>60</v>
      </c>
      <c r="B194" s="8">
        <v>2</v>
      </c>
      <c r="C194" s="8" t="str">
        <f>"符一妹"</f>
        <v>符一妹</v>
      </c>
      <c r="D194" s="8" t="str">
        <f t="shared" si="7"/>
        <v>女</v>
      </c>
      <c r="E194" s="8" t="str">
        <f>"460034199711305821"</f>
        <v>460034199711305821</v>
      </c>
      <c r="F194" s="13">
        <v>33</v>
      </c>
      <c r="G194" s="10"/>
    </row>
    <row r="195" spans="1:7" ht="15" customHeight="1">
      <c r="A195" s="8" t="s">
        <v>60</v>
      </c>
      <c r="B195" s="8">
        <v>28</v>
      </c>
      <c r="C195" s="8" t="str">
        <f>"符小慧"</f>
        <v>符小慧</v>
      </c>
      <c r="D195" s="8" t="str">
        <f t="shared" si="7"/>
        <v>女</v>
      </c>
      <c r="E195" s="8" t="str">
        <f>"460027199611248520"</f>
        <v>460027199611248520</v>
      </c>
      <c r="F195" s="13">
        <v>33</v>
      </c>
      <c r="G195" s="10"/>
    </row>
    <row r="196" spans="1:7" ht="15" customHeight="1">
      <c r="A196" s="8" t="s">
        <v>18</v>
      </c>
      <c r="B196" s="8">
        <v>4</v>
      </c>
      <c r="C196" s="8" t="str">
        <f>"章妮"</f>
        <v>章妮</v>
      </c>
      <c r="D196" s="8" t="str">
        <f t="shared" si="7"/>
        <v>女</v>
      </c>
      <c r="E196" s="8" t="str">
        <f>"460006200112185223"</f>
        <v>460006200112185223</v>
      </c>
      <c r="F196" s="19">
        <v>33</v>
      </c>
      <c r="G196" s="10"/>
    </row>
    <row r="197" spans="1:7" ht="15" customHeight="1">
      <c r="A197" s="8" t="s">
        <v>18</v>
      </c>
      <c r="B197" s="8">
        <v>10</v>
      </c>
      <c r="C197" s="8" t="str">
        <f>"陈红"</f>
        <v>陈红</v>
      </c>
      <c r="D197" s="8" t="str">
        <f t="shared" si="7"/>
        <v>女</v>
      </c>
      <c r="E197" s="8" t="str">
        <f>"460034199510081526"</f>
        <v>460034199510081526</v>
      </c>
      <c r="F197" s="10">
        <v>33</v>
      </c>
      <c r="G197" s="10"/>
    </row>
    <row r="198" spans="1:7" ht="15" customHeight="1">
      <c r="A198" s="8" t="s">
        <v>18</v>
      </c>
      <c r="B198" s="8">
        <v>13</v>
      </c>
      <c r="C198" s="8" t="str">
        <f>"谢秋琪"</f>
        <v>谢秋琪</v>
      </c>
      <c r="D198" s="8" t="str">
        <f t="shared" si="7"/>
        <v>女</v>
      </c>
      <c r="E198" s="8" t="str">
        <f>"460028199706190049"</f>
        <v>460028199706190049</v>
      </c>
      <c r="F198" s="10">
        <v>33</v>
      </c>
      <c r="G198" s="10"/>
    </row>
    <row r="199" spans="1:7" ht="15" customHeight="1">
      <c r="A199" s="8" t="s">
        <v>18</v>
      </c>
      <c r="B199" s="8">
        <v>22</v>
      </c>
      <c r="C199" s="8" t="str">
        <f>"张景丽"</f>
        <v>张景丽</v>
      </c>
      <c r="D199" s="8" t="str">
        <f t="shared" si="7"/>
        <v>女</v>
      </c>
      <c r="E199" s="8" t="str">
        <f>"460033199910131485"</f>
        <v>460033199910131485</v>
      </c>
      <c r="F199" s="10">
        <v>33</v>
      </c>
      <c r="G199" s="10"/>
    </row>
    <row r="200" spans="1:7" ht="15" customHeight="1">
      <c r="A200" s="8" t="s">
        <v>11</v>
      </c>
      <c r="B200" s="8">
        <v>21</v>
      </c>
      <c r="C200" s="8" t="s">
        <v>111</v>
      </c>
      <c r="D200" s="8" t="s">
        <v>13</v>
      </c>
      <c r="E200" s="34" t="s">
        <v>112</v>
      </c>
      <c r="F200" s="10">
        <v>33</v>
      </c>
      <c r="G200" s="10"/>
    </row>
    <row r="201" spans="1:7" ht="15" customHeight="1">
      <c r="A201" s="8" t="s">
        <v>11</v>
      </c>
      <c r="B201" s="8">
        <v>30</v>
      </c>
      <c r="C201" s="8" t="s">
        <v>113</v>
      </c>
      <c r="D201" s="8" t="s">
        <v>13</v>
      </c>
      <c r="E201" s="34" t="s">
        <v>114</v>
      </c>
      <c r="F201" s="10">
        <v>33</v>
      </c>
      <c r="G201" s="10"/>
    </row>
    <row r="202" spans="1:7" ht="15" customHeight="1">
      <c r="A202" s="8" t="s">
        <v>15</v>
      </c>
      <c r="B202" s="8">
        <v>33</v>
      </c>
      <c r="C202" s="8" t="s">
        <v>115</v>
      </c>
      <c r="D202" s="8" t="s">
        <v>13</v>
      </c>
      <c r="E202" s="34" t="s">
        <v>116</v>
      </c>
      <c r="F202" s="13">
        <v>33</v>
      </c>
      <c r="G202" s="10"/>
    </row>
    <row r="203" spans="1:7" ht="15" customHeight="1">
      <c r="A203" s="8" t="s">
        <v>10</v>
      </c>
      <c r="B203" s="8">
        <v>13</v>
      </c>
      <c r="C203" s="8" t="str">
        <f>"卓春勤"</f>
        <v>卓春勤</v>
      </c>
      <c r="D203" s="8" t="str">
        <f aca="true" t="shared" si="8" ref="D203:D217">"女"</f>
        <v>女</v>
      </c>
      <c r="E203" s="8" t="str">
        <f>"460034198506114124"</f>
        <v>460034198506114124</v>
      </c>
      <c r="F203" s="9">
        <v>32</v>
      </c>
      <c r="G203" s="10"/>
    </row>
    <row r="204" spans="1:7" ht="15" customHeight="1">
      <c r="A204" s="8" t="s">
        <v>10</v>
      </c>
      <c r="B204" s="8">
        <v>23</v>
      </c>
      <c r="C204" s="8" t="str">
        <f>"苏月姊"</f>
        <v>苏月姊</v>
      </c>
      <c r="D204" s="8" t="str">
        <f t="shared" si="8"/>
        <v>女</v>
      </c>
      <c r="E204" s="8" t="str">
        <f>"460003199610187446"</f>
        <v>460003199610187446</v>
      </c>
      <c r="F204" s="9">
        <v>32</v>
      </c>
      <c r="G204" s="10"/>
    </row>
    <row r="205" spans="1:7" ht="15" customHeight="1">
      <c r="A205" s="8" t="s">
        <v>26</v>
      </c>
      <c r="B205" s="8">
        <v>34</v>
      </c>
      <c r="C205" s="8" t="str">
        <f>"万福林"</f>
        <v>万福林</v>
      </c>
      <c r="D205" s="8" t="str">
        <f t="shared" si="8"/>
        <v>女</v>
      </c>
      <c r="E205" s="8" t="str">
        <f>"500101199711164425"</f>
        <v>500101199711164425</v>
      </c>
      <c r="F205" s="10">
        <v>32</v>
      </c>
      <c r="G205" s="10"/>
    </row>
    <row r="206" spans="1:7" ht="15" customHeight="1">
      <c r="A206" s="8" t="s">
        <v>42</v>
      </c>
      <c r="B206" s="8">
        <v>27</v>
      </c>
      <c r="C206" s="8" t="str">
        <f>"王海伦"</f>
        <v>王海伦</v>
      </c>
      <c r="D206" s="8" t="str">
        <f t="shared" si="8"/>
        <v>女</v>
      </c>
      <c r="E206" s="8" t="str">
        <f>"460034199803290022"</f>
        <v>460034199803290022</v>
      </c>
      <c r="F206" s="10">
        <v>32</v>
      </c>
      <c r="G206" s="10"/>
    </row>
    <row r="207" spans="1:7" ht="15" customHeight="1">
      <c r="A207" s="8" t="s">
        <v>33</v>
      </c>
      <c r="B207" s="8">
        <v>7</v>
      </c>
      <c r="C207" s="8" t="str">
        <f>"郑庆窕"</f>
        <v>郑庆窕</v>
      </c>
      <c r="D207" s="8" t="str">
        <f t="shared" si="8"/>
        <v>女</v>
      </c>
      <c r="E207" s="8" t="str">
        <f>"460003199507144229"</f>
        <v>460003199507144229</v>
      </c>
      <c r="F207" s="9">
        <v>32</v>
      </c>
      <c r="G207" s="10"/>
    </row>
    <row r="208" spans="1:8" ht="15" customHeight="1">
      <c r="A208" s="8" t="s">
        <v>33</v>
      </c>
      <c r="B208" s="8">
        <v>24</v>
      </c>
      <c r="C208" s="8" t="str">
        <f>"李凤兰"</f>
        <v>李凤兰</v>
      </c>
      <c r="D208" s="8" t="str">
        <f t="shared" si="8"/>
        <v>女</v>
      </c>
      <c r="E208" s="8" t="str">
        <f>"460003199605262229"</f>
        <v>460003199605262229</v>
      </c>
      <c r="F208" s="9">
        <v>32</v>
      </c>
      <c r="G208" s="10"/>
      <c r="H208" s="15"/>
    </row>
    <row r="209" spans="1:7" ht="15" customHeight="1">
      <c r="A209" s="8" t="s">
        <v>33</v>
      </c>
      <c r="B209" s="8">
        <v>31</v>
      </c>
      <c r="C209" s="8" t="str">
        <f>"揭英瑛"</f>
        <v>揭英瑛</v>
      </c>
      <c r="D209" s="8" t="str">
        <f t="shared" si="8"/>
        <v>女</v>
      </c>
      <c r="E209" s="8" t="str">
        <f>"460001199307100763"</f>
        <v>460001199307100763</v>
      </c>
      <c r="F209" s="10">
        <v>32</v>
      </c>
      <c r="G209" s="10"/>
    </row>
    <row r="210" spans="1:9" ht="15" customHeight="1">
      <c r="A210" s="8" t="s">
        <v>8</v>
      </c>
      <c r="B210" s="8">
        <v>6</v>
      </c>
      <c r="C210" s="8" t="str">
        <f>"黄亚妹"</f>
        <v>黄亚妹</v>
      </c>
      <c r="D210" s="8" t="str">
        <f t="shared" si="8"/>
        <v>女</v>
      </c>
      <c r="E210" s="8" t="str">
        <f>"460034198903072749"</f>
        <v>460034198903072749</v>
      </c>
      <c r="F210" s="10">
        <v>32</v>
      </c>
      <c r="G210" s="10"/>
      <c r="H210" s="15"/>
      <c r="I210" s="15"/>
    </row>
    <row r="211" spans="1:7" ht="15" customHeight="1">
      <c r="A211" s="8" t="s">
        <v>39</v>
      </c>
      <c r="B211" s="8">
        <v>9</v>
      </c>
      <c r="C211" s="8" t="str">
        <f>"蔡莲益"</f>
        <v>蔡莲益</v>
      </c>
      <c r="D211" s="8" t="str">
        <f t="shared" si="8"/>
        <v>女</v>
      </c>
      <c r="E211" s="8" t="str">
        <f>"460003199609296629"</f>
        <v>460003199609296629</v>
      </c>
      <c r="F211" s="10">
        <v>32</v>
      </c>
      <c r="G211" s="10"/>
    </row>
    <row r="212" spans="1:7" ht="15" customHeight="1">
      <c r="A212" s="8" t="s">
        <v>25</v>
      </c>
      <c r="B212" s="8">
        <v>24</v>
      </c>
      <c r="C212" s="8" t="str">
        <f>"王春媚"</f>
        <v>王春媚</v>
      </c>
      <c r="D212" s="8" t="str">
        <f t="shared" si="8"/>
        <v>女</v>
      </c>
      <c r="E212" s="8" t="str">
        <f>"460027199906183728"</f>
        <v>460027199906183728</v>
      </c>
      <c r="F212" s="13">
        <v>32</v>
      </c>
      <c r="G212" s="10"/>
    </row>
    <row r="213" spans="1:7" ht="15" customHeight="1">
      <c r="A213" s="8" t="s">
        <v>60</v>
      </c>
      <c r="B213" s="8">
        <v>5</v>
      </c>
      <c r="C213" s="8" t="str">
        <f>"董珠言"</f>
        <v>董珠言</v>
      </c>
      <c r="D213" s="8" t="str">
        <f t="shared" si="8"/>
        <v>女</v>
      </c>
      <c r="E213" s="8" t="str">
        <f>"46003419930110332X"</f>
        <v>46003419930110332X</v>
      </c>
      <c r="F213" s="13">
        <v>32</v>
      </c>
      <c r="G213" s="10"/>
    </row>
    <row r="214" spans="1:7" ht="15" customHeight="1">
      <c r="A214" s="8" t="s">
        <v>60</v>
      </c>
      <c r="B214" s="8">
        <v>32</v>
      </c>
      <c r="C214" s="8" t="str">
        <f>"邢雪"</f>
        <v>邢雪</v>
      </c>
      <c r="D214" s="8" t="str">
        <f t="shared" si="8"/>
        <v>女</v>
      </c>
      <c r="E214" s="8" t="str">
        <f>"460033199805223265"</f>
        <v>460033199805223265</v>
      </c>
      <c r="F214" s="13">
        <v>32</v>
      </c>
      <c r="G214" s="10"/>
    </row>
    <row r="215" spans="1:7" ht="15" customHeight="1">
      <c r="A215" s="8" t="s">
        <v>60</v>
      </c>
      <c r="B215" s="8">
        <v>34</v>
      </c>
      <c r="C215" s="8" t="str">
        <f>"朱桃枝"</f>
        <v>朱桃枝</v>
      </c>
      <c r="D215" s="8" t="str">
        <f t="shared" si="8"/>
        <v>女</v>
      </c>
      <c r="E215" s="8" t="str">
        <f>"460003199503182842"</f>
        <v>460003199503182842</v>
      </c>
      <c r="F215" s="13">
        <v>32</v>
      </c>
      <c r="G215" s="10"/>
    </row>
    <row r="216" spans="1:8" ht="15" customHeight="1">
      <c r="A216" s="8" t="s">
        <v>60</v>
      </c>
      <c r="B216" s="8">
        <v>39</v>
      </c>
      <c r="C216" s="8" t="str">
        <f>"黄小新"</f>
        <v>黄小新</v>
      </c>
      <c r="D216" s="8" t="str">
        <f t="shared" si="8"/>
        <v>女</v>
      </c>
      <c r="E216" s="8" t="str">
        <f>"46902819981005124X"</f>
        <v>46902819981005124X</v>
      </c>
      <c r="F216" s="13">
        <v>32</v>
      </c>
      <c r="G216" s="10"/>
      <c r="H216" s="17"/>
    </row>
    <row r="217" spans="1:7" ht="15" customHeight="1">
      <c r="A217" s="8" t="s">
        <v>18</v>
      </c>
      <c r="B217" s="8">
        <v>9</v>
      </c>
      <c r="C217" s="8" t="str">
        <f>"杜小妹"</f>
        <v>杜小妹</v>
      </c>
      <c r="D217" s="8" t="str">
        <f t="shared" si="8"/>
        <v>女</v>
      </c>
      <c r="E217" s="8" t="str">
        <f>"460034199802091822"</f>
        <v>460034199802091822</v>
      </c>
      <c r="F217" s="10">
        <v>32</v>
      </c>
      <c r="G217" s="10"/>
    </row>
    <row r="218" spans="1:7" ht="15" customHeight="1">
      <c r="A218" s="8" t="s">
        <v>18</v>
      </c>
      <c r="B218" s="8">
        <v>38</v>
      </c>
      <c r="C218" s="8" t="s">
        <v>117</v>
      </c>
      <c r="D218" s="8" t="s">
        <v>13</v>
      </c>
      <c r="E218" s="34" t="s">
        <v>118</v>
      </c>
      <c r="F218" s="10">
        <v>32</v>
      </c>
      <c r="G218" s="10"/>
    </row>
    <row r="219" spans="1:7" ht="15" customHeight="1">
      <c r="A219" s="8" t="s">
        <v>15</v>
      </c>
      <c r="B219" s="8">
        <v>28</v>
      </c>
      <c r="C219" s="8" t="s">
        <v>119</v>
      </c>
      <c r="D219" s="8" t="s">
        <v>13</v>
      </c>
      <c r="E219" s="34" t="s">
        <v>120</v>
      </c>
      <c r="F219" s="13">
        <v>32</v>
      </c>
      <c r="G219" s="10"/>
    </row>
    <row r="220" spans="1:7" ht="15" customHeight="1">
      <c r="A220" s="8" t="s">
        <v>15</v>
      </c>
      <c r="B220" s="8">
        <v>39</v>
      </c>
      <c r="C220" s="8" t="s">
        <v>121</v>
      </c>
      <c r="D220" s="8" t="s">
        <v>13</v>
      </c>
      <c r="E220" s="34" t="s">
        <v>122</v>
      </c>
      <c r="F220" s="13">
        <v>32</v>
      </c>
      <c r="G220" s="10"/>
    </row>
    <row r="221" spans="1:7" ht="15" customHeight="1">
      <c r="A221" s="8" t="s">
        <v>34</v>
      </c>
      <c r="B221" s="8">
        <v>15</v>
      </c>
      <c r="C221" s="8" t="s">
        <v>123</v>
      </c>
      <c r="D221" s="8" t="s">
        <v>13</v>
      </c>
      <c r="E221" s="34" t="s">
        <v>124</v>
      </c>
      <c r="F221" s="10">
        <v>32</v>
      </c>
      <c r="G221" s="10"/>
    </row>
    <row r="222" spans="1:7" ht="15" customHeight="1">
      <c r="A222" s="8" t="s">
        <v>34</v>
      </c>
      <c r="B222" s="8">
        <v>16</v>
      </c>
      <c r="C222" s="8" t="s">
        <v>125</v>
      </c>
      <c r="D222" s="8" t="s">
        <v>13</v>
      </c>
      <c r="E222" s="14" t="s">
        <v>126</v>
      </c>
      <c r="F222" s="10">
        <v>32</v>
      </c>
      <c r="G222" s="10"/>
    </row>
    <row r="223" spans="1:7" ht="15" customHeight="1">
      <c r="A223" s="8" t="s">
        <v>10</v>
      </c>
      <c r="B223" s="8">
        <v>7</v>
      </c>
      <c r="C223" s="8" t="str">
        <f>"龙丹"</f>
        <v>龙丹</v>
      </c>
      <c r="D223" s="8" t="str">
        <f aca="true" t="shared" si="9" ref="D223:D231">"女"</f>
        <v>女</v>
      </c>
      <c r="E223" s="8" t="str">
        <f>"460034199301070046"</f>
        <v>460034199301070046</v>
      </c>
      <c r="F223" s="9">
        <v>31</v>
      </c>
      <c r="G223" s="10"/>
    </row>
    <row r="224" spans="1:7" ht="15" customHeight="1">
      <c r="A224" s="8" t="s">
        <v>26</v>
      </c>
      <c r="B224" s="8">
        <v>4</v>
      </c>
      <c r="C224" s="8" t="str">
        <f>"吴丽霞"</f>
        <v>吴丽霞</v>
      </c>
      <c r="D224" s="8" t="str">
        <f t="shared" si="9"/>
        <v>女</v>
      </c>
      <c r="E224" s="8" t="str">
        <f>"460034199701253044"</f>
        <v>460034199701253044</v>
      </c>
      <c r="F224" s="10">
        <v>31</v>
      </c>
      <c r="G224" s="10"/>
    </row>
    <row r="225" spans="1:7" ht="15" customHeight="1">
      <c r="A225" s="8" t="s">
        <v>33</v>
      </c>
      <c r="B225" s="8">
        <v>13</v>
      </c>
      <c r="C225" s="8" t="str">
        <f>"王水新"</f>
        <v>王水新</v>
      </c>
      <c r="D225" s="8" t="str">
        <f t="shared" si="9"/>
        <v>女</v>
      </c>
      <c r="E225" s="8" t="str">
        <f>"460034199010150484"</f>
        <v>460034199010150484</v>
      </c>
      <c r="F225" s="9">
        <v>31</v>
      </c>
      <c r="G225" s="10"/>
    </row>
    <row r="226" spans="1:7" ht="15" customHeight="1">
      <c r="A226" s="8" t="s">
        <v>8</v>
      </c>
      <c r="B226" s="8">
        <v>15</v>
      </c>
      <c r="C226" s="8" t="str">
        <f>"李以景"</f>
        <v>李以景</v>
      </c>
      <c r="D226" s="8" t="str">
        <f t="shared" si="9"/>
        <v>女</v>
      </c>
      <c r="E226" s="8" t="str">
        <f>"469027199704084789"</f>
        <v>469027199704084789</v>
      </c>
      <c r="F226" s="10">
        <v>31</v>
      </c>
      <c r="G226" s="10"/>
    </row>
    <row r="227" spans="1:7" ht="15" customHeight="1">
      <c r="A227" s="8" t="s">
        <v>8</v>
      </c>
      <c r="B227" s="8">
        <v>38</v>
      </c>
      <c r="C227" s="8" t="str">
        <f>"林雅颖"</f>
        <v>林雅颖</v>
      </c>
      <c r="D227" s="8" t="str">
        <f t="shared" si="9"/>
        <v>女</v>
      </c>
      <c r="E227" s="8" t="str">
        <f>"460006199908042943"</f>
        <v>460006199908042943</v>
      </c>
      <c r="F227" s="9">
        <v>31</v>
      </c>
      <c r="G227" s="10"/>
    </row>
    <row r="228" spans="1:7" ht="15" customHeight="1">
      <c r="A228" s="8" t="s">
        <v>60</v>
      </c>
      <c r="B228" s="8">
        <v>11</v>
      </c>
      <c r="C228" s="8" t="str">
        <f>"黄宏雪"</f>
        <v>黄宏雪</v>
      </c>
      <c r="D228" s="8" t="str">
        <f t="shared" si="9"/>
        <v>女</v>
      </c>
      <c r="E228" s="8" t="str">
        <f>"46003419961102212X"</f>
        <v>46003419961102212X</v>
      </c>
      <c r="F228" s="13">
        <v>31</v>
      </c>
      <c r="G228" s="10"/>
    </row>
    <row r="229" spans="1:7" ht="15" customHeight="1">
      <c r="A229" s="8" t="s">
        <v>60</v>
      </c>
      <c r="B229" s="8">
        <v>12</v>
      </c>
      <c r="C229" s="8" t="str">
        <f>"林中兰"</f>
        <v>林中兰</v>
      </c>
      <c r="D229" s="8" t="str">
        <f t="shared" si="9"/>
        <v>女</v>
      </c>
      <c r="E229" s="8" t="str">
        <f>"460034199909091822"</f>
        <v>460034199909091822</v>
      </c>
      <c r="F229" s="13">
        <v>31</v>
      </c>
      <c r="G229" s="10"/>
    </row>
    <row r="230" spans="1:7" ht="15" customHeight="1">
      <c r="A230" s="8" t="s">
        <v>60</v>
      </c>
      <c r="B230" s="8">
        <v>25</v>
      </c>
      <c r="C230" s="8" t="str">
        <f>"吴玉翠"</f>
        <v>吴玉翠</v>
      </c>
      <c r="D230" s="8" t="str">
        <f t="shared" si="9"/>
        <v>女</v>
      </c>
      <c r="E230" s="8" t="str">
        <f>"460034200003034720"</f>
        <v>460034200003034720</v>
      </c>
      <c r="F230" s="13">
        <v>31</v>
      </c>
      <c r="G230" s="10"/>
    </row>
    <row r="231" spans="1:7" ht="15" customHeight="1">
      <c r="A231" s="8" t="s">
        <v>18</v>
      </c>
      <c r="B231" s="8">
        <v>12</v>
      </c>
      <c r="C231" s="8" t="str">
        <f>"李沈红"</f>
        <v>李沈红</v>
      </c>
      <c r="D231" s="8" t="str">
        <f t="shared" si="9"/>
        <v>女</v>
      </c>
      <c r="E231" s="8" t="str">
        <f>"460034199505235041"</f>
        <v>460034199505235041</v>
      </c>
      <c r="F231" s="10">
        <v>31</v>
      </c>
      <c r="G231" s="10"/>
    </row>
    <row r="232" spans="1:7" ht="15" customHeight="1">
      <c r="A232" s="8" t="s">
        <v>11</v>
      </c>
      <c r="B232" s="8">
        <v>3</v>
      </c>
      <c r="C232" s="8" t="s">
        <v>127</v>
      </c>
      <c r="D232" s="8" t="s">
        <v>13</v>
      </c>
      <c r="E232" s="34" t="s">
        <v>128</v>
      </c>
      <c r="F232" s="10">
        <v>31</v>
      </c>
      <c r="G232" s="10"/>
    </row>
    <row r="233" spans="1:7" ht="15" customHeight="1">
      <c r="A233" s="8" t="s">
        <v>11</v>
      </c>
      <c r="B233" s="8">
        <v>7</v>
      </c>
      <c r="C233" s="8" t="s">
        <v>129</v>
      </c>
      <c r="D233" s="8" t="s">
        <v>13</v>
      </c>
      <c r="E233" s="14" t="s">
        <v>130</v>
      </c>
      <c r="F233" s="10">
        <v>31</v>
      </c>
      <c r="G233" s="10"/>
    </row>
    <row r="234" spans="1:7" ht="15" customHeight="1">
      <c r="A234" s="8" t="s">
        <v>11</v>
      </c>
      <c r="B234" s="8">
        <v>26</v>
      </c>
      <c r="C234" s="8" t="s">
        <v>131</v>
      </c>
      <c r="D234" s="8" t="s">
        <v>13</v>
      </c>
      <c r="E234" s="34" t="s">
        <v>132</v>
      </c>
      <c r="F234" s="10">
        <v>31</v>
      </c>
      <c r="G234" s="10"/>
    </row>
    <row r="235" spans="1:7" ht="15" customHeight="1">
      <c r="A235" s="8" t="s">
        <v>15</v>
      </c>
      <c r="B235" s="8">
        <v>22</v>
      </c>
      <c r="C235" s="8" t="s">
        <v>133</v>
      </c>
      <c r="D235" s="8" t="s">
        <v>13</v>
      </c>
      <c r="E235" s="14" t="s">
        <v>134</v>
      </c>
      <c r="F235" s="13">
        <v>31</v>
      </c>
      <c r="G235" s="10"/>
    </row>
    <row r="236" spans="1:7" ht="15" customHeight="1">
      <c r="A236" s="8" t="s">
        <v>15</v>
      </c>
      <c r="B236" s="8">
        <v>32</v>
      </c>
      <c r="C236" s="8" t="s">
        <v>135</v>
      </c>
      <c r="D236" s="8" t="s">
        <v>13</v>
      </c>
      <c r="E236" s="34" t="s">
        <v>136</v>
      </c>
      <c r="F236" s="13">
        <v>31</v>
      </c>
      <c r="G236" s="10"/>
    </row>
    <row r="237" spans="1:8" ht="15" customHeight="1">
      <c r="A237" s="8" t="s">
        <v>26</v>
      </c>
      <c r="B237" s="8">
        <v>38</v>
      </c>
      <c r="C237" s="8" t="str">
        <f>"朱贤桂"</f>
        <v>朱贤桂</v>
      </c>
      <c r="D237" s="8" t="str">
        <f aca="true" t="shared" si="10" ref="D237:D247">"女"</f>
        <v>女</v>
      </c>
      <c r="E237" s="8" t="str">
        <f>"460003199211042442"</f>
        <v>460003199211042442</v>
      </c>
      <c r="F237" s="10">
        <v>30</v>
      </c>
      <c r="G237" s="10"/>
      <c r="H237" s="15"/>
    </row>
    <row r="238" spans="1:7" ht="15" customHeight="1">
      <c r="A238" s="8" t="s">
        <v>42</v>
      </c>
      <c r="B238" s="8">
        <v>9</v>
      </c>
      <c r="C238" s="8" t="str">
        <f>"符初圈"</f>
        <v>符初圈</v>
      </c>
      <c r="D238" s="8" t="str">
        <f t="shared" si="10"/>
        <v>女</v>
      </c>
      <c r="E238" s="8" t="str">
        <f>"460007199005064988"</f>
        <v>460007199005064988</v>
      </c>
      <c r="F238" s="10">
        <v>30</v>
      </c>
      <c r="G238" s="10"/>
    </row>
    <row r="239" spans="1:8" ht="15" customHeight="1">
      <c r="A239" s="8" t="s">
        <v>33</v>
      </c>
      <c r="B239" s="8">
        <v>25</v>
      </c>
      <c r="C239" s="8" t="str">
        <f>"陈灵敏"</f>
        <v>陈灵敏</v>
      </c>
      <c r="D239" s="8" t="str">
        <f t="shared" si="10"/>
        <v>女</v>
      </c>
      <c r="E239" s="8" t="str">
        <f>"460034199204150941"</f>
        <v>460034199204150941</v>
      </c>
      <c r="F239" s="9">
        <v>30</v>
      </c>
      <c r="G239" s="10"/>
      <c r="H239" s="17"/>
    </row>
    <row r="240" spans="1:7" ht="15" customHeight="1">
      <c r="A240" s="8" t="s">
        <v>33</v>
      </c>
      <c r="B240" s="8">
        <v>35</v>
      </c>
      <c r="C240" s="8" t="str">
        <f>"黄连弟"</f>
        <v>黄连弟</v>
      </c>
      <c r="D240" s="8" t="str">
        <f t="shared" si="10"/>
        <v>女</v>
      </c>
      <c r="E240" s="8" t="str">
        <f>"460034199311080467"</f>
        <v>460034199311080467</v>
      </c>
      <c r="F240" s="10">
        <v>30</v>
      </c>
      <c r="G240" s="10"/>
    </row>
    <row r="241" spans="1:7" ht="15" customHeight="1">
      <c r="A241" s="8" t="s">
        <v>8</v>
      </c>
      <c r="B241" s="8">
        <v>35</v>
      </c>
      <c r="C241" s="8" t="str">
        <f>"陈木姣"</f>
        <v>陈木姣</v>
      </c>
      <c r="D241" s="8" t="str">
        <f t="shared" si="10"/>
        <v>女</v>
      </c>
      <c r="E241" s="8" t="str">
        <f>"460003199809137622"</f>
        <v>460003199809137622</v>
      </c>
      <c r="F241" s="9">
        <v>30</v>
      </c>
      <c r="G241" s="10"/>
    </row>
    <row r="242" spans="1:7" ht="15" customHeight="1">
      <c r="A242" s="8" t="s">
        <v>25</v>
      </c>
      <c r="B242" s="8">
        <v>7</v>
      </c>
      <c r="C242" s="8" t="str">
        <f>"钟亚娜"</f>
        <v>钟亚娜</v>
      </c>
      <c r="D242" s="8" t="str">
        <f t="shared" si="10"/>
        <v>女</v>
      </c>
      <c r="E242" s="8" t="str">
        <f>"469028199803185020"</f>
        <v>469028199803185020</v>
      </c>
      <c r="F242" s="13">
        <v>30</v>
      </c>
      <c r="G242" s="10"/>
    </row>
    <row r="243" spans="1:7" ht="15" customHeight="1">
      <c r="A243" s="8" t="s">
        <v>25</v>
      </c>
      <c r="B243" s="8">
        <v>14</v>
      </c>
      <c r="C243" s="8" t="str">
        <f>"许琼菊"</f>
        <v>许琼菊</v>
      </c>
      <c r="D243" s="8" t="str">
        <f t="shared" si="10"/>
        <v>女</v>
      </c>
      <c r="E243" s="8" t="str">
        <f>"460003200006102229"</f>
        <v>460003200006102229</v>
      </c>
      <c r="F243" s="13">
        <v>30</v>
      </c>
      <c r="G243" s="10"/>
    </row>
    <row r="244" spans="1:7" ht="15" customHeight="1">
      <c r="A244" s="8" t="s">
        <v>25</v>
      </c>
      <c r="B244" s="8">
        <v>19</v>
      </c>
      <c r="C244" s="8" t="str">
        <f>"胡雪艳"</f>
        <v>胡雪艳</v>
      </c>
      <c r="D244" s="8" t="str">
        <f t="shared" si="10"/>
        <v>女</v>
      </c>
      <c r="E244" s="8" t="str">
        <f>"46003519950215252X"</f>
        <v>46003519950215252X</v>
      </c>
      <c r="F244" s="13">
        <v>30</v>
      </c>
      <c r="G244" s="10"/>
    </row>
    <row r="245" spans="1:8" ht="15" customHeight="1">
      <c r="A245" s="8" t="s">
        <v>25</v>
      </c>
      <c r="B245" s="8">
        <v>25</v>
      </c>
      <c r="C245" s="8" t="str">
        <f>"龙亚霞"</f>
        <v>龙亚霞</v>
      </c>
      <c r="D245" s="8" t="str">
        <f t="shared" si="10"/>
        <v>女</v>
      </c>
      <c r="E245" s="8" t="str">
        <f>"460034199701183023"</f>
        <v>460034199701183023</v>
      </c>
      <c r="F245" s="23">
        <v>30</v>
      </c>
      <c r="G245" s="10"/>
      <c r="H245" s="15"/>
    </row>
    <row r="246" spans="1:7" ht="15" customHeight="1">
      <c r="A246" s="8" t="s">
        <v>25</v>
      </c>
      <c r="B246" s="8">
        <v>38</v>
      </c>
      <c r="C246" s="8" t="str">
        <f>"曾紫艳"</f>
        <v>曾紫艳</v>
      </c>
      <c r="D246" s="8" t="str">
        <f t="shared" si="10"/>
        <v>女</v>
      </c>
      <c r="E246" s="8" t="str">
        <f>"460034199806215829"</f>
        <v>460034199806215829</v>
      </c>
      <c r="F246" s="23">
        <v>30</v>
      </c>
      <c r="G246" s="10"/>
    </row>
    <row r="247" spans="1:7" ht="15" customHeight="1">
      <c r="A247" s="8" t="s">
        <v>60</v>
      </c>
      <c r="B247" s="8">
        <v>29</v>
      </c>
      <c r="C247" s="8" t="str">
        <f>"吕幻妮"</f>
        <v>吕幻妮</v>
      </c>
      <c r="D247" s="8" t="str">
        <f t="shared" si="10"/>
        <v>女</v>
      </c>
      <c r="E247" s="8" t="str">
        <f>"460200199905013349"</f>
        <v>460200199905013349</v>
      </c>
      <c r="F247" s="23">
        <v>30</v>
      </c>
      <c r="G247" s="10"/>
    </row>
    <row r="248" spans="1:7" ht="15" customHeight="1">
      <c r="A248" s="8" t="s">
        <v>11</v>
      </c>
      <c r="B248" s="8">
        <v>33</v>
      </c>
      <c r="C248" s="8" t="s">
        <v>137</v>
      </c>
      <c r="D248" s="8" t="s">
        <v>13</v>
      </c>
      <c r="E248" s="34" t="s">
        <v>138</v>
      </c>
      <c r="F248" s="24">
        <v>30</v>
      </c>
      <c r="G248" s="10"/>
    </row>
    <row r="249" spans="1:7" ht="15" customHeight="1">
      <c r="A249" s="8" t="s">
        <v>15</v>
      </c>
      <c r="B249" s="8">
        <v>16</v>
      </c>
      <c r="C249" s="8" t="s">
        <v>139</v>
      </c>
      <c r="D249" s="8" t="s">
        <v>13</v>
      </c>
      <c r="E249" s="34" t="s">
        <v>140</v>
      </c>
      <c r="F249" s="23">
        <v>30</v>
      </c>
      <c r="G249" s="10"/>
    </row>
    <row r="250" spans="1:7" ht="15" customHeight="1">
      <c r="A250" s="8" t="s">
        <v>15</v>
      </c>
      <c r="B250" s="8">
        <v>23</v>
      </c>
      <c r="C250" s="8" t="s">
        <v>141</v>
      </c>
      <c r="D250" s="8" t="s">
        <v>13</v>
      </c>
      <c r="E250" s="34" t="s">
        <v>142</v>
      </c>
      <c r="F250" s="23">
        <v>30</v>
      </c>
      <c r="G250" s="10"/>
    </row>
    <row r="251" spans="1:7" ht="15" customHeight="1">
      <c r="A251" s="8" t="s">
        <v>15</v>
      </c>
      <c r="B251" s="8">
        <v>40</v>
      </c>
      <c r="C251" s="8" t="s">
        <v>143</v>
      </c>
      <c r="D251" s="8" t="s">
        <v>13</v>
      </c>
      <c r="E251" s="34" t="s">
        <v>144</v>
      </c>
      <c r="F251" s="23">
        <v>30</v>
      </c>
      <c r="G251" s="10"/>
    </row>
    <row r="252" spans="1:7" ht="15" customHeight="1">
      <c r="A252" s="8" t="s">
        <v>34</v>
      </c>
      <c r="B252" s="8">
        <v>5</v>
      </c>
      <c r="C252" s="8" t="s">
        <v>145</v>
      </c>
      <c r="D252" s="8" t="s">
        <v>13</v>
      </c>
      <c r="E252" s="34" t="s">
        <v>146</v>
      </c>
      <c r="F252" s="24">
        <v>30</v>
      </c>
      <c r="G252" s="10"/>
    </row>
    <row r="253" spans="1:7" ht="15" customHeight="1">
      <c r="A253" s="8" t="s">
        <v>10</v>
      </c>
      <c r="B253" s="8">
        <v>3</v>
      </c>
      <c r="C253" s="8" t="str">
        <f>"张涵"</f>
        <v>张涵</v>
      </c>
      <c r="D253" s="8" t="str">
        <f aca="true" t="shared" si="11" ref="D253:D260">"女"</f>
        <v>女</v>
      </c>
      <c r="E253" s="8" t="str">
        <f>"230104199406234021"</f>
        <v>230104199406234021</v>
      </c>
      <c r="F253" s="24">
        <v>29</v>
      </c>
      <c r="G253" s="10"/>
    </row>
    <row r="254" spans="1:7" ht="15" customHeight="1">
      <c r="A254" s="8" t="s">
        <v>10</v>
      </c>
      <c r="B254" s="8">
        <v>14</v>
      </c>
      <c r="C254" s="8" t="str">
        <f>"黄秋丙"</f>
        <v>黄秋丙</v>
      </c>
      <c r="D254" s="8" t="str">
        <f t="shared" si="11"/>
        <v>女</v>
      </c>
      <c r="E254" s="8" t="str">
        <f>"460001198303271026"</f>
        <v>460001198303271026</v>
      </c>
      <c r="F254" s="25">
        <v>29</v>
      </c>
      <c r="G254" s="10"/>
    </row>
    <row r="255" spans="1:7" ht="15" customHeight="1">
      <c r="A255" s="8" t="s">
        <v>42</v>
      </c>
      <c r="B255" s="8">
        <v>1</v>
      </c>
      <c r="C255" s="8" t="str">
        <f>"王金萍"</f>
        <v>王金萍</v>
      </c>
      <c r="D255" s="8" t="str">
        <f t="shared" si="11"/>
        <v>女</v>
      </c>
      <c r="E255" s="8" t="str">
        <f>"460026200001220327"</f>
        <v>460026200001220327</v>
      </c>
      <c r="F255" s="10">
        <v>29</v>
      </c>
      <c r="G255" s="10"/>
    </row>
    <row r="256" spans="1:7" ht="15" customHeight="1">
      <c r="A256" s="8" t="s">
        <v>33</v>
      </c>
      <c r="B256" s="8">
        <v>14</v>
      </c>
      <c r="C256" s="8" t="str">
        <f>"吴素华"</f>
        <v>吴素华</v>
      </c>
      <c r="D256" s="8" t="str">
        <f t="shared" si="11"/>
        <v>女</v>
      </c>
      <c r="E256" s="8" t="str">
        <f>"460034199603155045"</f>
        <v>460034199603155045</v>
      </c>
      <c r="F256" s="25">
        <v>29</v>
      </c>
      <c r="G256" s="10"/>
    </row>
    <row r="257" spans="1:7" ht="15" customHeight="1">
      <c r="A257" s="8" t="s">
        <v>8</v>
      </c>
      <c r="B257" s="8">
        <v>27</v>
      </c>
      <c r="C257" s="8" t="str">
        <f>"羊彩丽"</f>
        <v>羊彩丽</v>
      </c>
      <c r="D257" s="8" t="str">
        <f t="shared" si="11"/>
        <v>女</v>
      </c>
      <c r="E257" s="8" t="str">
        <f>"460300199612180026"</f>
        <v>460300199612180026</v>
      </c>
      <c r="F257" s="25">
        <v>29</v>
      </c>
      <c r="G257" s="10"/>
    </row>
    <row r="258" spans="1:9" ht="15" customHeight="1">
      <c r="A258" s="8" t="s">
        <v>60</v>
      </c>
      <c r="B258" s="8">
        <v>24</v>
      </c>
      <c r="C258" s="8" t="str">
        <f>"郑瑶瑶"</f>
        <v>郑瑶瑶</v>
      </c>
      <c r="D258" s="8" t="str">
        <f t="shared" si="11"/>
        <v>女</v>
      </c>
      <c r="E258" s="8" t="str">
        <f>"460034200007155028"</f>
        <v>460034200007155028</v>
      </c>
      <c r="F258" s="23">
        <v>29</v>
      </c>
      <c r="G258" s="10"/>
      <c r="H258" s="17"/>
      <c r="I258" s="17"/>
    </row>
    <row r="259" spans="1:7" ht="15" customHeight="1">
      <c r="A259" s="8" t="s">
        <v>18</v>
      </c>
      <c r="B259" s="8">
        <v>16</v>
      </c>
      <c r="C259" s="8" t="str">
        <f>"陈长菊"</f>
        <v>陈长菊</v>
      </c>
      <c r="D259" s="8" t="str">
        <f t="shared" si="11"/>
        <v>女</v>
      </c>
      <c r="E259" s="8" t="str">
        <f>"460003199908213029"</f>
        <v>460003199908213029</v>
      </c>
      <c r="F259" s="24">
        <v>29</v>
      </c>
      <c r="G259" s="10"/>
    </row>
    <row r="260" spans="1:7" ht="15" customHeight="1">
      <c r="A260" s="8" t="s">
        <v>18</v>
      </c>
      <c r="B260" s="8">
        <v>17</v>
      </c>
      <c r="C260" s="8" t="str">
        <f>"吴浓浓"</f>
        <v>吴浓浓</v>
      </c>
      <c r="D260" s="8" t="str">
        <f t="shared" si="11"/>
        <v>女</v>
      </c>
      <c r="E260" s="8" t="str">
        <f>"460034199902084726"</f>
        <v>460034199902084726</v>
      </c>
      <c r="F260" s="24">
        <v>29</v>
      </c>
      <c r="G260" s="10"/>
    </row>
    <row r="261" spans="1:7" ht="15" customHeight="1">
      <c r="A261" s="8" t="s">
        <v>11</v>
      </c>
      <c r="B261" s="8">
        <v>1</v>
      </c>
      <c r="C261" s="8" t="s">
        <v>147</v>
      </c>
      <c r="D261" s="8" t="s">
        <v>13</v>
      </c>
      <c r="E261" s="34" t="s">
        <v>148</v>
      </c>
      <c r="F261" s="24">
        <v>29</v>
      </c>
      <c r="G261" s="10"/>
    </row>
    <row r="262" spans="1:7" ht="15" customHeight="1">
      <c r="A262" s="8" t="s">
        <v>15</v>
      </c>
      <c r="B262" s="8">
        <v>11</v>
      </c>
      <c r="C262" s="8" t="s">
        <v>149</v>
      </c>
      <c r="D262" s="8" t="s">
        <v>13</v>
      </c>
      <c r="E262" s="34" t="s">
        <v>150</v>
      </c>
      <c r="F262" s="23">
        <v>29</v>
      </c>
      <c r="G262" s="10"/>
    </row>
    <row r="263" spans="1:7" ht="15" customHeight="1">
      <c r="A263" s="8" t="s">
        <v>15</v>
      </c>
      <c r="B263" s="8">
        <v>27</v>
      </c>
      <c r="C263" s="8" t="s">
        <v>151</v>
      </c>
      <c r="D263" s="8" t="s">
        <v>13</v>
      </c>
      <c r="E263" s="14" t="s">
        <v>152</v>
      </c>
      <c r="F263" s="23">
        <v>29</v>
      </c>
      <c r="G263" s="10"/>
    </row>
    <row r="264" spans="1:7" ht="15" customHeight="1">
      <c r="A264" s="8" t="s">
        <v>15</v>
      </c>
      <c r="B264" s="8">
        <v>34</v>
      </c>
      <c r="C264" s="8" t="s">
        <v>153</v>
      </c>
      <c r="D264" s="8" t="s">
        <v>13</v>
      </c>
      <c r="E264" s="34" t="s">
        <v>154</v>
      </c>
      <c r="F264" s="13">
        <v>29</v>
      </c>
      <c r="G264" s="10"/>
    </row>
    <row r="265" spans="1:7" ht="15" customHeight="1">
      <c r="A265" s="8" t="s">
        <v>34</v>
      </c>
      <c r="B265" s="8">
        <v>14</v>
      </c>
      <c r="C265" s="8" t="s">
        <v>155</v>
      </c>
      <c r="D265" s="8" t="s">
        <v>13</v>
      </c>
      <c r="E265" s="34" t="s">
        <v>156</v>
      </c>
      <c r="F265" s="24">
        <v>29</v>
      </c>
      <c r="G265" s="10"/>
    </row>
    <row r="266" spans="1:7" ht="15" customHeight="1">
      <c r="A266" s="8" t="s">
        <v>34</v>
      </c>
      <c r="B266" s="8">
        <v>22</v>
      </c>
      <c r="C266" s="8" t="s">
        <v>157</v>
      </c>
      <c r="D266" s="8" t="s">
        <v>13</v>
      </c>
      <c r="E266" s="14" t="s">
        <v>158</v>
      </c>
      <c r="F266" s="10">
        <v>29</v>
      </c>
      <c r="G266" s="10"/>
    </row>
    <row r="267" spans="1:7" ht="15" customHeight="1">
      <c r="A267" s="8" t="s">
        <v>42</v>
      </c>
      <c r="B267" s="8">
        <v>5</v>
      </c>
      <c r="C267" s="8" t="str">
        <f>"杨小坤"</f>
        <v>杨小坤</v>
      </c>
      <c r="D267" s="8" t="str">
        <f aca="true" t="shared" si="12" ref="D267:D278">"女"</f>
        <v>女</v>
      </c>
      <c r="E267" s="8" t="str">
        <f>"460034199602250446"</f>
        <v>460034199602250446</v>
      </c>
      <c r="F267" s="24">
        <v>28</v>
      </c>
      <c r="G267" s="10"/>
    </row>
    <row r="268" spans="1:8" ht="15" customHeight="1">
      <c r="A268" s="8" t="s">
        <v>42</v>
      </c>
      <c r="B268" s="8">
        <v>13</v>
      </c>
      <c r="C268" s="8" t="str">
        <f>"黄飘飘"</f>
        <v>黄飘飘</v>
      </c>
      <c r="D268" s="8" t="str">
        <f t="shared" si="12"/>
        <v>女</v>
      </c>
      <c r="E268" s="8" t="str">
        <f>"460034199209031220"</f>
        <v>460034199209031220</v>
      </c>
      <c r="F268" s="24">
        <v>28</v>
      </c>
      <c r="G268" s="10"/>
      <c r="H268" s="15"/>
    </row>
    <row r="269" spans="1:7" ht="15" customHeight="1">
      <c r="A269" s="8" t="s">
        <v>33</v>
      </c>
      <c r="B269" s="8">
        <v>18</v>
      </c>
      <c r="C269" s="8" t="str">
        <f>"陈红雨"</f>
        <v>陈红雨</v>
      </c>
      <c r="D269" s="8" t="str">
        <f t="shared" si="12"/>
        <v>女</v>
      </c>
      <c r="E269" s="8" t="str">
        <f>"460034199706100485"</f>
        <v>460034199706100485</v>
      </c>
      <c r="F269" s="25">
        <v>28</v>
      </c>
      <c r="G269" s="10"/>
    </row>
    <row r="270" spans="1:7" ht="15" customHeight="1">
      <c r="A270" s="8" t="s">
        <v>8</v>
      </c>
      <c r="B270" s="8">
        <v>12</v>
      </c>
      <c r="C270" s="8" t="str">
        <f>"陈丽洁"</f>
        <v>陈丽洁</v>
      </c>
      <c r="D270" s="8" t="str">
        <f t="shared" si="12"/>
        <v>女</v>
      </c>
      <c r="E270" s="8" t="str">
        <f>"460033199710044483"</f>
        <v>460033199710044483</v>
      </c>
      <c r="F270" s="10">
        <v>28</v>
      </c>
      <c r="G270" s="10"/>
    </row>
    <row r="271" spans="1:7" ht="15" customHeight="1">
      <c r="A271" s="8" t="s">
        <v>39</v>
      </c>
      <c r="B271" s="8">
        <v>4</v>
      </c>
      <c r="C271" s="8" t="str">
        <f>"林瑶"</f>
        <v>林瑶</v>
      </c>
      <c r="D271" s="8" t="str">
        <f t="shared" si="12"/>
        <v>女</v>
      </c>
      <c r="E271" s="8" t="str">
        <f>"460033199806273600"</f>
        <v>460033199806273600</v>
      </c>
      <c r="F271" s="24">
        <v>28</v>
      </c>
      <c r="G271" s="10"/>
    </row>
    <row r="272" spans="1:8" ht="15" customHeight="1">
      <c r="A272" s="8" t="s">
        <v>39</v>
      </c>
      <c r="B272" s="8">
        <v>15</v>
      </c>
      <c r="C272" s="8" t="str">
        <f>"邢增纯"</f>
        <v>邢增纯</v>
      </c>
      <c r="D272" s="8" t="str">
        <f t="shared" si="12"/>
        <v>女</v>
      </c>
      <c r="E272" s="8" t="str">
        <f>"460033199806014481"</f>
        <v>460033199806014481</v>
      </c>
      <c r="F272" s="25">
        <v>28</v>
      </c>
      <c r="G272" s="10"/>
      <c r="H272" s="15"/>
    </row>
    <row r="273" spans="1:7" ht="15" customHeight="1">
      <c r="A273" s="8" t="s">
        <v>39</v>
      </c>
      <c r="B273" s="8">
        <v>21</v>
      </c>
      <c r="C273" s="8" t="str">
        <f>"杨月"</f>
        <v>杨月</v>
      </c>
      <c r="D273" s="8" t="str">
        <f t="shared" si="12"/>
        <v>女</v>
      </c>
      <c r="E273" s="8" t="str">
        <f>"460033199811253882"</f>
        <v>460033199811253882</v>
      </c>
      <c r="F273" s="9">
        <v>28</v>
      </c>
      <c r="G273" s="10"/>
    </row>
    <row r="274" spans="1:7" ht="15" customHeight="1">
      <c r="A274" s="8" t="s">
        <v>25</v>
      </c>
      <c r="B274" s="8">
        <v>9</v>
      </c>
      <c r="C274" s="8" t="str">
        <f>"罗青青"</f>
        <v>罗青青</v>
      </c>
      <c r="D274" s="8" t="str">
        <f t="shared" si="12"/>
        <v>女</v>
      </c>
      <c r="E274" s="8" t="str">
        <f>"460006199504204029"</f>
        <v>460006199504204029</v>
      </c>
      <c r="F274" s="23">
        <v>28</v>
      </c>
      <c r="G274" s="10"/>
    </row>
    <row r="275" spans="1:7" ht="15" customHeight="1">
      <c r="A275" s="8" t="s">
        <v>25</v>
      </c>
      <c r="B275" s="8">
        <v>29</v>
      </c>
      <c r="C275" s="8" t="str">
        <f>"李寒"</f>
        <v>李寒</v>
      </c>
      <c r="D275" s="8" t="str">
        <f t="shared" si="12"/>
        <v>女</v>
      </c>
      <c r="E275" s="8" t="str">
        <f>"46003419910413002X"</f>
        <v>46003419910413002X</v>
      </c>
      <c r="F275" s="23">
        <v>28</v>
      </c>
      <c r="G275" s="10"/>
    </row>
    <row r="276" spans="1:7" ht="15" customHeight="1">
      <c r="A276" s="8" t="s">
        <v>25</v>
      </c>
      <c r="B276" s="8">
        <v>33</v>
      </c>
      <c r="C276" s="8" t="str">
        <f>"吴秀秀"</f>
        <v>吴秀秀</v>
      </c>
      <c r="D276" s="8" t="str">
        <f t="shared" si="12"/>
        <v>女</v>
      </c>
      <c r="E276" s="8" t="str">
        <f>"460003199806235665"</f>
        <v>460003199806235665</v>
      </c>
      <c r="F276" s="23">
        <v>28</v>
      </c>
      <c r="G276" s="10"/>
    </row>
    <row r="277" spans="1:7" ht="15" customHeight="1">
      <c r="A277" s="8" t="s">
        <v>60</v>
      </c>
      <c r="B277" s="8">
        <v>9</v>
      </c>
      <c r="C277" s="8" t="str">
        <f>"吴亚妹"</f>
        <v>吴亚妹</v>
      </c>
      <c r="D277" s="8" t="str">
        <f t="shared" si="12"/>
        <v>女</v>
      </c>
      <c r="E277" s="8" t="str">
        <f>"460034199810175022"</f>
        <v>460034199810175022</v>
      </c>
      <c r="F277" s="23">
        <v>28</v>
      </c>
      <c r="G277" s="10"/>
    </row>
    <row r="278" spans="1:7" ht="15" customHeight="1">
      <c r="A278" s="8" t="s">
        <v>18</v>
      </c>
      <c r="B278" s="8">
        <v>23</v>
      </c>
      <c r="C278" s="8" t="str">
        <f>"许小翠"</f>
        <v>许小翠</v>
      </c>
      <c r="D278" s="8" t="str">
        <f t="shared" si="12"/>
        <v>女</v>
      </c>
      <c r="E278" s="8" t="str">
        <f>"460006200008170427"</f>
        <v>460006200008170427</v>
      </c>
      <c r="F278" s="24">
        <v>28</v>
      </c>
      <c r="G278" s="10"/>
    </row>
    <row r="279" spans="1:7" ht="15" customHeight="1">
      <c r="A279" s="8" t="s">
        <v>11</v>
      </c>
      <c r="B279" s="8">
        <v>16</v>
      </c>
      <c r="C279" s="8" t="s">
        <v>159</v>
      </c>
      <c r="D279" s="8" t="s">
        <v>13</v>
      </c>
      <c r="E279" s="34" t="s">
        <v>160</v>
      </c>
      <c r="F279" s="10">
        <v>28</v>
      </c>
      <c r="G279" s="10"/>
    </row>
    <row r="280" spans="1:7" ht="15" customHeight="1">
      <c r="A280" s="8" t="s">
        <v>15</v>
      </c>
      <c r="B280" s="8">
        <v>31</v>
      </c>
      <c r="C280" s="8" t="s">
        <v>161</v>
      </c>
      <c r="D280" s="8" t="s">
        <v>13</v>
      </c>
      <c r="E280" s="34" t="s">
        <v>162</v>
      </c>
      <c r="F280" s="23">
        <v>28</v>
      </c>
      <c r="G280" s="10"/>
    </row>
    <row r="281" spans="1:7" ht="15" customHeight="1">
      <c r="A281" s="8" t="s">
        <v>34</v>
      </c>
      <c r="B281" s="8">
        <v>1</v>
      </c>
      <c r="C281" s="8" t="s">
        <v>163</v>
      </c>
      <c r="D281" s="8" t="s">
        <v>13</v>
      </c>
      <c r="E281" s="34" t="s">
        <v>164</v>
      </c>
      <c r="F281" s="24">
        <v>28</v>
      </c>
      <c r="G281" s="10"/>
    </row>
    <row r="282" spans="1:7" ht="15" customHeight="1">
      <c r="A282" s="8" t="s">
        <v>26</v>
      </c>
      <c r="B282" s="8">
        <v>5</v>
      </c>
      <c r="C282" s="8" t="str">
        <f>"胡卡美"</f>
        <v>胡卡美</v>
      </c>
      <c r="D282" s="8" t="str">
        <f>"女"</f>
        <v>女</v>
      </c>
      <c r="E282" s="8" t="str">
        <f>"460034199203084444"</f>
        <v>460034199203084444</v>
      </c>
      <c r="F282" s="10">
        <v>27</v>
      </c>
      <c r="G282" s="10"/>
    </row>
    <row r="283" spans="1:7" ht="15" customHeight="1">
      <c r="A283" s="8" t="s">
        <v>26</v>
      </c>
      <c r="B283" s="8">
        <v>11</v>
      </c>
      <c r="C283" s="8" t="str">
        <f>"杜清婷"</f>
        <v>杜清婷</v>
      </c>
      <c r="D283" s="8" t="str">
        <f>"女"</f>
        <v>女</v>
      </c>
      <c r="E283" s="8" t="str">
        <f>"460033199511103241"</f>
        <v>460033199511103241</v>
      </c>
      <c r="F283" s="9">
        <v>27</v>
      </c>
      <c r="G283" s="10"/>
    </row>
    <row r="284" spans="1:7" ht="15" customHeight="1">
      <c r="A284" s="8" t="s">
        <v>42</v>
      </c>
      <c r="B284" s="8">
        <v>20</v>
      </c>
      <c r="C284" s="8" t="str">
        <f>"李友满"</f>
        <v>李友满</v>
      </c>
      <c r="D284" s="8" t="str">
        <f>"女"</f>
        <v>女</v>
      </c>
      <c r="E284" s="8" t="str">
        <f>"460034199204161827"</f>
        <v>460034199204161827</v>
      </c>
      <c r="F284" s="24">
        <v>27</v>
      </c>
      <c r="G284" s="10"/>
    </row>
    <row r="285" spans="1:7" ht="15" customHeight="1">
      <c r="A285" s="8" t="s">
        <v>8</v>
      </c>
      <c r="B285" s="8">
        <v>10</v>
      </c>
      <c r="C285" s="8" t="str">
        <f>"关烧"</f>
        <v>关烧</v>
      </c>
      <c r="D285" s="8" t="str">
        <f>"女"</f>
        <v>女</v>
      </c>
      <c r="E285" s="8" t="str">
        <f>"460033199410254489"</f>
        <v>460033199410254489</v>
      </c>
      <c r="F285" s="24">
        <v>27</v>
      </c>
      <c r="G285" s="10"/>
    </row>
    <row r="286" spans="1:8" ht="15" customHeight="1">
      <c r="A286" s="8" t="s">
        <v>8</v>
      </c>
      <c r="B286" s="8">
        <v>29</v>
      </c>
      <c r="C286" s="8" t="str">
        <f>"林晓婷"</f>
        <v>林晓婷</v>
      </c>
      <c r="D286" s="8" t="str">
        <f>"女"</f>
        <v>女</v>
      </c>
      <c r="E286" s="8" t="str">
        <f>"460034199702070928"</f>
        <v>460034199702070928</v>
      </c>
      <c r="F286" s="25">
        <v>27</v>
      </c>
      <c r="G286" s="10"/>
      <c r="H286" s="15"/>
    </row>
    <row r="287" spans="1:8" ht="15" customHeight="1">
      <c r="A287" s="8" t="s">
        <v>18</v>
      </c>
      <c r="B287" s="8">
        <v>36</v>
      </c>
      <c r="C287" s="8" t="s">
        <v>165</v>
      </c>
      <c r="D287" s="8" t="s">
        <v>13</v>
      </c>
      <c r="E287" s="14" t="s">
        <v>166</v>
      </c>
      <c r="F287" s="10">
        <v>27</v>
      </c>
      <c r="G287" s="10"/>
      <c r="H287" s="15"/>
    </row>
    <row r="288" spans="1:7" ht="15" customHeight="1">
      <c r="A288" s="8" t="s">
        <v>11</v>
      </c>
      <c r="B288" s="8">
        <v>23</v>
      </c>
      <c r="C288" s="8" t="s">
        <v>167</v>
      </c>
      <c r="D288" s="8" t="s">
        <v>13</v>
      </c>
      <c r="E288" s="34" t="s">
        <v>168</v>
      </c>
      <c r="F288" s="24">
        <v>27</v>
      </c>
      <c r="G288" s="10"/>
    </row>
    <row r="289" spans="1:7" ht="15" customHeight="1">
      <c r="A289" s="8" t="s">
        <v>15</v>
      </c>
      <c r="B289" s="8">
        <v>9</v>
      </c>
      <c r="C289" s="8" t="s">
        <v>169</v>
      </c>
      <c r="D289" s="8" t="s">
        <v>13</v>
      </c>
      <c r="E289" s="34" t="s">
        <v>170</v>
      </c>
      <c r="F289" s="23">
        <v>27</v>
      </c>
      <c r="G289" s="10"/>
    </row>
    <row r="290" spans="1:7" ht="15" customHeight="1">
      <c r="A290" s="8" t="s">
        <v>15</v>
      </c>
      <c r="B290" s="8">
        <v>35</v>
      </c>
      <c r="C290" s="8" t="s">
        <v>171</v>
      </c>
      <c r="D290" s="8" t="s">
        <v>13</v>
      </c>
      <c r="E290" s="34" t="s">
        <v>172</v>
      </c>
      <c r="F290" s="13">
        <v>27</v>
      </c>
      <c r="G290" s="10"/>
    </row>
    <row r="291" spans="1:7" ht="15" customHeight="1">
      <c r="A291" s="8" t="s">
        <v>10</v>
      </c>
      <c r="B291" s="8">
        <v>4</v>
      </c>
      <c r="C291" s="8" t="str">
        <f>"邓蕾蕾"</f>
        <v>邓蕾蕾</v>
      </c>
      <c r="D291" s="8" t="str">
        <f aca="true" t="shared" si="13" ref="D291:D305">"女"</f>
        <v>女</v>
      </c>
      <c r="E291" s="8" t="str">
        <f>"460034199304250421"</f>
        <v>460034199304250421</v>
      </c>
      <c r="F291" s="24">
        <v>26</v>
      </c>
      <c r="G291" s="10"/>
    </row>
    <row r="292" spans="1:7" ht="15" customHeight="1">
      <c r="A292" s="8" t="s">
        <v>10</v>
      </c>
      <c r="B292" s="8">
        <v>9</v>
      </c>
      <c r="C292" s="8" t="str">
        <f>"文素敏"</f>
        <v>文素敏</v>
      </c>
      <c r="D292" s="8" t="str">
        <f t="shared" si="13"/>
        <v>女</v>
      </c>
      <c r="E292" s="8" t="str">
        <f>"460034199504052120"</f>
        <v>460034199504052120</v>
      </c>
      <c r="F292" s="25">
        <v>26</v>
      </c>
      <c r="G292" s="10"/>
    </row>
    <row r="293" spans="1:7" ht="15" customHeight="1">
      <c r="A293" s="8" t="s">
        <v>26</v>
      </c>
      <c r="B293" s="8">
        <v>10</v>
      </c>
      <c r="C293" s="8" t="str">
        <f>"汪亚尾"</f>
        <v>汪亚尾</v>
      </c>
      <c r="D293" s="8" t="str">
        <f t="shared" si="13"/>
        <v>女</v>
      </c>
      <c r="E293" s="8" t="str">
        <f>"460034199408120429"</f>
        <v>460034199408120429</v>
      </c>
      <c r="F293" s="25">
        <v>26</v>
      </c>
      <c r="G293" s="10"/>
    </row>
    <row r="294" spans="1:8" ht="15" customHeight="1">
      <c r="A294" s="8" t="s">
        <v>33</v>
      </c>
      <c r="B294" s="8">
        <v>9</v>
      </c>
      <c r="C294" s="8" t="str">
        <f>"李幕"</f>
        <v>李幕</v>
      </c>
      <c r="D294" s="8" t="str">
        <f t="shared" si="13"/>
        <v>女</v>
      </c>
      <c r="E294" s="8" t="str">
        <f>"460034199709120422"</f>
        <v>460034199709120422</v>
      </c>
      <c r="F294" s="25">
        <v>26</v>
      </c>
      <c r="G294" s="10"/>
      <c r="H294" s="15"/>
    </row>
    <row r="295" spans="1:9" ht="15" customHeight="1">
      <c r="A295" s="8" t="s">
        <v>33</v>
      </c>
      <c r="B295" s="8">
        <v>34</v>
      </c>
      <c r="C295" s="8" t="str">
        <f>"陈霞飞"</f>
        <v>陈霞飞</v>
      </c>
      <c r="D295" s="8" t="str">
        <f t="shared" si="13"/>
        <v>女</v>
      </c>
      <c r="E295" s="8" t="str">
        <f>"460034199203125525"</f>
        <v>460034199203125525</v>
      </c>
      <c r="F295" s="24">
        <v>26</v>
      </c>
      <c r="G295" s="10"/>
      <c r="H295" s="15"/>
      <c r="I295" s="15"/>
    </row>
    <row r="296" spans="1:7" ht="15" customHeight="1">
      <c r="A296" s="8" t="s">
        <v>8</v>
      </c>
      <c r="B296" s="8">
        <v>13</v>
      </c>
      <c r="C296" s="8" t="str">
        <f>"沈珊珊"</f>
        <v>沈珊珊</v>
      </c>
      <c r="D296" s="8" t="str">
        <f t="shared" si="13"/>
        <v>女</v>
      </c>
      <c r="E296" s="8" t="str">
        <f>"460034199301090047"</f>
        <v>460034199301090047</v>
      </c>
      <c r="F296" s="24">
        <v>26</v>
      </c>
      <c r="G296" s="10"/>
    </row>
    <row r="297" spans="1:8" ht="15" customHeight="1">
      <c r="A297" s="8" t="s">
        <v>8</v>
      </c>
      <c r="B297" s="8">
        <v>25</v>
      </c>
      <c r="C297" s="8" t="str">
        <f>"韦妙妙"</f>
        <v>韦妙妙</v>
      </c>
      <c r="D297" s="8" t="str">
        <f t="shared" si="13"/>
        <v>女</v>
      </c>
      <c r="E297" s="8" t="str">
        <f>"460034199808080024"</f>
        <v>460034199808080024</v>
      </c>
      <c r="F297" s="25">
        <v>26</v>
      </c>
      <c r="G297" s="10"/>
      <c r="H297" s="15"/>
    </row>
    <row r="298" spans="1:7" ht="15" customHeight="1">
      <c r="A298" s="8" t="s">
        <v>39</v>
      </c>
      <c r="B298" s="8">
        <v>2</v>
      </c>
      <c r="C298" s="8" t="str">
        <f>"曾姗姗"</f>
        <v>曾姗姗</v>
      </c>
      <c r="D298" s="8" t="str">
        <f t="shared" si="13"/>
        <v>女</v>
      </c>
      <c r="E298" s="8" t="str">
        <f>"460034199811125828"</f>
        <v>460034199811125828</v>
      </c>
      <c r="F298" s="24">
        <v>26</v>
      </c>
      <c r="G298" s="10"/>
    </row>
    <row r="299" spans="1:7" ht="15" customHeight="1">
      <c r="A299" s="8" t="s">
        <v>39</v>
      </c>
      <c r="B299" s="8">
        <v>19</v>
      </c>
      <c r="C299" s="8" t="str">
        <f>"韩博妍"</f>
        <v>韩博妍</v>
      </c>
      <c r="D299" s="8" t="str">
        <f t="shared" si="13"/>
        <v>女</v>
      </c>
      <c r="E299" s="8" t="str">
        <f>"469003199802222224"</f>
        <v>469003199802222224</v>
      </c>
      <c r="F299" s="25">
        <v>26</v>
      </c>
      <c r="G299" s="10"/>
    </row>
    <row r="300" spans="1:7" ht="15" customHeight="1">
      <c r="A300" s="8" t="s">
        <v>25</v>
      </c>
      <c r="B300" s="8">
        <v>6</v>
      </c>
      <c r="C300" s="8" t="str">
        <f>"叶青玲"</f>
        <v>叶青玲</v>
      </c>
      <c r="D300" s="8" t="str">
        <f t="shared" si="13"/>
        <v>女</v>
      </c>
      <c r="E300" s="8" t="str">
        <f>"460025199812253622"</f>
        <v>460025199812253622</v>
      </c>
      <c r="F300" s="26">
        <v>26</v>
      </c>
      <c r="G300" s="10"/>
    </row>
    <row r="301" spans="1:7" ht="15" customHeight="1">
      <c r="A301" s="8" t="s">
        <v>25</v>
      </c>
      <c r="B301" s="8">
        <v>20</v>
      </c>
      <c r="C301" s="8" t="str">
        <f>"梁石丹"</f>
        <v>梁石丹</v>
      </c>
      <c r="D301" s="8" t="str">
        <f t="shared" si="13"/>
        <v>女</v>
      </c>
      <c r="E301" s="8" t="str">
        <f>"469003199505084822"</f>
        <v>469003199505084822</v>
      </c>
      <c r="F301" s="23">
        <v>26</v>
      </c>
      <c r="G301" s="10"/>
    </row>
    <row r="302" spans="1:7" ht="15" customHeight="1">
      <c r="A302" s="8" t="s">
        <v>25</v>
      </c>
      <c r="B302" s="8">
        <v>28</v>
      </c>
      <c r="C302" s="8" t="str">
        <f>"刘来得"</f>
        <v>刘来得</v>
      </c>
      <c r="D302" s="8" t="str">
        <f t="shared" si="13"/>
        <v>女</v>
      </c>
      <c r="E302" s="8" t="str">
        <f>"460034199404151527"</f>
        <v>460034199404151527</v>
      </c>
      <c r="F302" s="13">
        <v>26</v>
      </c>
      <c r="G302" s="10"/>
    </row>
    <row r="303" spans="1:7" ht="15" customHeight="1">
      <c r="A303" s="8" t="s">
        <v>60</v>
      </c>
      <c r="B303" s="8">
        <v>37</v>
      </c>
      <c r="C303" s="8" t="str">
        <f>"王先丽"</f>
        <v>王先丽</v>
      </c>
      <c r="D303" s="8" t="str">
        <f t="shared" si="13"/>
        <v>女</v>
      </c>
      <c r="E303" s="8" t="str">
        <f>"460026199903173026"</f>
        <v>460026199903173026</v>
      </c>
      <c r="F303" s="23">
        <v>26</v>
      </c>
      <c r="G303" s="10"/>
    </row>
    <row r="304" spans="1:7" ht="15" customHeight="1">
      <c r="A304" s="8" t="s">
        <v>18</v>
      </c>
      <c r="B304" s="8">
        <v>7</v>
      </c>
      <c r="C304" s="8" t="str">
        <f>"汪亚惠"</f>
        <v>汪亚惠</v>
      </c>
      <c r="D304" s="8" t="str">
        <f t="shared" si="13"/>
        <v>女</v>
      </c>
      <c r="E304" s="8" t="str">
        <f>"460034199303050444"</f>
        <v>460034199303050444</v>
      </c>
      <c r="F304" s="24">
        <v>26</v>
      </c>
      <c r="G304" s="10"/>
    </row>
    <row r="305" spans="1:7" ht="15" customHeight="1">
      <c r="A305" s="8" t="s">
        <v>18</v>
      </c>
      <c r="B305" s="8">
        <v>8</v>
      </c>
      <c r="C305" s="8" t="str">
        <f>"王春柳"</f>
        <v>王春柳</v>
      </c>
      <c r="D305" s="8" t="str">
        <f t="shared" si="13"/>
        <v>女</v>
      </c>
      <c r="E305" s="8" t="str">
        <f>"460003199410034840"</f>
        <v>460003199410034840</v>
      </c>
      <c r="F305" s="24">
        <v>26</v>
      </c>
      <c r="G305" s="10"/>
    </row>
    <row r="306" spans="1:7" ht="15" customHeight="1">
      <c r="A306" s="8" t="s">
        <v>11</v>
      </c>
      <c r="B306" s="8">
        <v>8</v>
      </c>
      <c r="C306" s="8" t="s">
        <v>173</v>
      </c>
      <c r="D306" s="8" t="s">
        <v>13</v>
      </c>
      <c r="E306" s="34" t="s">
        <v>174</v>
      </c>
      <c r="F306" s="24">
        <v>26</v>
      </c>
      <c r="G306" s="10"/>
    </row>
    <row r="307" spans="1:7" ht="15" customHeight="1">
      <c r="A307" s="8" t="s">
        <v>15</v>
      </c>
      <c r="B307" s="8">
        <v>3</v>
      </c>
      <c r="C307" s="8" t="s">
        <v>175</v>
      </c>
      <c r="D307" s="8" t="s">
        <v>13</v>
      </c>
      <c r="E307" s="14" t="s">
        <v>176</v>
      </c>
      <c r="F307" s="23">
        <v>26</v>
      </c>
      <c r="G307" s="10"/>
    </row>
    <row r="308" spans="1:7" ht="15" customHeight="1">
      <c r="A308" s="8" t="s">
        <v>15</v>
      </c>
      <c r="B308" s="8">
        <v>5</v>
      </c>
      <c r="C308" s="8" t="s">
        <v>177</v>
      </c>
      <c r="D308" s="8" t="s">
        <v>13</v>
      </c>
      <c r="E308" s="14" t="s">
        <v>178</v>
      </c>
      <c r="F308" s="23">
        <v>26</v>
      </c>
      <c r="G308" s="10"/>
    </row>
    <row r="309" spans="1:7" ht="15" customHeight="1">
      <c r="A309" s="8" t="s">
        <v>15</v>
      </c>
      <c r="B309" s="8">
        <v>6</v>
      </c>
      <c r="C309" s="8" t="s">
        <v>179</v>
      </c>
      <c r="D309" s="8" t="s">
        <v>13</v>
      </c>
      <c r="E309" s="14" t="s">
        <v>180</v>
      </c>
      <c r="F309" s="23">
        <v>26</v>
      </c>
      <c r="G309" s="10"/>
    </row>
    <row r="310" spans="1:7" ht="15" customHeight="1">
      <c r="A310" s="8" t="s">
        <v>15</v>
      </c>
      <c r="B310" s="8">
        <v>7</v>
      </c>
      <c r="C310" s="8" t="s">
        <v>181</v>
      </c>
      <c r="D310" s="8" t="s">
        <v>13</v>
      </c>
      <c r="E310" s="34" t="s">
        <v>182</v>
      </c>
      <c r="F310" s="23">
        <v>26</v>
      </c>
      <c r="G310" s="10"/>
    </row>
    <row r="311" spans="1:8" ht="15" customHeight="1">
      <c r="A311" s="8" t="s">
        <v>15</v>
      </c>
      <c r="B311" s="8">
        <v>30</v>
      </c>
      <c r="C311" s="8" t="s">
        <v>183</v>
      </c>
      <c r="D311" s="8" t="s">
        <v>13</v>
      </c>
      <c r="E311" s="34" t="s">
        <v>184</v>
      </c>
      <c r="F311" s="23">
        <v>26</v>
      </c>
      <c r="G311" s="10"/>
      <c r="H311" s="21"/>
    </row>
    <row r="312" spans="1:7" ht="15" customHeight="1">
      <c r="A312" s="8" t="s">
        <v>34</v>
      </c>
      <c r="B312" s="8">
        <v>6</v>
      </c>
      <c r="C312" s="8" t="s">
        <v>185</v>
      </c>
      <c r="D312" s="8" t="s">
        <v>13</v>
      </c>
      <c r="E312" s="14" t="s">
        <v>186</v>
      </c>
      <c r="F312" s="24">
        <v>26</v>
      </c>
      <c r="G312" s="10"/>
    </row>
    <row r="313" spans="1:9" ht="15" customHeight="1">
      <c r="A313" s="8" t="s">
        <v>33</v>
      </c>
      <c r="B313" s="8">
        <v>15</v>
      </c>
      <c r="C313" s="8" t="str">
        <f>"叶亚艳"</f>
        <v>叶亚艳</v>
      </c>
      <c r="D313" s="8" t="str">
        <f>"女"</f>
        <v>女</v>
      </c>
      <c r="E313" s="8" t="str">
        <f>"460034199007151523"</f>
        <v>460034199007151523</v>
      </c>
      <c r="F313" s="25">
        <v>25</v>
      </c>
      <c r="G313" s="10"/>
      <c r="I313" s="15"/>
    </row>
    <row r="314" spans="1:9" ht="15" customHeight="1">
      <c r="A314" s="8" t="s">
        <v>18</v>
      </c>
      <c r="B314" s="8">
        <v>28</v>
      </c>
      <c r="C314" s="8" t="str">
        <f>"符亚颜"</f>
        <v>符亚颜</v>
      </c>
      <c r="D314" s="8" t="str">
        <f>"女"</f>
        <v>女</v>
      </c>
      <c r="E314" s="8" t="str">
        <f>"46003419901217632X"</f>
        <v>46003419901217632X</v>
      </c>
      <c r="F314" s="24">
        <v>25</v>
      </c>
      <c r="G314" s="10"/>
      <c r="H314" s="15"/>
      <c r="I314" s="15"/>
    </row>
    <row r="315" spans="1:7" ht="15" customHeight="1">
      <c r="A315" s="8" t="s">
        <v>11</v>
      </c>
      <c r="B315" s="8">
        <v>29</v>
      </c>
      <c r="C315" s="8" t="s">
        <v>187</v>
      </c>
      <c r="D315" s="8" t="s">
        <v>13</v>
      </c>
      <c r="E315" s="34" t="s">
        <v>188</v>
      </c>
      <c r="F315" s="24">
        <v>25</v>
      </c>
      <c r="G315" s="10"/>
    </row>
    <row r="316" spans="1:9" ht="15" customHeight="1">
      <c r="A316" s="8" t="s">
        <v>15</v>
      </c>
      <c r="B316" s="8">
        <v>37</v>
      </c>
      <c r="C316" s="8" t="s">
        <v>189</v>
      </c>
      <c r="D316" s="8" t="s">
        <v>13</v>
      </c>
      <c r="E316" s="34" t="s">
        <v>190</v>
      </c>
      <c r="F316" s="13">
        <v>25</v>
      </c>
      <c r="G316" s="10"/>
      <c r="H316" s="17"/>
      <c r="I316" s="17"/>
    </row>
    <row r="317" spans="1:8" ht="15" customHeight="1">
      <c r="A317" s="8" t="s">
        <v>10</v>
      </c>
      <c r="B317" s="8">
        <v>24</v>
      </c>
      <c r="C317" s="8" t="str">
        <f>"杨兴双"</f>
        <v>杨兴双</v>
      </c>
      <c r="D317" s="8" t="str">
        <f aca="true" t="shared" si="14" ref="D317:D328">"女"</f>
        <v>女</v>
      </c>
      <c r="E317" s="8" t="str">
        <f>"460031199711285227"</f>
        <v>460031199711285227</v>
      </c>
      <c r="F317" s="25">
        <v>24</v>
      </c>
      <c r="G317" s="10"/>
      <c r="H317" s="15"/>
    </row>
    <row r="318" spans="1:7" ht="15" customHeight="1">
      <c r="A318" s="8" t="s">
        <v>26</v>
      </c>
      <c r="B318" s="8">
        <v>9</v>
      </c>
      <c r="C318" s="8" t="str">
        <f>"符智菊"</f>
        <v>符智菊</v>
      </c>
      <c r="D318" s="8" t="str">
        <f t="shared" si="14"/>
        <v>女</v>
      </c>
      <c r="E318" s="8" t="str">
        <f>"460003199604077646"</f>
        <v>460003199604077646</v>
      </c>
      <c r="F318" s="25">
        <v>24</v>
      </c>
      <c r="G318" s="10"/>
    </row>
    <row r="319" spans="1:7" ht="15" customHeight="1">
      <c r="A319" s="8" t="s">
        <v>42</v>
      </c>
      <c r="B319" s="8">
        <v>26</v>
      </c>
      <c r="C319" s="8" t="str">
        <f>"张小丹"</f>
        <v>张小丹</v>
      </c>
      <c r="D319" s="8" t="str">
        <f t="shared" si="14"/>
        <v>女</v>
      </c>
      <c r="E319" s="8" t="str">
        <f>"460034199506161523"</f>
        <v>460034199506161523</v>
      </c>
      <c r="F319" s="24">
        <v>24</v>
      </c>
      <c r="G319" s="10"/>
    </row>
    <row r="320" spans="1:7" ht="15" customHeight="1">
      <c r="A320" s="8" t="s">
        <v>33</v>
      </c>
      <c r="B320" s="8">
        <v>8</v>
      </c>
      <c r="C320" s="8" t="str">
        <f>"麦翰玲"</f>
        <v>麦翰玲</v>
      </c>
      <c r="D320" s="8" t="str">
        <f t="shared" si="14"/>
        <v>女</v>
      </c>
      <c r="E320" s="8" t="str">
        <f>"460003199503044626"</f>
        <v>460003199503044626</v>
      </c>
      <c r="F320" s="25">
        <v>24</v>
      </c>
      <c r="G320" s="10"/>
    </row>
    <row r="321" spans="1:8" ht="15" customHeight="1">
      <c r="A321" s="8" t="s">
        <v>39</v>
      </c>
      <c r="B321" s="8">
        <v>17</v>
      </c>
      <c r="C321" s="8" t="str">
        <f>"陈鸾芳"</f>
        <v>陈鸾芳</v>
      </c>
      <c r="D321" s="8" t="str">
        <f t="shared" si="14"/>
        <v>女</v>
      </c>
      <c r="E321" s="8" t="str">
        <f>"460003199803086625"</f>
        <v>460003199803086625</v>
      </c>
      <c r="F321" s="25">
        <v>24</v>
      </c>
      <c r="G321" s="10"/>
      <c r="H321" s="17"/>
    </row>
    <row r="322" spans="1:7" ht="15" customHeight="1">
      <c r="A322" s="8" t="s">
        <v>39</v>
      </c>
      <c r="B322" s="8">
        <v>27</v>
      </c>
      <c r="C322" s="8" t="str">
        <f>"许发纷"</f>
        <v>许发纷</v>
      </c>
      <c r="D322" s="8" t="str">
        <f t="shared" si="14"/>
        <v>女</v>
      </c>
      <c r="E322" s="8" t="str">
        <f>"460033199810064860"</f>
        <v>460033199810064860</v>
      </c>
      <c r="F322" s="25">
        <v>24</v>
      </c>
      <c r="G322" s="10"/>
    </row>
    <row r="323" spans="1:7" ht="15" customHeight="1">
      <c r="A323" s="8" t="s">
        <v>25</v>
      </c>
      <c r="B323" s="8">
        <v>3</v>
      </c>
      <c r="C323" s="8" t="str">
        <f>"曾婷"</f>
        <v>曾婷</v>
      </c>
      <c r="D323" s="8" t="str">
        <f t="shared" si="14"/>
        <v>女</v>
      </c>
      <c r="E323" s="8" t="str">
        <f>"460006199601257229"</f>
        <v>460006199601257229</v>
      </c>
      <c r="F323" s="26">
        <v>24</v>
      </c>
      <c r="G323" s="10"/>
    </row>
    <row r="324" spans="1:7" ht="15" customHeight="1">
      <c r="A324" s="8" t="s">
        <v>25</v>
      </c>
      <c r="B324" s="8">
        <v>31</v>
      </c>
      <c r="C324" s="8" t="str">
        <f>"李颖"</f>
        <v>李颖</v>
      </c>
      <c r="D324" s="8" t="str">
        <f t="shared" si="14"/>
        <v>女</v>
      </c>
      <c r="E324" s="8" t="str">
        <f>"460034199807200426"</f>
        <v>460034199807200426</v>
      </c>
      <c r="F324" s="13">
        <v>24</v>
      </c>
      <c r="G324" s="10"/>
    </row>
    <row r="325" spans="1:7" ht="15" customHeight="1">
      <c r="A325" s="8" t="s">
        <v>25</v>
      </c>
      <c r="B325" s="8">
        <v>34</v>
      </c>
      <c r="C325" s="8" t="str">
        <f>"潘海英"</f>
        <v>潘海英</v>
      </c>
      <c r="D325" s="8" t="str">
        <f t="shared" si="14"/>
        <v>女</v>
      </c>
      <c r="E325" s="8" t="str">
        <f>"460034199604155522"</f>
        <v>460034199604155522</v>
      </c>
      <c r="F325" s="13">
        <v>24</v>
      </c>
      <c r="G325" s="10"/>
    </row>
    <row r="326" spans="1:9" ht="15" customHeight="1">
      <c r="A326" s="8" t="s">
        <v>60</v>
      </c>
      <c r="B326" s="8">
        <v>8</v>
      </c>
      <c r="C326" s="8" t="str">
        <f>"符草珍"</f>
        <v>符草珍</v>
      </c>
      <c r="D326" s="8" t="str">
        <f t="shared" si="14"/>
        <v>女</v>
      </c>
      <c r="E326" s="8" t="str">
        <f>"460034199005115828"</f>
        <v>460034199005115828</v>
      </c>
      <c r="F326" s="23">
        <v>24</v>
      </c>
      <c r="G326" s="10"/>
      <c r="I326" s="21"/>
    </row>
    <row r="327" spans="1:7" ht="15" customHeight="1">
      <c r="A327" s="8" t="s">
        <v>60</v>
      </c>
      <c r="B327" s="8">
        <v>13</v>
      </c>
      <c r="C327" s="8" t="str">
        <f>"陈克锦"</f>
        <v>陈克锦</v>
      </c>
      <c r="D327" s="8" t="str">
        <f t="shared" si="14"/>
        <v>女</v>
      </c>
      <c r="E327" s="8" t="str">
        <f>"460031199905236423"</f>
        <v>460031199905236423</v>
      </c>
      <c r="F327" s="23">
        <v>24</v>
      </c>
      <c r="G327" s="10"/>
    </row>
    <row r="328" spans="1:7" ht="15" customHeight="1">
      <c r="A328" s="8" t="s">
        <v>60</v>
      </c>
      <c r="B328" s="8">
        <v>21</v>
      </c>
      <c r="C328" s="8" t="str">
        <f>"周雪雪"</f>
        <v>周雪雪</v>
      </c>
      <c r="D328" s="8" t="str">
        <f t="shared" si="14"/>
        <v>女</v>
      </c>
      <c r="E328" s="8" t="str">
        <f>"460034200103055027"</f>
        <v>460034200103055027</v>
      </c>
      <c r="F328" s="23">
        <v>24</v>
      </c>
      <c r="G328" s="10"/>
    </row>
    <row r="329" spans="1:8" ht="15" customHeight="1">
      <c r="A329" s="8" t="s">
        <v>18</v>
      </c>
      <c r="B329" s="8">
        <v>40</v>
      </c>
      <c r="C329" s="8" t="s">
        <v>191</v>
      </c>
      <c r="D329" s="8" t="s">
        <v>13</v>
      </c>
      <c r="E329" s="34" t="s">
        <v>192</v>
      </c>
      <c r="F329" s="24">
        <v>24</v>
      </c>
      <c r="G329" s="10"/>
      <c r="H329" s="15"/>
    </row>
    <row r="330" spans="1:7" ht="15" customHeight="1">
      <c r="A330" s="8" t="s">
        <v>11</v>
      </c>
      <c r="B330" s="8">
        <v>12</v>
      </c>
      <c r="C330" s="8" t="s">
        <v>193</v>
      </c>
      <c r="D330" s="8" t="s">
        <v>13</v>
      </c>
      <c r="E330" s="34" t="s">
        <v>194</v>
      </c>
      <c r="F330" s="24">
        <v>24</v>
      </c>
      <c r="G330" s="10"/>
    </row>
    <row r="331" spans="1:8" ht="15" customHeight="1">
      <c r="A331" s="8" t="s">
        <v>11</v>
      </c>
      <c r="B331" s="8">
        <v>18</v>
      </c>
      <c r="C331" s="8" t="s">
        <v>195</v>
      </c>
      <c r="D331" s="8" t="s">
        <v>13</v>
      </c>
      <c r="E331" s="34" t="s">
        <v>196</v>
      </c>
      <c r="F331" s="24">
        <v>24</v>
      </c>
      <c r="G331" s="10"/>
      <c r="H331" s="15"/>
    </row>
    <row r="332" spans="1:7" ht="15" customHeight="1">
      <c r="A332" s="8" t="s">
        <v>11</v>
      </c>
      <c r="B332" s="8">
        <v>37</v>
      </c>
      <c r="C332" s="8" t="s">
        <v>197</v>
      </c>
      <c r="D332" s="8" t="s">
        <v>13</v>
      </c>
      <c r="E332" s="34" t="s">
        <v>198</v>
      </c>
      <c r="F332" s="24">
        <v>24</v>
      </c>
      <c r="G332" s="10"/>
    </row>
    <row r="333" spans="1:7" ht="15" customHeight="1">
      <c r="A333" s="8" t="s">
        <v>15</v>
      </c>
      <c r="B333" s="8">
        <v>12</v>
      </c>
      <c r="C333" s="8" t="s">
        <v>199</v>
      </c>
      <c r="D333" s="8" t="s">
        <v>13</v>
      </c>
      <c r="E333" s="34" t="s">
        <v>200</v>
      </c>
      <c r="F333" s="23">
        <v>24</v>
      </c>
      <c r="G333" s="10"/>
    </row>
    <row r="334" spans="1:8" ht="15" customHeight="1">
      <c r="A334" s="8" t="s">
        <v>15</v>
      </c>
      <c r="B334" s="8">
        <v>18</v>
      </c>
      <c r="C334" s="8" t="s">
        <v>201</v>
      </c>
      <c r="D334" s="8" t="s">
        <v>13</v>
      </c>
      <c r="E334" s="34" t="s">
        <v>202</v>
      </c>
      <c r="F334" s="23">
        <v>24</v>
      </c>
      <c r="G334" s="10"/>
      <c r="H334" s="15"/>
    </row>
    <row r="335" spans="1:7" ht="15" customHeight="1">
      <c r="A335" s="8" t="s">
        <v>33</v>
      </c>
      <c r="B335" s="8">
        <v>36</v>
      </c>
      <c r="C335" s="8" t="str">
        <f>"谢柳江"</f>
        <v>谢柳江</v>
      </c>
      <c r="D335" s="8" t="str">
        <f>"女"</f>
        <v>女</v>
      </c>
      <c r="E335" s="8" t="str">
        <f>"460003199307034447"</f>
        <v>460003199307034447</v>
      </c>
      <c r="F335" s="24">
        <v>23</v>
      </c>
      <c r="G335" s="10"/>
    </row>
    <row r="336" spans="1:7" ht="15" customHeight="1">
      <c r="A336" s="8" t="s">
        <v>60</v>
      </c>
      <c r="B336" s="8">
        <v>18</v>
      </c>
      <c r="C336" s="8" t="str">
        <f>"符秋婷"</f>
        <v>符秋婷</v>
      </c>
      <c r="D336" s="8" t="str">
        <f>"女"</f>
        <v>女</v>
      </c>
      <c r="E336" s="8" t="str">
        <f>"460034199508125825"</f>
        <v>460034199508125825</v>
      </c>
      <c r="F336" s="23">
        <v>23</v>
      </c>
      <c r="G336" s="10"/>
    </row>
    <row r="337" spans="1:8" ht="15" customHeight="1">
      <c r="A337" s="8" t="s">
        <v>60</v>
      </c>
      <c r="B337" s="8">
        <v>27</v>
      </c>
      <c r="C337" s="8" t="str">
        <f>"王乙满"</f>
        <v>王乙满</v>
      </c>
      <c r="D337" s="8" t="str">
        <f>"女"</f>
        <v>女</v>
      </c>
      <c r="E337" s="8" t="str">
        <f>"460034199310041829"</f>
        <v>460034199310041829</v>
      </c>
      <c r="F337" s="23">
        <v>23</v>
      </c>
      <c r="G337" s="10"/>
      <c r="H337" s="15"/>
    </row>
    <row r="338" spans="1:7" ht="15" customHeight="1">
      <c r="A338" s="8" t="s">
        <v>60</v>
      </c>
      <c r="B338" s="8">
        <v>35</v>
      </c>
      <c r="C338" s="8" t="str">
        <f>"苏少婷"</f>
        <v>苏少婷</v>
      </c>
      <c r="D338" s="8" t="str">
        <f>"女"</f>
        <v>女</v>
      </c>
      <c r="E338" s="8" t="str">
        <f>"460007199910035802"</f>
        <v>460007199910035802</v>
      </c>
      <c r="F338" s="23">
        <v>23</v>
      </c>
      <c r="G338" s="10"/>
    </row>
    <row r="339" spans="1:7" ht="15" customHeight="1">
      <c r="A339" s="8" t="s">
        <v>60</v>
      </c>
      <c r="B339" s="8">
        <v>38</v>
      </c>
      <c r="C339" s="8" t="str">
        <f>"兰慢"</f>
        <v>兰慢</v>
      </c>
      <c r="D339" s="8" t="str">
        <f>"女"</f>
        <v>女</v>
      </c>
      <c r="E339" s="8" t="str">
        <f>"460034199608083087"</f>
        <v>460034199608083087</v>
      </c>
      <c r="F339" s="23">
        <v>23</v>
      </c>
      <c r="G339" s="10"/>
    </row>
    <row r="340" spans="1:7" ht="15" customHeight="1">
      <c r="A340" s="8" t="s">
        <v>11</v>
      </c>
      <c r="B340" s="8">
        <v>20</v>
      </c>
      <c r="C340" s="8" t="s">
        <v>203</v>
      </c>
      <c r="D340" s="8" t="s">
        <v>13</v>
      </c>
      <c r="E340" s="34" t="s">
        <v>204</v>
      </c>
      <c r="F340" s="24">
        <v>23</v>
      </c>
      <c r="G340" s="10"/>
    </row>
    <row r="341" spans="1:7" ht="15" customHeight="1">
      <c r="A341" s="8" t="s">
        <v>8</v>
      </c>
      <c r="B341" s="8">
        <v>11</v>
      </c>
      <c r="C341" s="8" t="str">
        <f>"许韵欣"</f>
        <v>许韵欣</v>
      </c>
      <c r="D341" s="8" t="str">
        <f>"女"</f>
        <v>女</v>
      </c>
      <c r="E341" s="8" t="str">
        <f>"460034199602141549"</f>
        <v>460034199602141549</v>
      </c>
      <c r="F341" s="24">
        <v>22</v>
      </c>
      <c r="G341" s="10"/>
    </row>
    <row r="342" spans="1:7" ht="15" customHeight="1">
      <c r="A342" s="8" t="s">
        <v>39</v>
      </c>
      <c r="B342" s="8">
        <v>28</v>
      </c>
      <c r="C342" s="8" t="str">
        <f>"许妙"</f>
        <v>许妙</v>
      </c>
      <c r="D342" s="8" t="str">
        <f>"女"</f>
        <v>女</v>
      </c>
      <c r="E342" s="8" t="str">
        <f>"460033199810064887"</f>
        <v>460033199810064887</v>
      </c>
      <c r="F342" s="9">
        <v>22</v>
      </c>
      <c r="G342" s="10"/>
    </row>
    <row r="343" spans="1:7" ht="15" customHeight="1">
      <c r="A343" s="8" t="s">
        <v>18</v>
      </c>
      <c r="B343" s="8">
        <v>14</v>
      </c>
      <c r="C343" s="8" t="str">
        <f>"韦丽红"</f>
        <v>韦丽红</v>
      </c>
      <c r="D343" s="8" t="str">
        <f>"女"</f>
        <v>女</v>
      </c>
      <c r="E343" s="8" t="str">
        <f>"460030200005305429"</f>
        <v>460030200005305429</v>
      </c>
      <c r="F343" s="24">
        <v>22</v>
      </c>
      <c r="G343" s="10"/>
    </row>
    <row r="344" spans="1:7" ht="15" customHeight="1">
      <c r="A344" s="8" t="s">
        <v>18</v>
      </c>
      <c r="B344" s="8">
        <v>18</v>
      </c>
      <c r="C344" s="8" t="str">
        <f>"倪冬雅"</f>
        <v>倪冬雅</v>
      </c>
      <c r="D344" s="8" t="str">
        <f>"女"</f>
        <v>女</v>
      </c>
      <c r="E344" s="8" t="str">
        <f>"460028199911120066"</f>
        <v>460028199911120066</v>
      </c>
      <c r="F344" s="24">
        <v>22</v>
      </c>
      <c r="G344" s="10"/>
    </row>
    <row r="345" spans="1:7" ht="15" customHeight="1">
      <c r="A345" s="8" t="s">
        <v>11</v>
      </c>
      <c r="B345" s="8">
        <v>39</v>
      </c>
      <c r="C345" s="8" t="s">
        <v>205</v>
      </c>
      <c r="D345" s="8" t="s">
        <v>13</v>
      </c>
      <c r="E345" s="34" t="s">
        <v>206</v>
      </c>
      <c r="F345" s="24">
        <v>22</v>
      </c>
      <c r="G345" s="10"/>
    </row>
    <row r="346" spans="1:7" ht="15" customHeight="1">
      <c r="A346" s="8" t="s">
        <v>34</v>
      </c>
      <c r="B346" s="8">
        <v>7</v>
      </c>
      <c r="C346" s="8" t="s">
        <v>207</v>
      </c>
      <c r="D346" s="8" t="s">
        <v>13</v>
      </c>
      <c r="E346" s="34" t="s">
        <v>208</v>
      </c>
      <c r="F346" s="24">
        <v>22</v>
      </c>
      <c r="G346" s="10"/>
    </row>
    <row r="347" spans="1:7" ht="15" customHeight="1">
      <c r="A347" s="8" t="s">
        <v>18</v>
      </c>
      <c r="B347" s="8">
        <v>24</v>
      </c>
      <c r="C347" s="8" t="str">
        <f>"陈积妙"</f>
        <v>陈积妙</v>
      </c>
      <c r="D347" s="8" t="str">
        <f>"女"</f>
        <v>女</v>
      </c>
      <c r="E347" s="8" t="str">
        <f>"469027200009163229"</f>
        <v>469027200009163229</v>
      </c>
      <c r="F347" s="24">
        <v>21</v>
      </c>
      <c r="G347" s="10"/>
    </row>
    <row r="348" spans="1:7" ht="15" customHeight="1">
      <c r="A348" s="8" t="s">
        <v>18</v>
      </c>
      <c r="B348" s="8">
        <v>30</v>
      </c>
      <c r="C348" s="8" t="str">
        <f>"杨霜霜"</f>
        <v>杨霜霜</v>
      </c>
      <c r="D348" s="8" t="str">
        <f>"女"</f>
        <v>女</v>
      </c>
      <c r="E348" s="8" t="str">
        <f>"460034199809010044"</f>
        <v>460034199809010044</v>
      </c>
      <c r="F348" s="24">
        <v>21</v>
      </c>
      <c r="G348" s="10"/>
    </row>
    <row r="349" spans="1:7" ht="15" customHeight="1">
      <c r="A349" s="8" t="s">
        <v>11</v>
      </c>
      <c r="B349" s="8">
        <v>19</v>
      </c>
      <c r="C349" s="8" t="s">
        <v>209</v>
      </c>
      <c r="D349" s="8" t="s">
        <v>13</v>
      </c>
      <c r="E349" s="34" t="s">
        <v>210</v>
      </c>
      <c r="F349" s="10">
        <v>21</v>
      </c>
      <c r="G349" s="10"/>
    </row>
    <row r="350" spans="1:7" ht="15" customHeight="1">
      <c r="A350" s="8" t="s">
        <v>10</v>
      </c>
      <c r="B350" s="8">
        <v>18</v>
      </c>
      <c r="C350" s="8" t="str">
        <f>"李妙珍"</f>
        <v>李妙珍</v>
      </c>
      <c r="D350" s="8" t="str">
        <f aca="true" t="shared" si="15" ref="D350:D356">"女"</f>
        <v>女</v>
      </c>
      <c r="E350" s="8" t="str">
        <f>"460005199407215125"</f>
        <v>460005199407215125</v>
      </c>
      <c r="F350" s="9">
        <v>20</v>
      </c>
      <c r="G350" s="10"/>
    </row>
    <row r="351" spans="1:7" ht="15" customHeight="1">
      <c r="A351" s="8" t="s">
        <v>26</v>
      </c>
      <c r="B351" s="8">
        <v>13</v>
      </c>
      <c r="C351" s="8" t="str">
        <f>"陈火星"</f>
        <v>陈火星</v>
      </c>
      <c r="D351" s="8" t="str">
        <f t="shared" si="15"/>
        <v>女</v>
      </c>
      <c r="E351" s="8" t="str">
        <f>"460033199310103245"</f>
        <v>460033199310103245</v>
      </c>
      <c r="F351" s="25">
        <v>20</v>
      </c>
      <c r="G351" s="10"/>
    </row>
    <row r="352" spans="1:7" ht="15" customHeight="1">
      <c r="A352" s="8" t="s">
        <v>8</v>
      </c>
      <c r="B352" s="8">
        <v>16</v>
      </c>
      <c r="C352" s="8" t="str">
        <f>"林明钰"</f>
        <v>林明钰</v>
      </c>
      <c r="D352" s="8" t="str">
        <f t="shared" si="15"/>
        <v>女</v>
      </c>
      <c r="E352" s="8" t="str">
        <f>"460001199807270769"</f>
        <v>460001199807270769</v>
      </c>
      <c r="F352" s="24">
        <v>20</v>
      </c>
      <c r="G352" s="10"/>
    </row>
    <row r="353" spans="1:9" ht="15" customHeight="1">
      <c r="A353" s="8" t="s">
        <v>25</v>
      </c>
      <c r="B353" s="8">
        <v>4</v>
      </c>
      <c r="C353" s="8" t="str">
        <f>"符飘飘"</f>
        <v>符飘飘</v>
      </c>
      <c r="D353" s="8" t="str">
        <f t="shared" si="15"/>
        <v>女</v>
      </c>
      <c r="E353" s="8" t="str">
        <f>"460034199810033024"</f>
        <v>460034199810033024</v>
      </c>
      <c r="F353" s="26">
        <v>20</v>
      </c>
      <c r="G353" s="10"/>
      <c r="I353" s="21"/>
    </row>
    <row r="354" spans="1:7" ht="15" customHeight="1">
      <c r="A354" s="8" t="s">
        <v>25</v>
      </c>
      <c r="B354" s="8">
        <v>37</v>
      </c>
      <c r="C354" s="8" t="str">
        <f>"陈燕子"</f>
        <v>陈燕子</v>
      </c>
      <c r="D354" s="8" t="str">
        <f t="shared" si="15"/>
        <v>女</v>
      </c>
      <c r="E354" s="8" t="str">
        <f>"460034199907105020"</f>
        <v>460034199907105020</v>
      </c>
      <c r="F354" s="23">
        <v>20</v>
      </c>
      <c r="G354" s="10"/>
    </row>
    <row r="355" spans="1:7" ht="15" customHeight="1">
      <c r="A355" s="8" t="s">
        <v>60</v>
      </c>
      <c r="B355" s="8">
        <v>26</v>
      </c>
      <c r="C355" s="8" t="str">
        <f>"王绥莉"</f>
        <v>王绥莉</v>
      </c>
      <c r="D355" s="8" t="str">
        <f t="shared" si="15"/>
        <v>女</v>
      </c>
      <c r="E355" s="8" t="str">
        <f>"460034199207220028"</f>
        <v>460034199207220028</v>
      </c>
      <c r="F355" s="23">
        <v>20</v>
      </c>
      <c r="G355" s="10"/>
    </row>
    <row r="356" spans="1:9" ht="15" customHeight="1">
      <c r="A356" s="8" t="s">
        <v>18</v>
      </c>
      <c r="B356" s="8">
        <v>5</v>
      </c>
      <c r="C356" s="8" t="str">
        <f>"王来菊"</f>
        <v>王来菊</v>
      </c>
      <c r="D356" s="8" t="str">
        <f t="shared" si="15"/>
        <v>女</v>
      </c>
      <c r="E356" s="8" t="str">
        <f>"46010619980705342X"</f>
        <v>46010619980705342X</v>
      </c>
      <c r="F356" s="19">
        <v>20</v>
      </c>
      <c r="G356" s="10"/>
      <c r="I356" s="17"/>
    </row>
    <row r="357" spans="1:7" ht="15" customHeight="1">
      <c r="A357" s="8" t="s">
        <v>34</v>
      </c>
      <c r="B357" s="8">
        <v>17</v>
      </c>
      <c r="C357" s="8" t="s">
        <v>211</v>
      </c>
      <c r="D357" s="8" t="s">
        <v>13</v>
      </c>
      <c r="E357" s="34" t="s">
        <v>212</v>
      </c>
      <c r="F357" s="10">
        <v>20</v>
      </c>
      <c r="G357" s="10"/>
    </row>
    <row r="358" spans="1:7" ht="15" customHeight="1">
      <c r="A358" s="8" t="s">
        <v>25</v>
      </c>
      <c r="B358" s="8">
        <v>22</v>
      </c>
      <c r="C358" s="8" t="str">
        <f>"郑婷婷"</f>
        <v>郑婷婷</v>
      </c>
      <c r="D358" s="8" t="str">
        <f>"女"</f>
        <v>女</v>
      </c>
      <c r="E358" s="8" t="str">
        <f>"460034199603314720"</f>
        <v>460034199603314720</v>
      </c>
      <c r="F358" s="23">
        <v>19</v>
      </c>
      <c r="G358" s="10"/>
    </row>
    <row r="359" spans="1:7" ht="15" customHeight="1">
      <c r="A359" s="8" t="s">
        <v>18</v>
      </c>
      <c r="B359" s="8">
        <v>29</v>
      </c>
      <c r="C359" s="8" t="str">
        <f>"王欧"</f>
        <v>王欧</v>
      </c>
      <c r="D359" s="8" t="str">
        <f>"女"</f>
        <v>女</v>
      </c>
      <c r="E359" s="8" t="str">
        <f>"460034198912233647"</f>
        <v>460034198912233647</v>
      </c>
      <c r="F359" s="24">
        <v>19</v>
      </c>
      <c r="G359" s="10"/>
    </row>
    <row r="360" spans="1:7" ht="15" customHeight="1">
      <c r="A360" s="8" t="s">
        <v>15</v>
      </c>
      <c r="B360" s="8">
        <v>19</v>
      </c>
      <c r="C360" s="8" t="s">
        <v>213</v>
      </c>
      <c r="D360" s="8" t="s">
        <v>13</v>
      </c>
      <c r="E360" s="14" t="s">
        <v>214</v>
      </c>
      <c r="F360" s="13">
        <v>19</v>
      </c>
      <c r="G360" s="10"/>
    </row>
    <row r="361" spans="1:7" ht="15" customHeight="1">
      <c r="A361" s="8" t="s">
        <v>8</v>
      </c>
      <c r="B361" s="8">
        <v>8</v>
      </c>
      <c r="C361" s="8" t="str">
        <f>"钟小珍"</f>
        <v>钟小珍</v>
      </c>
      <c r="D361" s="8" t="str">
        <f>"女"</f>
        <v>女</v>
      </c>
      <c r="E361" s="8" t="str">
        <f>"460034199410125528"</f>
        <v>460034199410125528</v>
      </c>
      <c r="F361" s="24">
        <v>18</v>
      </c>
      <c r="G361" s="10"/>
    </row>
    <row r="362" spans="1:8" ht="15" customHeight="1">
      <c r="A362" s="8" t="s">
        <v>25</v>
      </c>
      <c r="B362" s="8">
        <v>11</v>
      </c>
      <c r="C362" s="8" t="str">
        <f>"胡清叶"</f>
        <v>胡清叶</v>
      </c>
      <c r="D362" s="8" t="str">
        <f>"女"</f>
        <v>女</v>
      </c>
      <c r="E362" s="8" t="str">
        <f>"460001199708252223"</f>
        <v>460001199708252223</v>
      </c>
      <c r="F362" s="23">
        <v>18</v>
      </c>
      <c r="G362" s="10"/>
      <c r="H362" s="17"/>
    </row>
    <row r="363" spans="1:7" ht="15" customHeight="1">
      <c r="A363" s="8" t="s">
        <v>25</v>
      </c>
      <c r="B363" s="8">
        <v>35</v>
      </c>
      <c r="C363" s="8" t="str">
        <f>"冯曼"</f>
        <v>冯曼</v>
      </c>
      <c r="D363" s="8" t="str">
        <f>"女"</f>
        <v>女</v>
      </c>
      <c r="E363" s="8" t="str">
        <f>"460035199504031924"</f>
        <v>460035199504031924</v>
      </c>
      <c r="F363" s="23">
        <v>18</v>
      </c>
      <c r="G363" s="10"/>
    </row>
    <row r="364" spans="1:7" ht="15" customHeight="1">
      <c r="A364" s="8" t="s">
        <v>11</v>
      </c>
      <c r="B364" s="8">
        <v>4</v>
      </c>
      <c r="C364" s="8" t="s">
        <v>215</v>
      </c>
      <c r="D364" s="8" t="s">
        <v>13</v>
      </c>
      <c r="E364" s="34" t="s">
        <v>216</v>
      </c>
      <c r="F364" s="10">
        <v>18</v>
      </c>
      <c r="G364" s="10"/>
    </row>
    <row r="365" spans="1:7" ht="15" customHeight="1">
      <c r="A365" s="8" t="s">
        <v>15</v>
      </c>
      <c r="B365" s="8">
        <v>14</v>
      </c>
      <c r="C365" s="8" t="s">
        <v>217</v>
      </c>
      <c r="D365" s="8" t="s">
        <v>13</v>
      </c>
      <c r="E365" s="34" t="s">
        <v>218</v>
      </c>
      <c r="F365" s="13">
        <v>18</v>
      </c>
      <c r="G365" s="10"/>
    </row>
    <row r="366" spans="1:8" ht="15" customHeight="1">
      <c r="A366" s="8" t="s">
        <v>33</v>
      </c>
      <c r="B366" s="8">
        <v>33</v>
      </c>
      <c r="C366" s="8" t="str">
        <f>"岳兰兰"</f>
        <v>岳兰兰</v>
      </c>
      <c r="D366" s="8" t="str">
        <f>"女"</f>
        <v>女</v>
      </c>
      <c r="E366" s="8" t="str">
        <f>"411524199008142422"</f>
        <v>411524199008142422</v>
      </c>
      <c r="F366" s="10">
        <v>17</v>
      </c>
      <c r="G366" s="10"/>
      <c r="H366" s="15"/>
    </row>
    <row r="367" spans="1:7" ht="15" customHeight="1">
      <c r="A367" s="8" t="s">
        <v>15</v>
      </c>
      <c r="B367" s="8">
        <v>17</v>
      </c>
      <c r="C367" s="8" t="s">
        <v>219</v>
      </c>
      <c r="D367" s="8" t="s">
        <v>13</v>
      </c>
      <c r="E367" s="34" t="s">
        <v>220</v>
      </c>
      <c r="F367" s="13">
        <v>17</v>
      </c>
      <c r="G367" s="10"/>
    </row>
    <row r="368" spans="1:8" ht="15" customHeight="1">
      <c r="A368" s="8" t="s">
        <v>25</v>
      </c>
      <c r="B368" s="8">
        <v>26</v>
      </c>
      <c r="C368" s="8" t="str">
        <f>"赵孙辽"</f>
        <v>赵孙辽</v>
      </c>
      <c r="D368" s="8" t="str">
        <f>"女"</f>
        <v>女</v>
      </c>
      <c r="E368" s="8" t="str">
        <f>"460031199403114848"</f>
        <v>460031199403114848</v>
      </c>
      <c r="F368" s="13">
        <v>16</v>
      </c>
      <c r="G368" s="10"/>
      <c r="H368" s="15"/>
    </row>
    <row r="369" spans="1:9" ht="15" customHeight="1">
      <c r="A369" s="27" t="s">
        <v>15</v>
      </c>
      <c r="B369" s="27">
        <v>2</v>
      </c>
      <c r="C369" s="28" t="s">
        <v>221</v>
      </c>
      <c r="D369" s="28" t="s">
        <v>13</v>
      </c>
      <c r="E369" s="35" t="s">
        <v>222</v>
      </c>
      <c r="F369" s="13">
        <v>16</v>
      </c>
      <c r="G369" s="30"/>
      <c r="H369" s="1"/>
      <c r="I369" s="1"/>
    </row>
    <row r="370" spans="1:7" ht="15" customHeight="1">
      <c r="A370" s="8" t="s">
        <v>39</v>
      </c>
      <c r="B370" s="8">
        <v>20</v>
      </c>
      <c r="C370" s="8" t="str">
        <f>"王彩慧"</f>
        <v>王彩慧</v>
      </c>
      <c r="D370" s="8" t="str">
        <f>"女"</f>
        <v>女</v>
      </c>
      <c r="E370" s="8" t="str">
        <f>"460036199703152127"</f>
        <v>460036199703152127</v>
      </c>
      <c r="F370" s="9">
        <v>14</v>
      </c>
      <c r="G370" s="10"/>
    </row>
    <row r="371" spans="1:7" ht="15" customHeight="1">
      <c r="A371" s="8" t="s">
        <v>25</v>
      </c>
      <c r="B371" s="8">
        <v>17</v>
      </c>
      <c r="C371" s="8" t="str">
        <f>"黄喜桃"</f>
        <v>黄喜桃</v>
      </c>
      <c r="D371" s="8" t="str">
        <f>"女"</f>
        <v>女</v>
      </c>
      <c r="E371" s="8" t="str">
        <f>"460034199910041224"</f>
        <v>460034199910041224</v>
      </c>
      <c r="F371" s="13">
        <v>12</v>
      </c>
      <c r="G371" s="10"/>
    </row>
    <row r="372" spans="1:9" ht="15" customHeight="1">
      <c r="A372" s="8" t="s">
        <v>15</v>
      </c>
      <c r="B372" s="8">
        <v>29</v>
      </c>
      <c r="C372" s="8" t="s">
        <v>223</v>
      </c>
      <c r="D372" s="8" t="s">
        <v>13</v>
      </c>
      <c r="E372" s="34" t="s">
        <v>224</v>
      </c>
      <c r="F372" s="13">
        <v>12</v>
      </c>
      <c r="G372" s="10"/>
      <c r="H372" s="20"/>
      <c r="I372" s="20"/>
    </row>
    <row r="373" spans="1:7" ht="15" customHeight="1">
      <c r="A373" s="8" t="s">
        <v>15</v>
      </c>
      <c r="B373" s="8">
        <v>1</v>
      </c>
      <c r="C373" s="8" t="s">
        <v>225</v>
      </c>
      <c r="D373" s="8" t="s">
        <v>13</v>
      </c>
      <c r="E373" s="14" t="s">
        <v>226</v>
      </c>
      <c r="F373" s="13">
        <v>10</v>
      </c>
      <c r="G373" s="10"/>
    </row>
    <row r="374" spans="1:7" ht="15" customHeight="1">
      <c r="A374" s="8" t="s">
        <v>25</v>
      </c>
      <c r="B374" s="8">
        <v>16</v>
      </c>
      <c r="C374" s="8" t="str">
        <f>"陈碧卉"</f>
        <v>陈碧卉</v>
      </c>
      <c r="D374" s="8" t="str">
        <f aca="true" t="shared" si="16" ref="D374:D424">"女"</f>
        <v>女</v>
      </c>
      <c r="E374" s="8" t="str">
        <f>"460034200104130420"</f>
        <v>460034200104130420</v>
      </c>
      <c r="F374" s="13">
        <v>8</v>
      </c>
      <c r="G374" s="10"/>
    </row>
    <row r="375" spans="1:7" ht="15" customHeight="1">
      <c r="A375" s="8" t="s">
        <v>18</v>
      </c>
      <c r="B375" s="8">
        <v>21</v>
      </c>
      <c r="C375" s="8" t="str">
        <f>"毛沙沙"</f>
        <v>毛沙沙</v>
      </c>
      <c r="D375" s="8" t="str">
        <f t="shared" si="16"/>
        <v>女</v>
      </c>
      <c r="E375" s="8" t="str">
        <f>"460028199907130026"</f>
        <v>460028199907130026</v>
      </c>
      <c r="F375" s="10">
        <v>3</v>
      </c>
      <c r="G375" s="10"/>
    </row>
    <row r="376" spans="1:7" ht="15" customHeight="1">
      <c r="A376" s="8" t="s">
        <v>10</v>
      </c>
      <c r="B376" s="8">
        <v>1</v>
      </c>
      <c r="C376" s="8" t="str">
        <f>"赵艳萍"</f>
        <v>赵艳萍</v>
      </c>
      <c r="D376" s="8" t="str">
        <f t="shared" si="16"/>
        <v>女</v>
      </c>
      <c r="E376" s="8" t="str">
        <f>"220621199411271822"</f>
        <v>220621199411271822</v>
      </c>
      <c r="F376" s="9" t="s">
        <v>227</v>
      </c>
      <c r="G376" s="10"/>
    </row>
    <row r="377" spans="1:7" ht="15" customHeight="1">
      <c r="A377" s="8" t="s">
        <v>10</v>
      </c>
      <c r="B377" s="8">
        <v>2</v>
      </c>
      <c r="C377" s="8" t="str">
        <f>"林亚玲"</f>
        <v>林亚玲</v>
      </c>
      <c r="D377" s="8" t="str">
        <f t="shared" si="16"/>
        <v>女</v>
      </c>
      <c r="E377" s="8" t="str">
        <f>"46003419900205154X"</f>
        <v>46003419900205154X</v>
      </c>
      <c r="F377" s="9" t="s">
        <v>227</v>
      </c>
      <c r="G377" s="10"/>
    </row>
    <row r="378" spans="1:7" ht="15" customHeight="1">
      <c r="A378" s="8" t="s">
        <v>10</v>
      </c>
      <c r="B378" s="8">
        <v>6</v>
      </c>
      <c r="C378" s="8" t="str">
        <f>"郑小曼"</f>
        <v>郑小曼</v>
      </c>
      <c r="D378" s="8" t="str">
        <f t="shared" si="16"/>
        <v>女</v>
      </c>
      <c r="E378" s="8" t="str">
        <f>"460034199006174424"</f>
        <v>460034199006174424</v>
      </c>
      <c r="F378" s="9" t="s">
        <v>227</v>
      </c>
      <c r="G378" s="10"/>
    </row>
    <row r="379" spans="1:7" ht="15" customHeight="1">
      <c r="A379" s="8" t="s">
        <v>10</v>
      </c>
      <c r="B379" s="8">
        <v>12</v>
      </c>
      <c r="C379" s="8" t="str">
        <f>"周会梅"</f>
        <v>周会梅</v>
      </c>
      <c r="D379" s="8" t="str">
        <f t="shared" si="16"/>
        <v>女</v>
      </c>
      <c r="E379" s="8" t="str">
        <f>"460034199007302424"</f>
        <v>460034199007302424</v>
      </c>
      <c r="F379" s="9" t="s">
        <v>227</v>
      </c>
      <c r="G379" s="10"/>
    </row>
    <row r="380" spans="1:7" ht="15" customHeight="1">
      <c r="A380" s="8" t="s">
        <v>10</v>
      </c>
      <c r="B380" s="8">
        <v>15</v>
      </c>
      <c r="C380" s="8" t="str">
        <f>"陈娜娜"</f>
        <v>陈娜娜</v>
      </c>
      <c r="D380" s="8" t="str">
        <f t="shared" si="16"/>
        <v>女</v>
      </c>
      <c r="E380" s="8" t="str">
        <f>"460006199201244445"</f>
        <v>460006199201244445</v>
      </c>
      <c r="F380" s="9" t="s">
        <v>227</v>
      </c>
      <c r="G380" s="10"/>
    </row>
    <row r="381" spans="1:7" ht="15" customHeight="1">
      <c r="A381" s="8" t="s">
        <v>10</v>
      </c>
      <c r="B381" s="8">
        <v>17</v>
      </c>
      <c r="C381" s="8" t="str">
        <f>"何姿"</f>
        <v>何姿</v>
      </c>
      <c r="D381" s="8" t="str">
        <f t="shared" si="16"/>
        <v>女</v>
      </c>
      <c r="E381" s="8" t="str">
        <f>"460034199507052126"</f>
        <v>460034199507052126</v>
      </c>
      <c r="F381" s="9" t="s">
        <v>227</v>
      </c>
      <c r="G381" s="10"/>
    </row>
    <row r="382" spans="1:7" ht="15" customHeight="1">
      <c r="A382" s="8" t="s">
        <v>10</v>
      </c>
      <c r="B382" s="8">
        <v>19</v>
      </c>
      <c r="C382" s="8" t="str">
        <f>"文小梅"</f>
        <v>文小梅</v>
      </c>
      <c r="D382" s="8" t="str">
        <f t="shared" si="16"/>
        <v>女</v>
      </c>
      <c r="E382" s="8" t="str">
        <f>"460006199601112927"</f>
        <v>460006199601112927</v>
      </c>
      <c r="F382" s="9" t="s">
        <v>227</v>
      </c>
      <c r="G382" s="10"/>
    </row>
    <row r="383" spans="1:7" ht="15" customHeight="1">
      <c r="A383" s="8" t="s">
        <v>10</v>
      </c>
      <c r="B383" s="8">
        <v>22</v>
      </c>
      <c r="C383" s="8" t="str">
        <f>"陈雪梅"</f>
        <v>陈雪梅</v>
      </c>
      <c r="D383" s="8" t="str">
        <f t="shared" si="16"/>
        <v>女</v>
      </c>
      <c r="E383" s="8" t="str">
        <f>"460031199305212823"</f>
        <v>460031199305212823</v>
      </c>
      <c r="F383" s="9" t="s">
        <v>227</v>
      </c>
      <c r="G383" s="10"/>
    </row>
    <row r="384" spans="1:7" ht="15" customHeight="1">
      <c r="A384" s="8" t="s">
        <v>10</v>
      </c>
      <c r="B384" s="8">
        <v>34</v>
      </c>
      <c r="C384" s="8" t="str">
        <f>"黎晓婷"</f>
        <v>黎晓婷</v>
      </c>
      <c r="D384" s="8" t="str">
        <f t="shared" si="16"/>
        <v>女</v>
      </c>
      <c r="E384" s="8" t="str">
        <f>"469003199611255963"</f>
        <v>469003199611255963</v>
      </c>
      <c r="F384" s="9" t="s">
        <v>227</v>
      </c>
      <c r="G384" s="10"/>
    </row>
    <row r="385" spans="1:7" ht="15" customHeight="1">
      <c r="A385" s="8" t="s">
        <v>10</v>
      </c>
      <c r="B385" s="8">
        <v>35</v>
      </c>
      <c r="C385" s="8" t="str">
        <f>"赵侣娜"</f>
        <v>赵侣娜</v>
      </c>
      <c r="D385" s="8" t="str">
        <f t="shared" si="16"/>
        <v>女</v>
      </c>
      <c r="E385" s="8" t="str">
        <f>"460007199607127245"</f>
        <v>460007199607127245</v>
      </c>
      <c r="F385" s="25" t="s">
        <v>227</v>
      </c>
      <c r="G385" s="10"/>
    </row>
    <row r="386" spans="1:7" ht="15" customHeight="1">
      <c r="A386" s="8" t="s">
        <v>26</v>
      </c>
      <c r="B386" s="8">
        <v>1</v>
      </c>
      <c r="C386" s="8" t="str">
        <f>"黎培燕"</f>
        <v>黎培燕</v>
      </c>
      <c r="D386" s="8" t="str">
        <f t="shared" si="16"/>
        <v>女</v>
      </c>
      <c r="E386" s="8" t="str">
        <f>"460200199405194489"</f>
        <v>460200199405194489</v>
      </c>
      <c r="F386" s="9" t="s">
        <v>227</v>
      </c>
      <c r="G386" s="10"/>
    </row>
    <row r="387" spans="1:7" ht="15" customHeight="1">
      <c r="A387" s="8" t="s">
        <v>26</v>
      </c>
      <c r="B387" s="8">
        <v>7</v>
      </c>
      <c r="C387" s="8" t="str">
        <f>"胡卡丽"</f>
        <v>胡卡丽</v>
      </c>
      <c r="D387" s="8" t="str">
        <f t="shared" si="16"/>
        <v>女</v>
      </c>
      <c r="E387" s="8" t="str">
        <f>"460034199512184422"</f>
        <v>460034199512184422</v>
      </c>
      <c r="F387" s="9" t="s">
        <v>227</v>
      </c>
      <c r="G387" s="10"/>
    </row>
    <row r="388" spans="1:7" ht="15" customHeight="1">
      <c r="A388" s="8" t="s">
        <v>26</v>
      </c>
      <c r="B388" s="8">
        <v>8</v>
      </c>
      <c r="C388" s="8" t="str">
        <f>"郭少苗"</f>
        <v>郭少苗</v>
      </c>
      <c r="D388" s="8" t="str">
        <f t="shared" si="16"/>
        <v>女</v>
      </c>
      <c r="E388" s="8" t="str">
        <f>"44058219971222434X"</f>
        <v>44058219971222434X</v>
      </c>
      <c r="F388" s="9" t="s">
        <v>227</v>
      </c>
      <c r="G388" s="10"/>
    </row>
    <row r="389" spans="1:7" ht="15" customHeight="1">
      <c r="A389" s="8" t="s">
        <v>26</v>
      </c>
      <c r="B389" s="8">
        <v>17</v>
      </c>
      <c r="C389" s="8" t="str">
        <f>"吴联红"</f>
        <v>吴联红</v>
      </c>
      <c r="D389" s="8" t="str">
        <f t="shared" si="16"/>
        <v>女</v>
      </c>
      <c r="E389" s="8" t="str">
        <f>"460003199410167723"</f>
        <v>460003199410167723</v>
      </c>
      <c r="F389" s="9" t="s">
        <v>227</v>
      </c>
      <c r="G389" s="10"/>
    </row>
    <row r="390" spans="1:7" ht="15" customHeight="1">
      <c r="A390" s="8" t="s">
        <v>26</v>
      </c>
      <c r="B390" s="8">
        <v>18</v>
      </c>
      <c r="C390" s="8" t="str">
        <f>"陈智香"</f>
        <v>陈智香</v>
      </c>
      <c r="D390" s="8" t="str">
        <f t="shared" si="16"/>
        <v>女</v>
      </c>
      <c r="E390" s="8" t="str">
        <f>"460003199308052663"</f>
        <v>460003199308052663</v>
      </c>
      <c r="F390" s="9" t="s">
        <v>227</v>
      </c>
      <c r="G390" s="10"/>
    </row>
    <row r="391" spans="1:7" ht="15" customHeight="1">
      <c r="A391" s="8" t="s">
        <v>26</v>
      </c>
      <c r="B391" s="8">
        <v>19</v>
      </c>
      <c r="C391" s="8" t="str">
        <f>"杨滢"</f>
        <v>杨滢</v>
      </c>
      <c r="D391" s="8" t="str">
        <f t="shared" si="16"/>
        <v>女</v>
      </c>
      <c r="E391" s="8" t="str">
        <f>"460034199305160444"</f>
        <v>460034199305160444</v>
      </c>
      <c r="F391" s="9" t="s">
        <v>227</v>
      </c>
      <c r="G391" s="10"/>
    </row>
    <row r="392" spans="1:7" ht="15" customHeight="1">
      <c r="A392" s="8" t="s">
        <v>26</v>
      </c>
      <c r="B392" s="8">
        <v>20</v>
      </c>
      <c r="C392" s="8" t="str">
        <f>"黄晓贝"</f>
        <v>黄晓贝</v>
      </c>
      <c r="D392" s="8" t="str">
        <f t="shared" si="16"/>
        <v>女</v>
      </c>
      <c r="E392" s="8" t="str">
        <f>"460035199307112522"</f>
        <v>460035199307112522</v>
      </c>
      <c r="F392" s="9" t="s">
        <v>227</v>
      </c>
      <c r="G392" s="10"/>
    </row>
    <row r="393" spans="1:7" ht="15" customHeight="1">
      <c r="A393" s="8" t="s">
        <v>26</v>
      </c>
      <c r="B393" s="8">
        <v>22</v>
      </c>
      <c r="C393" s="8" t="str">
        <f>"曾雨羚"</f>
        <v>曾雨羚</v>
      </c>
      <c r="D393" s="8" t="str">
        <f t="shared" si="16"/>
        <v>女</v>
      </c>
      <c r="E393" s="8" t="str">
        <f>"460033199411302681"</f>
        <v>460033199411302681</v>
      </c>
      <c r="F393" s="9" t="s">
        <v>227</v>
      </c>
      <c r="G393" s="10"/>
    </row>
    <row r="394" spans="1:7" ht="15" customHeight="1">
      <c r="A394" s="8" t="s">
        <v>26</v>
      </c>
      <c r="B394" s="8">
        <v>26</v>
      </c>
      <c r="C394" s="8" t="str">
        <f>"王鹤桦"</f>
        <v>王鹤桦</v>
      </c>
      <c r="D394" s="8" t="str">
        <f t="shared" si="16"/>
        <v>女</v>
      </c>
      <c r="E394" s="8" t="str">
        <f>"230603199612034320"</f>
        <v>230603199612034320</v>
      </c>
      <c r="F394" s="9" t="s">
        <v>227</v>
      </c>
      <c r="G394" s="10"/>
    </row>
    <row r="395" spans="1:7" ht="15" customHeight="1">
      <c r="A395" s="8" t="s">
        <v>26</v>
      </c>
      <c r="B395" s="8">
        <v>31</v>
      </c>
      <c r="C395" s="8" t="str">
        <f>"卜会玲"</f>
        <v>卜会玲</v>
      </c>
      <c r="D395" s="8" t="str">
        <f t="shared" si="16"/>
        <v>女</v>
      </c>
      <c r="E395" s="8" t="str">
        <f>"460003199505272446"</f>
        <v>460003199505272446</v>
      </c>
      <c r="F395" s="9" t="s">
        <v>227</v>
      </c>
      <c r="G395" s="10"/>
    </row>
    <row r="396" spans="1:7" ht="15" customHeight="1">
      <c r="A396" s="8" t="s">
        <v>26</v>
      </c>
      <c r="B396" s="8">
        <v>32</v>
      </c>
      <c r="C396" s="8" t="str">
        <f>"刘金妹"</f>
        <v>刘金妹</v>
      </c>
      <c r="D396" s="8" t="str">
        <f t="shared" si="16"/>
        <v>女</v>
      </c>
      <c r="E396" s="8" t="str">
        <f>"460007199310056829"</f>
        <v>460007199310056829</v>
      </c>
      <c r="F396" s="9" t="s">
        <v>227</v>
      </c>
      <c r="G396" s="10"/>
    </row>
    <row r="397" spans="1:7" ht="15" customHeight="1">
      <c r="A397" s="8" t="s">
        <v>26</v>
      </c>
      <c r="B397" s="8">
        <v>33</v>
      </c>
      <c r="C397" s="8" t="str">
        <f>"高业收"</f>
        <v>高业收</v>
      </c>
      <c r="D397" s="8" t="str">
        <f t="shared" si="16"/>
        <v>女</v>
      </c>
      <c r="E397" s="8" t="str">
        <f>"460035199301093420"</f>
        <v>460035199301093420</v>
      </c>
      <c r="F397" s="9" t="s">
        <v>227</v>
      </c>
      <c r="G397" s="10"/>
    </row>
    <row r="398" spans="1:7" ht="15" customHeight="1">
      <c r="A398" s="8" t="s">
        <v>26</v>
      </c>
      <c r="B398" s="8">
        <v>40</v>
      </c>
      <c r="C398" s="8" t="str">
        <f>"唐菊珠"</f>
        <v>唐菊珠</v>
      </c>
      <c r="D398" s="8" t="str">
        <f t="shared" si="16"/>
        <v>女</v>
      </c>
      <c r="E398" s="8" t="str">
        <f>"460300199312060647"</f>
        <v>460300199312060647</v>
      </c>
      <c r="F398" s="9" t="s">
        <v>227</v>
      </c>
      <c r="G398" s="10"/>
    </row>
    <row r="399" spans="1:7" ht="15" customHeight="1">
      <c r="A399" s="8" t="s">
        <v>42</v>
      </c>
      <c r="B399" s="8">
        <v>2</v>
      </c>
      <c r="C399" s="8" t="str">
        <f>"羊丹妃"</f>
        <v>羊丹妃</v>
      </c>
      <c r="D399" s="8" t="str">
        <f t="shared" si="16"/>
        <v>女</v>
      </c>
      <c r="E399" s="8" t="str">
        <f>"460003199207303427"</f>
        <v>460003199207303427</v>
      </c>
      <c r="F399" s="9" t="s">
        <v>227</v>
      </c>
      <c r="G399" s="10"/>
    </row>
    <row r="400" spans="1:7" ht="15" customHeight="1">
      <c r="A400" s="8" t="s">
        <v>42</v>
      </c>
      <c r="B400" s="8">
        <v>6</v>
      </c>
      <c r="C400" s="8" t="str">
        <f>"卓小梅"</f>
        <v>卓小梅</v>
      </c>
      <c r="D400" s="8" t="str">
        <f t="shared" si="16"/>
        <v>女</v>
      </c>
      <c r="E400" s="8" t="str">
        <f>"46003419961005412X"</f>
        <v>46003419961005412X</v>
      </c>
      <c r="F400" s="9" t="s">
        <v>227</v>
      </c>
      <c r="G400" s="10"/>
    </row>
    <row r="401" spans="1:7" ht="15" customHeight="1">
      <c r="A401" s="8" t="s">
        <v>42</v>
      </c>
      <c r="B401" s="8">
        <v>7</v>
      </c>
      <c r="C401" s="8" t="str">
        <f>"龙雪妹"</f>
        <v>龙雪妹</v>
      </c>
      <c r="D401" s="8" t="str">
        <f t="shared" si="16"/>
        <v>女</v>
      </c>
      <c r="E401" s="8" t="str">
        <f>"460034199411021827"</f>
        <v>460034199411021827</v>
      </c>
      <c r="F401" s="9" t="s">
        <v>227</v>
      </c>
      <c r="G401" s="10"/>
    </row>
    <row r="402" spans="1:7" ht="15" customHeight="1">
      <c r="A402" s="8" t="s">
        <v>42</v>
      </c>
      <c r="B402" s="8">
        <v>8</v>
      </c>
      <c r="C402" s="8" t="str">
        <f>"李君"</f>
        <v>李君</v>
      </c>
      <c r="D402" s="8" t="str">
        <f t="shared" si="16"/>
        <v>女</v>
      </c>
      <c r="E402" s="8" t="str">
        <f>"460004199505085647"</f>
        <v>460004199505085647</v>
      </c>
      <c r="F402" s="9" t="s">
        <v>227</v>
      </c>
      <c r="G402" s="10"/>
    </row>
    <row r="403" spans="1:7" ht="15" customHeight="1">
      <c r="A403" s="8" t="s">
        <v>42</v>
      </c>
      <c r="B403" s="8">
        <v>10</v>
      </c>
      <c r="C403" s="8" t="str">
        <f>"杨曼萍"</f>
        <v>杨曼萍</v>
      </c>
      <c r="D403" s="8" t="str">
        <f t="shared" si="16"/>
        <v>女</v>
      </c>
      <c r="E403" s="8" t="str">
        <f>"460006199502260422"</f>
        <v>460006199502260422</v>
      </c>
      <c r="F403" s="9" t="s">
        <v>227</v>
      </c>
      <c r="G403" s="10"/>
    </row>
    <row r="404" spans="1:7" ht="15" customHeight="1">
      <c r="A404" s="8" t="s">
        <v>42</v>
      </c>
      <c r="B404" s="8">
        <v>16</v>
      </c>
      <c r="C404" s="8" t="str">
        <f>"殷锦"</f>
        <v>殷锦</v>
      </c>
      <c r="D404" s="8" t="str">
        <f t="shared" si="16"/>
        <v>女</v>
      </c>
      <c r="E404" s="8" t="str">
        <f>"460034199404103349"</f>
        <v>460034199404103349</v>
      </c>
      <c r="F404" s="9" t="s">
        <v>227</v>
      </c>
      <c r="G404" s="10"/>
    </row>
    <row r="405" spans="1:9" s="1" customFormat="1" ht="15" customHeight="1">
      <c r="A405" s="8" t="s">
        <v>42</v>
      </c>
      <c r="B405" s="8">
        <v>18</v>
      </c>
      <c r="C405" s="31" t="str">
        <f>"翁业敏"</f>
        <v>翁业敏</v>
      </c>
      <c r="D405" s="31" t="str">
        <f t="shared" si="16"/>
        <v>女</v>
      </c>
      <c r="E405" s="31" t="str">
        <f>"460006199512142024"</f>
        <v>460006199512142024</v>
      </c>
      <c r="F405" s="9" t="s">
        <v>227</v>
      </c>
      <c r="G405" s="10"/>
      <c r="H405" s="32"/>
      <c r="I405" s="32"/>
    </row>
    <row r="406" spans="1:9" ht="15" customHeight="1">
      <c r="A406" s="8" t="s">
        <v>42</v>
      </c>
      <c r="B406" s="8">
        <v>19</v>
      </c>
      <c r="C406" s="8" t="str">
        <f>"陈小贞"</f>
        <v>陈小贞</v>
      </c>
      <c r="D406" s="8" t="str">
        <f t="shared" si="16"/>
        <v>女</v>
      </c>
      <c r="E406" s="8" t="str">
        <f>"46003419920103382X"</f>
        <v>46003419920103382X</v>
      </c>
      <c r="F406" s="9" t="s">
        <v>227</v>
      </c>
      <c r="G406" s="10"/>
      <c r="H406" s="15"/>
      <c r="I406" s="15"/>
    </row>
    <row r="407" spans="1:8" ht="15" customHeight="1">
      <c r="A407" s="8" t="s">
        <v>42</v>
      </c>
      <c r="B407" s="8">
        <v>28</v>
      </c>
      <c r="C407" s="8" t="str">
        <f>"符雄兰"</f>
        <v>符雄兰</v>
      </c>
      <c r="D407" s="8" t="str">
        <f t="shared" si="16"/>
        <v>女</v>
      </c>
      <c r="E407" s="8" t="str">
        <f>"460003199405083461"</f>
        <v>460003199405083461</v>
      </c>
      <c r="F407" s="9" t="s">
        <v>227</v>
      </c>
      <c r="G407" s="10"/>
      <c r="H407" s="15"/>
    </row>
    <row r="408" spans="1:7" ht="15" customHeight="1">
      <c r="A408" s="8" t="s">
        <v>42</v>
      </c>
      <c r="B408" s="8">
        <v>29</v>
      </c>
      <c r="C408" s="8" t="str">
        <f>"刘亚妹"</f>
        <v>刘亚妹</v>
      </c>
      <c r="D408" s="8" t="str">
        <f t="shared" si="16"/>
        <v>女</v>
      </c>
      <c r="E408" s="8" t="str">
        <f>"46003419990712212X"</f>
        <v>46003419990712212X</v>
      </c>
      <c r="F408" s="9" t="s">
        <v>227</v>
      </c>
      <c r="G408" s="10"/>
    </row>
    <row r="409" spans="1:7" ht="15" customHeight="1">
      <c r="A409" s="8" t="s">
        <v>42</v>
      </c>
      <c r="B409" s="8">
        <v>35</v>
      </c>
      <c r="C409" s="8" t="str">
        <f>"黎丽娜"</f>
        <v>黎丽娜</v>
      </c>
      <c r="D409" s="8" t="str">
        <f t="shared" si="16"/>
        <v>女</v>
      </c>
      <c r="E409" s="8" t="str">
        <f>"460034199310025845"</f>
        <v>460034199310025845</v>
      </c>
      <c r="F409" s="9" t="s">
        <v>227</v>
      </c>
      <c r="G409" s="10"/>
    </row>
    <row r="410" spans="1:7" ht="15" customHeight="1">
      <c r="A410" s="8" t="s">
        <v>42</v>
      </c>
      <c r="B410" s="8">
        <v>40</v>
      </c>
      <c r="C410" s="8" t="str">
        <f>"李秀霞"</f>
        <v>李秀霞</v>
      </c>
      <c r="D410" s="8" t="str">
        <f t="shared" si="16"/>
        <v>女</v>
      </c>
      <c r="E410" s="8" t="str">
        <f>"460300199412190027"</f>
        <v>460300199412190027</v>
      </c>
      <c r="F410" s="9" t="s">
        <v>227</v>
      </c>
      <c r="G410" s="10"/>
    </row>
    <row r="411" spans="1:7" ht="15" customHeight="1">
      <c r="A411" s="8" t="s">
        <v>33</v>
      </c>
      <c r="B411" s="8">
        <v>3</v>
      </c>
      <c r="C411" s="8" t="str">
        <f>"林秀美"</f>
        <v>林秀美</v>
      </c>
      <c r="D411" s="8" t="str">
        <f t="shared" si="16"/>
        <v>女</v>
      </c>
      <c r="E411" s="8" t="str">
        <f>"460003199303062467"</f>
        <v>460003199303062467</v>
      </c>
      <c r="F411" s="9" t="s">
        <v>227</v>
      </c>
      <c r="G411" s="10"/>
    </row>
    <row r="412" spans="1:9" ht="15" customHeight="1">
      <c r="A412" s="8" t="s">
        <v>33</v>
      </c>
      <c r="B412" s="8">
        <v>6</v>
      </c>
      <c r="C412" s="8" t="str">
        <f>"何沁"</f>
        <v>何沁</v>
      </c>
      <c r="D412" s="8" t="str">
        <f t="shared" si="16"/>
        <v>女</v>
      </c>
      <c r="E412" s="8" t="str">
        <f>"460033199707300386"</f>
        <v>460033199707300386</v>
      </c>
      <c r="F412" s="9" t="s">
        <v>227</v>
      </c>
      <c r="G412" s="10"/>
      <c r="H412" s="15"/>
      <c r="I412" s="15"/>
    </row>
    <row r="413" spans="1:7" ht="15" customHeight="1">
      <c r="A413" s="8" t="s">
        <v>33</v>
      </c>
      <c r="B413" s="8">
        <v>10</v>
      </c>
      <c r="C413" s="8" t="str">
        <f>"李花香"</f>
        <v>李花香</v>
      </c>
      <c r="D413" s="8" t="str">
        <f t="shared" si="16"/>
        <v>女</v>
      </c>
      <c r="E413" s="8" t="str">
        <f>"460003199701093269"</f>
        <v>460003199701093269</v>
      </c>
      <c r="F413" s="9" t="s">
        <v>227</v>
      </c>
      <c r="G413" s="10"/>
    </row>
    <row r="414" spans="1:7" ht="15" customHeight="1">
      <c r="A414" s="8" t="s">
        <v>33</v>
      </c>
      <c r="B414" s="8">
        <v>22</v>
      </c>
      <c r="C414" s="8" t="str">
        <f>"郑慧敏"</f>
        <v>郑慧敏</v>
      </c>
      <c r="D414" s="8" t="str">
        <f t="shared" si="16"/>
        <v>女</v>
      </c>
      <c r="E414" s="8" t="str">
        <f>"460034199403283026"</f>
        <v>460034199403283026</v>
      </c>
      <c r="F414" s="9" t="s">
        <v>227</v>
      </c>
      <c r="G414" s="10"/>
    </row>
    <row r="415" spans="1:7" ht="15" customHeight="1">
      <c r="A415" s="8" t="s">
        <v>33</v>
      </c>
      <c r="B415" s="8">
        <v>26</v>
      </c>
      <c r="C415" s="8" t="str">
        <f>"韦小花"</f>
        <v>韦小花</v>
      </c>
      <c r="D415" s="8" t="str">
        <f t="shared" si="16"/>
        <v>女</v>
      </c>
      <c r="E415" s="8" t="str">
        <f>"460026199612283022"</f>
        <v>460026199612283022</v>
      </c>
      <c r="F415" s="9" t="s">
        <v>227</v>
      </c>
      <c r="G415" s="10"/>
    </row>
    <row r="416" spans="1:7" ht="15" customHeight="1">
      <c r="A416" s="8" t="s">
        <v>33</v>
      </c>
      <c r="B416" s="8">
        <v>27</v>
      </c>
      <c r="C416" s="8" t="str">
        <f>"潘晓菲"</f>
        <v>潘晓菲</v>
      </c>
      <c r="D416" s="8" t="str">
        <f t="shared" si="16"/>
        <v>女</v>
      </c>
      <c r="E416" s="8" t="str">
        <f>"460107199801092328"</f>
        <v>460107199801092328</v>
      </c>
      <c r="F416" s="9" t="s">
        <v>227</v>
      </c>
      <c r="G416" s="10"/>
    </row>
    <row r="417" spans="1:7" ht="15" customHeight="1">
      <c r="A417" s="8" t="s">
        <v>33</v>
      </c>
      <c r="B417" s="8">
        <v>29</v>
      </c>
      <c r="C417" s="8" t="str">
        <f>"何青芳"</f>
        <v>何青芳</v>
      </c>
      <c r="D417" s="8" t="str">
        <f t="shared" si="16"/>
        <v>女</v>
      </c>
      <c r="E417" s="8" t="str">
        <f>"460027199407051026"</f>
        <v>460027199407051026</v>
      </c>
      <c r="F417" s="9" t="s">
        <v>227</v>
      </c>
      <c r="G417" s="10"/>
    </row>
    <row r="418" spans="1:7" ht="15" customHeight="1">
      <c r="A418" s="8" t="s">
        <v>33</v>
      </c>
      <c r="B418" s="8">
        <v>37</v>
      </c>
      <c r="C418" s="8" t="str">
        <f>"唐丽莎"</f>
        <v>唐丽莎</v>
      </c>
      <c r="D418" s="8" t="str">
        <f t="shared" si="16"/>
        <v>女</v>
      </c>
      <c r="E418" s="8" t="str">
        <f>"460033199512057785"</f>
        <v>460033199512057785</v>
      </c>
      <c r="F418" s="9" t="s">
        <v>227</v>
      </c>
      <c r="G418" s="10"/>
    </row>
    <row r="419" spans="1:7" ht="15" customHeight="1">
      <c r="A419" s="8" t="s">
        <v>33</v>
      </c>
      <c r="B419" s="8">
        <v>39</v>
      </c>
      <c r="C419" s="8" t="str">
        <f>"罗盈"</f>
        <v>罗盈</v>
      </c>
      <c r="D419" s="8" t="str">
        <f t="shared" si="16"/>
        <v>女</v>
      </c>
      <c r="E419" s="8" t="str">
        <f>"460033200009284820"</f>
        <v>460033200009284820</v>
      </c>
      <c r="F419" s="9" t="s">
        <v>227</v>
      </c>
      <c r="G419" s="10"/>
    </row>
    <row r="420" spans="1:7" ht="15" customHeight="1">
      <c r="A420" s="8" t="s">
        <v>33</v>
      </c>
      <c r="B420" s="8">
        <v>40</v>
      </c>
      <c r="C420" s="8" t="str">
        <f>"唐海秋"</f>
        <v>唐海秋</v>
      </c>
      <c r="D420" s="8" t="str">
        <f t="shared" si="16"/>
        <v>女</v>
      </c>
      <c r="E420" s="8" t="str">
        <f>"460026199601162428"</f>
        <v>460026199601162428</v>
      </c>
      <c r="F420" s="9" t="s">
        <v>227</v>
      </c>
      <c r="G420" s="10"/>
    </row>
    <row r="421" spans="1:7" ht="15" customHeight="1">
      <c r="A421" s="8" t="s">
        <v>8</v>
      </c>
      <c r="B421" s="8">
        <v>2</v>
      </c>
      <c r="C421" s="8" t="str">
        <f>"李子星"</f>
        <v>李子星</v>
      </c>
      <c r="D421" s="8" t="str">
        <f t="shared" si="16"/>
        <v>女</v>
      </c>
      <c r="E421" s="8" t="str">
        <f>"460034199607202427"</f>
        <v>460034199607202427</v>
      </c>
      <c r="F421" s="9" t="s">
        <v>227</v>
      </c>
      <c r="G421" s="10"/>
    </row>
    <row r="422" spans="1:7" ht="15" customHeight="1">
      <c r="A422" s="8" t="s">
        <v>8</v>
      </c>
      <c r="B422" s="8">
        <v>3</v>
      </c>
      <c r="C422" s="8" t="str">
        <f>"郑俊谦"</f>
        <v>郑俊谦</v>
      </c>
      <c r="D422" s="8" t="str">
        <f t="shared" si="16"/>
        <v>女</v>
      </c>
      <c r="E422" s="8" t="str">
        <f>"460026199606255121"</f>
        <v>460026199606255121</v>
      </c>
      <c r="F422" s="9" t="s">
        <v>227</v>
      </c>
      <c r="G422" s="10"/>
    </row>
    <row r="423" spans="1:7" ht="15" customHeight="1">
      <c r="A423" s="8" t="s">
        <v>8</v>
      </c>
      <c r="B423" s="8">
        <v>19</v>
      </c>
      <c r="C423" s="8" t="str">
        <f>"王蓉"</f>
        <v>王蓉</v>
      </c>
      <c r="D423" s="8" t="str">
        <f t="shared" si="16"/>
        <v>女</v>
      </c>
      <c r="E423" s="8" t="str">
        <f>"460033199608094863"</f>
        <v>460033199608094863</v>
      </c>
      <c r="F423" s="9" t="s">
        <v>227</v>
      </c>
      <c r="G423" s="10"/>
    </row>
    <row r="424" spans="1:7" ht="15" customHeight="1">
      <c r="A424" s="8" t="s">
        <v>8</v>
      </c>
      <c r="B424" s="8">
        <v>22</v>
      </c>
      <c r="C424" s="8" t="str">
        <f>"林柏玲"</f>
        <v>林柏玲</v>
      </c>
      <c r="D424" s="8" t="str">
        <f t="shared" si="16"/>
        <v>女</v>
      </c>
      <c r="E424" s="8" t="str">
        <f>"460028199612275244"</f>
        <v>460028199612275244</v>
      </c>
      <c r="F424" s="9" t="s">
        <v>227</v>
      </c>
      <c r="G424" s="10"/>
    </row>
    <row r="425" spans="1:7" ht="15" customHeight="1">
      <c r="A425" s="8" t="s">
        <v>8</v>
      </c>
      <c r="B425" s="8">
        <v>31</v>
      </c>
      <c r="C425" s="8" t="str">
        <f>"刘海鹏"</f>
        <v>刘海鹏</v>
      </c>
      <c r="D425" s="8" t="str">
        <f>"男"</f>
        <v>男</v>
      </c>
      <c r="E425" s="8" t="str">
        <f>"450324199802256115"</f>
        <v>450324199802256115</v>
      </c>
      <c r="F425" s="9" t="s">
        <v>227</v>
      </c>
      <c r="G425" s="10"/>
    </row>
    <row r="426" spans="1:7" ht="15" customHeight="1">
      <c r="A426" s="8" t="s">
        <v>8</v>
      </c>
      <c r="B426" s="8">
        <v>34</v>
      </c>
      <c r="C426" s="8" t="str">
        <f>"王堂婧"</f>
        <v>王堂婧</v>
      </c>
      <c r="D426" s="8" t="str">
        <f>"女"</f>
        <v>女</v>
      </c>
      <c r="E426" s="8" t="str">
        <f>"460033199605074488"</f>
        <v>460033199605074488</v>
      </c>
      <c r="F426" s="9" t="s">
        <v>227</v>
      </c>
      <c r="G426" s="10"/>
    </row>
    <row r="427" spans="1:7" ht="15" customHeight="1">
      <c r="A427" s="8" t="s">
        <v>8</v>
      </c>
      <c r="B427" s="8">
        <v>37</v>
      </c>
      <c r="C427" s="8" t="str">
        <f>"卢小雅"</f>
        <v>卢小雅</v>
      </c>
      <c r="D427" s="8" t="str">
        <f>"女"</f>
        <v>女</v>
      </c>
      <c r="E427" s="8" t="str">
        <f>"52242619981231652X"</f>
        <v>52242619981231652X</v>
      </c>
      <c r="F427" s="9" t="s">
        <v>227</v>
      </c>
      <c r="G427" s="10"/>
    </row>
    <row r="428" spans="1:7" ht="15" customHeight="1">
      <c r="A428" s="8" t="s">
        <v>39</v>
      </c>
      <c r="B428" s="8">
        <v>6</v>
      </c>
      <c r="C428" s="8" t="str">
        <f>"王海俐"</f>
        <v>王海俐</v>
      </c>
      <c r="D428" s="8" t="str">
        <f>"女"</f>
        <v>女</v>
      </c>
      <c r="E428" s="8" t="str">
        <f>"460034199812023321"</f>
        <v>460034199812023321</v>
      </c>
      <c r="F428" s="9" t="s">
        <v>227</v>
      </c>
      <c r="G428" s="10"/>
    </row>
    <row r="429" spans="1:7" ht="15" customHeight="1">
      <c r="A429" s="8" t="s">
        <v>39</v>
      </c>
      <c r="B429" s="8">
        <v>7</v>
      </c>
      <c r="C429" s="8" t="str">
        <f>"吴仙童"</f>
        <v>吴仙童</v>
      </c>
      <c r="D429" s="8" t="str">
        <f>"女"</f>
        <v>女</v>
      </c>
      <c r="E429" s="8" t="str">
        <f>"460025199801151524"</f>
        <v>460025199801151524</v>
      </c>
      <c r="F429" s="9" t="s">
        <v>227</v>
      </c>
      <c r="G429" s="10"/>
    </row>
    <row r="430" spans="1:7" ht="15" customHeight="1">
      <c r="A430" s="8" t="s">
        <v>39</v>
      </c>
      <c r="B430" s="8">
        <v>8</v>
      </c>
      <c r="C430" s="8" t="str">
        <f>"王海浪"</f>
        <v>王海浪</v>
      </c>
      <c r="D430" s="8" t="str">
        <f>"女"</f>
        <v>女</v>
      </c>
      <c r="E430" s="8" t="str">
        <f>"460025199703214245"</f>
        <v>460025199703214245</v>
      </c>
      <c r="F430" s="9" t="s">
        <v>227</v>
      </c>
      <c r="G430" s="10"/>
    </row>
    <row r="431" spans="1:7" ht="15" customHeight="1">
      <c r="A431" s="8" t="s">
        <v>39</v>
      </c>
      <c r="B431" s="8">
        <v>12</v>
      </c>
      <c r="C431" s="8" t="str">
        <f>"胡小妙"</f>
        <v>胡小妙</v>
      </c>
      <c r="D431" s="8" t="str">
        <f>"女"</f>
        <v>女</v>
      </c>
      <c r="E431" s="8" t="str">
        <f>"460034199701272720"</f>
        <v>460034199701272720</v>
      </c>
      <c r="F431" s="9" t="s">
        <v>227</v>
      </c>
      <c r="G431" s="10"/>
    </row>
    <row r="432" spans="1:9" ht="15" customHeight="1">
      <c r="A432" s="8" t="s">
        <v>39</v>
      </c>
      <c r="B432" s="8">
        <v>13</v>
      </c>
      <c r="C432" s="8" t="str">
        <f>"陈金庆"</f>
        <v>陈金庆</v>
      </c>
      <c r="D432" s="8" t="str">
        <f>"女"</f>
        <v>女</v>
      </c>
      <c r="E432" s="8" t="str">
        <f>"46000319940702342X"</f>
        <v>46000319940702342X</v>
      </c>
      <c r="F432" s="9" t="s">
        <v>227</v>
      </c>
      <c r="G432" s="10"/>
      <c r="H432" s="15"/>
      <c r="I432" s="15"/>
    </row>
    <row r="433" spans="1:7" ht="15" customHeight="1">
      <c r="A433" s="8" t="s">
        <v>39</v>
      </c>
      <c r="B433" s="8">
        <v>18</v>
      </c>
      <c r="C433" s="8" t="str">
        <f>"蒋玉芬"</f>
        <v>蒋玉芬</v>
      </c>
      <c r="D433" s="8" t="str">
        <f>"女"</f>
        <v>女</v>
      </c>
      <c r="E433" s="8" t="str">
        <f>"460007199607075369"</f>
        <v>460007199607075369</v>
      </c>
      <c r="F433" s="9" t="s">
        <v>227</v>
      </c>
      <c r="G433" s="10"/>
    </row>
    <row r="434" spans="1:7" ht="15" customHeight="1">
      <c r="A434" s="8" t="s">
        <v>39</v>
      </c>
      <c r="B434" s="8">
        <v>22</v>
      </c>
      <c r="C434" s="8" t="str">
        <f>"周令"</f>
        <v>周令</v>
      </c>
      <c r="D434" s="8" t="str">
        <f>"女"</f>
        <v>女</v>
      </c>
      <c r="E434" s="8" t="str">
        <f>"460033199603185088"</f>
        <v>460033199603185088</v>
      </c>
      <c r="F434" s="9" t="s">
        <v>227</v>
      </c>
      <c r="G434" s="10"/>
    </row>
    <row r="435" spans="1:7" ht="15" customHeight="1">
      <c r="A435" s="8" t="s">
        <v>39</v>
      </c>
      <c r="B435" s="8">
        <v>24</v>
      </c>
      <c r="C435" s="8" t="str">
        <f>"李淑灵"</f>
        <v>李淑灵</v>
      </c>
      <c r="D435" s="8" t="str">
        <f>"女"</f>
        <v>女</v>
      </c>
      <c r="E435" s="8" t="str">
        <f>"460200199902042929"</f>
        <v>460200199902042929</v>
      </c>
      <c r="F435" s="9" t="s">
        <v>227</v>
      </c>
      <c r="G435" s="10"/>
    </row>
    <row r="436" spans="1:7" ht="15" customHeight="1">
      <c r="A436" s="8" t="s">
        <v>39</v>
      </c>
      <c r="B436" s="8">
        <v>30</v>
      </c>
      <c r="C436" s="8" t="str">
        <f>"王静静"</f>
        <v>王静静</v>
      </c>
      <c r="D436" s="8" t="str">
        <f>"女"</f>
        <v>女</v>
      </c>
      <c r="E436" s="8" t="str">
        <f>"469027199809044505"</f>
        <v>469027199809044505</v>
      </c>
      <c r="F436" s="9" t="s">
        <v>227</v>
      </c>
      <c r="G436" s="10"/>
    </row>
    <row r="437" spans="1:7" ht="15" customHeight="1">
      <c r="A437" s="8" t="s">
        <v>39</v>
      </c>
      <c r="B437" s="8">
        <v>35</v>
      </c>
      <c r="C437" s="8" t="str">
        <f>"李晓藤"</f>
        <v>李晓藤</v>
      </c>
      <c r="D437" s="8" t="str">
        <f>"女"</f>
        <v>女</v>
      </c>
      <c r="E437" s="8" t="str">
        <f>"460001199408150727"</f>
        <v>460001199408150727</v>
      </c>
      <c r="F437" s="9" t="s">
        <v>227</v>
      </c>
      <c r="G437" s="10"/>
    </row>
    <row r="438" spans="1:9" ht="15" customHeight="1">
      <c r="A438" s="8" t="s">
        <v>39</v>
      </c>
      <c r="B438" s="8">
        <v>37</v>
      </c>
      <c r="C438" s="8" t="str">
        <f>"陈绵青"</f>
        <v>陈绵青</v>
      </c>
      <c r="D438" s="8" t="str">
        <f>"女"</f>
        <v>女</v>
      </c>
      <c r="E438" s="8" t="str">
        <f>"46000519990207434X"</f>
        <v>46000519990207434X</v>
      </c>
      <c r="F438" s="9" t="s">
        <v>227</v>
      </c>
      <c r="G438" s="10"/>
      <c r="H438" s="15"/>
      <c r="I438" s="15"/>
    </row>
    <row r="439" spans="1:9" ht="15" customHeight="1">
      <c r="A439" s="8" t="s">
        <v>39</v>
      </c>
      <c r="B439" s="8">
        <v>38</v>
      </c>
      <c r="C439" s="8" t="str">
        <f>"陈怡"</f>
        <v>陈怡</v>
      </c>
      <c r="D439" s="8" t="str">
        <f>"女"</f>
        <v>女</v>
      </c>
      <c r="E439" s="8" t="str">
        <f>"460036199310030428"</f>
        <v>460036199310030428</v>
      </c>
      <c r="F439" s="9" t="s">
        <v>227</v>
      </c>
      <c r="G439" s="10"/>
      <c r="H439" s="21"/>
      <c r="I439" s="21"/>
    </row>
    <row r="440" spans="1:7" ht="15" customHeight="1">
      <c r="A440" s="8" t="s">
        <v>25</v>
      </c>
      <c r="B440" s="8">
        <v>1</v>
      </c>
      <c r="C440" s="8" t="str">
        <f>"郑环"</f>
        <v>郑环</v>
      </c>
      <c r="D440" s="8" t="str">
        <f>"女"</f>
        <v>女</v>
      </c>
      <c r="E440" s="8" t="str">
        <f>"469023199811098224"</f>
        <v>469023199811098224</v>
      </c>
      <c r="F440" s="9" t="s">
        <v>227</v>
      </c>
      <c r="G440" s="10"/>
    </row>
    <row r="441" spans="1:7" ht="15" customHeight="1">
      <c r="A441" s="8" t="s">
        <v>25</v>
      </c>
      <c r="B441" s="8">
        <v>21</v>
      </c>
      <c r="C441" s="8" t="str">
        <f>"王英强"</f>
        <v>王英强</v>
      </c>
      <c r="D441" s="8" t="str">
        <f aca="true" t="shared" si="17" ref="D441:D457">"女"</f>
        <v>女</v>
      </c>
      <c r="E441" s="8" t="str">
        <f>"460005200012043248"</f>
        <v>460005200012043248</v>
      </c>
      <c r="F441" s="9" t="s">
        <v>227</v>
      </c>
      <c r="G441" s="10"/>
    </row>
    <row r="442" spans="1:7" ht="15" customHeight="1">
      <c r="A442" s="8" t="s">
        <v>25</v>
      </c>
      <c r="B442" s="8">
        <v>23</v>
      </c>
      <c r="C442" s="8" t="str">
        <f>"黄美月"</f>
        <v>黄美月</v>
      </c>
      <c r="D442" s="8" t="str">
        <f t="shared" si="17"/>
        <v>女</v>
      </c>
      <c r="E442" s="8" t="str">
        <f>"460300199304130625"</f>
        <v>460300199304130625</v>
      </c>
      <c r="F442" s="9" t="s">
        <v>227</v>
      </c>
      <c r="G442" s="10"/>
    </row>
    <row r="443" spans="1:7" ht="15" customHeight="1">
      <c r="A443" s="8" t="s">
        <v>25</v>
      </c>
      <c r="B443" s="8">
        <v>27</v>
      </c>
      <c r="C443" s="8" t="str">
        <f>"陈小玲"</f>
        <v>陈小玲</v>
      </c>
      <c r="D443" s="8" t="str">
        <f t="shared" si="17"/>
        <v>女</v>
      </c>
      <c r="E443" s="8" t="str">
        <f>"46000219901027382X"</f>
        <v>46000219901027382X</v>
      </c>
      <c r="F443" s="9" t="s">
        <v>227</v>
      </c>
      <c r="G443" s="10"/>
    </row>
    <row r="444" spans="1:7" ht="15" customHeight="1">
      <c r="A444" s="8" t="s">
        <v>25</v>
      </c>
      <c r="B444" s="8">
        <v>30</v>
      </c>
      <c r="C444" s="8" t="str">
        <f>"郑萍萍"</f>
        <v>郑萍萍</v>
      </c>
      <c r="D444" s="8" t="str">
        <f t="shared" si="17"/>
        <v>女</v>
      </c>
      <c r="E444" s="8" t="str">
        <f>"460034199412080706"</f>
        <v>460034199412080706</v>
      </c>
      <c r="F444" s="9" t="s">
        <v>227</v>
      </c>
      <c r="G444" s="10"/>
    </row>
    <row r="445" spans="1:7" ht="15" customHeight="1">
      <c r="A445" s="8" t="s">
        <v>25</v>
      </c>
      <c r="B445" s="8">
        <v>36</v>
      </c>
      <c r="C445" s="8" t="str">
        <f>"梁佳婷"</f>
        <v>梁佳婷</v>
      </c>
      <c r="D445" s="8" t="str">
        <f t="shared" si="17"/>
        <v>女</v>
      </c>
      <c r="E445" s="8" t="str">
        <f>"460028200110023624"</f>
        <v>460028200110023624</v>
      </c>
      <c r="F445" s="9" t="s">
        <v>227</v>
      </c>
      <c r="G445" s="10"/>
    </row>
    <row r="446" spans="1:7" ht="15" customHeight="1">
      <c r="A446" s="8" t="s">
        <v>25</v>
      </c>
      <c r="B446" s="8">
        <v>39</v>
      </c>
      <c r="C446" s="8" t="str">
        <f>"王小冰"</f>
        <v>王小冰</v>
      </c>
      <c r="D446" s="8" t="str">
        <f t="shared" si="17"/>
        <v>女</v>
      </c>
      <c r="E446" s="8" t="str">
        <f>"460025199911180625"</f>
        <v>460025199911180625</v>
      </c>
      <c r="F446" s="9" t="s">
        <v>227</v>
      </c>
      <c r="G446" s="10"/>
    </row>
    <row r="447" spans="1:7" ht="15" customHeight="1">
      <c r="A447" s="8" t="s">
        <v>25</v>
      </c>
      <c r="B447" s="8">
        <v>40</v>
      </c>
      <c r="C447" s="8" t="str">
        <f>"王来南"</f>
        <v>王来南</v>
      </c>
      <c r="D447" s="8" t="str">
        <f t="shared" si="17"/>
        <v>女</v>
      </c>
      <c r="E447" s="8" t="str">
        <f>"460004199910315223"</f>
        <v>460004199910315223</v>
      </c>
      <c r="F447" s="9" t="s">
        <v>227</v>
      </c>
      <c r="G447" s="10"/>
    </row>
    <row r="448" spans="1:8" ht="15" customHeight="1">
      <c r="A448" s="8" t="s">
        <v>60</v>
      </c>
      <c r="B448" s="8">
        <v>4</v>
      </c>
      <c r="C448" s="8" t="str">
        <f>"谭春爱"</f>
        <v>谭春爱</v>
      </c>
      <c r="D448" s="8" t="str">
        <f t="shared" si="17"/>
        <v>女</v>
      </c>
      <c r="E448" s="8" t="str">
        <f>"460034199208165825"</f>
        <v>460034199208165825</v>
      </c>
      <c r="F448" s="9" t="s">
        <v>227</v>
      </c>
      <c r="G448" s="10"/>
      <c r="H448" s="15"/>
    </row>
    <row r="449" spans="1:7" ht="15" customHeight="1">
      <c r="A449" s="8" t="s">
        <v>60</v>
      </c>
      <c r="B449" s="8">
        <v>7</v>
      </c>
      <c r="C449" s="8" t="str">
        <f>"黄淑颖"</f>
        <v>黄淑颖</v>
      </c>
      <c r="D449" s="8" t="str">
        <f t="shared" si="17"/>
        <v>女</v>
      </c>
      <c r="E449" s="8" t="str">
        <f>"460001199405110623"</f>
        <v>460001199405110623</v>
      </c>
      <c r="F449" s="9" t="s">
        <v>227</v>
      </c>
      <c r="G449" s="10"/>
    </row>
    <row r="450" spans="1:7" ht="15" customHeight="1">
      <c r="A450" s="8" t="s">
        <v>60</v>
      </c>
      <c r="B450" s="8">
        <v>19</v>
      </c>
      <c r="C450" s="8" t="str">
        <f>"王慧"</f>
        <v>王慧</v>
      </c>
      <c r="D450" s="8" t="str">
        <f t="shared" si="17"/>
        <v>女</v>
      </c>
      <c r="E450" s="8" t="str">
        <f>"460027200011172943"</f>
        <v>460027200011172943</v>
      </c>
      <c r="F450" s="9" t="s">
        <v>227</v>
      </c>
      <c r="G450" s="10"/>
    </row>
    <row r="451" spans="1:7" ht="15" customHeight="1">
      <c r="A451" s="8" t="s">
        <v>60</v>
      </c>
      <c r="B451" s="8">
        <v>33</v>
      </c>
      <c r="C451" s="8" t="str">
        <f>"李秀妹"</f>
        <v>李秀妹</v>
      </c>
      <c r="D451" s="8" t="str">
        <f t="shared" si="17"/>
        <v>女</v>
      </c>
      <c r="E451" s="8" t="str">
        <f>"460003199808253285"</f>
        <v>460003199808253285</v>
      </c>
      <c r="F451" s="9" t="s">
        <v>227</v>
      </c>
      <c r="G451" s="10"/>
    </row>
    <row r="452" spans="1:7" ht="15" customHeight="1">
      <c r="A452" s="8" t="s">
        <v>18</v>
      </c>
      <c r="B452" s="8">
        <v>1</v>
      </c>
      <c r="C452" s="8" t="str">
        <f>"黄丽华"</f>
        <v>黄丽华</v>
      </c>
      <c r="D452" s="8" t="str">
        <f t="shared" si="17"/>
        <v>女</v>
      </c>
      <c r="E452" s="8" t="str">
        <f>"460034199605175525"</f>
        <v>460034199605175525</v>
      </c>
      <c r="F452" s="9" t="s">
        <v>227</v>
      </c>
      <c r="G452" s="10"/>
    </row>
    <row r="453" spans="1:7" ht="15" customHeight="1">
      <c r="A453" s="8" t="s">
        <v>18</v>
      </c>
      <c r="B453" s="8">
        <v>2</v>
      </c>
      <c r="C453" s="8" t="str">
        <f>"王桑桑"</f>
        <v>王桑桑</v>
      </c>
      <c r="D453" s="8" t="str">
        <f t="shared" si="17"/>
        <v>女</v>
      </c>
      <c r="E453" s="8" t="str">
        <f>"460034199306030449"</f>
        <v>460034199306030449</v>
      </c>
      <c r="F453" s="9" t="s">
        <v>227</v>
      </c>
      <c r="G453" s="10"/>
    </row>
    <row r="454" spans="1:7" ht="15" customHeight="1">
      <c r="A454" s="8" t="s">
        <v>18</v>
      </c>
      <c r="B454" s="8">
        <v>19</v>
      </c>
      <c r="C454" s="8" t="str">
        <f>"潘舒舒"</f>
        <v>潘舒舒</v>
      </c>
      <c r="D454" s="8" t="str">
        <f t="shared" si="17"/>
        <v>女</v>
      </c>
      <c r="E454" s="8" t="str">
        <f>"460006200011162946"</f>
        <v>460006200011162946</v>
      </c>
      <c r="F454" s="9" t="s">
        <v>227</v>
      </c>
      <c r="G454" s="10"/>
    </row>
    <row r="455" spans="1:7" ht="15" customHeight="1">
      <c r="A455" s="8" t="s">
        <v>18</v>
      </c>
      <c r="B455" s="8">
        <v>26</v>
      </c>
      <c r="C455" s="8" t="str">
        <f>"陈亚美"</f>
        <v>陈亚美</v>
      </c>
      <c r="D455" s="8" t="str">
        <f t="shared" si="17"/>
        <v>女</v>
      </c>
      <c r="E455" s="8" t="str">
        <f>"460034199705103027"</f>
        <v>460034199705103027</v>
      </c>
      <c r="F455" s="9" t="s">
        <v>227</v>
      </c>
      <c r="G455" s="10"/>
    </row>
    <row r="456" spans="1:7" ht="15" customHeight="1">
      <c r="A456" s="8" t="s">
        <v>18</v>
      </c>
      <c r="B456" s="8">
        <v>27</v>
      </c>
      <c r="C456" s="8" t="str">
        <f>"唐才雪"</f>
        <v>唐才雪</v>
      </c>
      <c r="D456" s="8" t="str">
        <f t="shared" si="17"/>
        <v>女</v>
      </c>
      <c r="E456" s="8" t="str">
        <f>"460006199908054063"</f>
        <v>460006199908054063</v>
      </c>
      <c r="F456" s="9" t="s">
        <v>227</v>
      </c>
      <c r="G456" s="10"/>
    </row>
    <row r="457" spans="1:7" ht="15" customHeight="1">
      <c r="A457" s="8" t="s">
        <v>18</v>
      </c>
      <c r="B457" s="8">
        <v>33</v>
      </c>
      <c r="C457" s="8" t="str">
        <f>"黄菊梅"</f>
        <v>黄菊梅</v>
      </c>
      <c r="D457" s="8" t="str">
        <f t="shared" si="17"/>
        <v>女</v>
      </c>
      <c r="E457" s="8" t="str">
        <f>"452127199306063349"</f>
        <v>452127199306063349</v>
      </c>
      <c r="F457" s="9" t="s">
        <v>227</v>
      </c>
      <c r="G457" s="10"/>
    </row>
    <row r="458" spans="1:7" ht="15" customHeight="1">
      <c r="A458" s="8" t="s">
        <v>18</v>
      </c>
      <c r="B458" s="8">
        <v>34</v>
      </c>
      <c r="C458" s="8" t="s">
        <v>228</v>
      </c>
      <c r="D458" s="8" t="s">
        <v>13</v>
      </c>
      <c r="E458" s="14" t="s">
        <v>229</v>
      </c>
      <c r="F458" s="9" t="s">
        <v>227</v>
      </c>
      <c r="G458" s="10"/>
    </row>
    <row r="459" spans="1:7" ht="15" customHeight="1">
      <c r="A459" s="8" t="s">
        <v>18</v>
      </c>
      <c r="B459" s="8">
        <v>37</v>
      </c>
      <c r="C459" s="8" t="s">
        <v>230</v>
      </c>
      <c r="D459" s="8" t="s">
        <v>13</v>
      </c>
      <c r="E459" s="14" t="s">
        <v>231</v>
      </c>
      <c r="F459" s="9" t="s">
        <v>227</v>
      </c>
      <c r="G459" s="10"/>
    </row>
    <row r="460" spans="1:7" ht="15" customHeight="1">
      <c r="A460" s="8" t="s">
        <v>11</v>
      </c>
      <c r="B460" s="8">
        <v>22</v>
      </c>
      <c r="C460" s="8" t="s">
        <v>232</v>
      </c>
      <c r="D460" s="8" t="s">
        <v>13</v>
      </c>
      <c r="E460" s="34" t="s">
        <v>233</v>
      </c>
      <c r="F460" s="28" t="s">
        <v>227</v>
      </c>
      <c r="G460" s="10"/>
    </row>
    <row r="461" spans="1:7" ht="15" customHeight="1">
      <c r="A461" s="8" t="s">
        <v>15</v>
      </c>
      <c r="B461" s="8">
        <v>20</v>
      </c>
      <c r="C461" s="8" t="s">
        <v>234</v>
      </c>
      <c r="D461" s="8" t="s">
        <v>13</v>
      </c>
      <c r="E461" s="34" t="s">
        <v>235</v>
      </c>
      <c r="F461" s="13" t="s">
        <v>227</v>
      </c>
      <c r="G461" s="10"/>
    </row>
    <row r="462" spans="1:7" ht="15" customHeight="1">
      <c r="A462" s="8" t="s">
        <v>15</v>
      </c>
      <c r="B462" s="8">
        <v>21</v>
      </c>
      <c r="C462" s="8" t="s">
        <v>236</v>
      </c>
      <c r="D462" s="8" t="s">
        <v>13</v>
      </c>
      <c r="E462" s="34" t="s">
        <v>237</v>
      </c>
      <c r="F462" s="9" t="s">
        <v>227</v>
      </c>
      <c r="G462" s="10"/>
    </row>
    <row r="463" spans="1:7" ht="15" customHeight="1">
      <c r="A463" s="8" t="s">
        <v>15</v>
      </c>
      <c r="B463" s="8">
        <v>26</v>
      </c>
      <c r="C463" s="8" t="s">
        <v>238</v>
      </c>
      <c r="D463" s="8" t="s">
        <v>13</v>
      </c>
      <c r="E463" s="34" t="s">
        <v>239</v>
      </c>
      <c r="F463" s="13" t="s">
        <v>227</v>
      </c>
      <c r="G463" s="10"/>
    </row>
    <row r="464" spans="1:7" ht="15" customHeight="1">
      <c r="A464" s="8" t="s">
        <v>34</v>
      </c>
      <c r="B464" s="8">
        <v>18</v>
      </c>
      <c r="C464" s="8" t="s">
        <v>240</v>
      </c>
      <c r="D464" s="8" t="s">
        <v>13</v>
      </c>
      <c r="E464" s="34" t="s">
        <v>241</v>
      </c>
      <c r="F464" s="33" t="s">
        <v>227</v>
      </c>
      <c r="G464" s="10"/>
    </row>
    <row r="465" spans="1:7" ht="15" customHeight="1">
      <c r="A465" s="8"/>
      <c r="B465" s="8"/>
      <c r="C465" s="8"/>
      <c r="D465" s="8"/>
      <c r="E465" s="12"/>
      <c r="F465" s="10"/>
      <c r="G465" s="10"/>
    </row>
  </sheetData>
  <sheetProtection/>
  <mergeCells count="1">
    <mergeCell ref="A1:E1"/>
  </mergeCells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时事政治</cp:lastModifiedBy>
  <dcterms:created xsi:type="dcterms:W3CDTF">2020-10-13T01:10:59Z</dcterms:created>
  <dcterms:modified xsi:type="dcterms:W3CDTF">2020-10-18T01:03:51Z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