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<sst xmlns="http://schemas.openxmlformats.org/spreadsheetml/2006/main" count="300" uniqueCount="12">
  <si>
    <t>附件1：海南省三亚市发展和改革委员会2020年公开招聘下属事业单位工作人员通过资格初审进入笔试人员名单</t>
  </si>
  <si>
    <t>序号</t>
  </si>
  <si>
    <t>报考号</t>
  </si>
  <si>
    <t>报考岗位</t>
  </si>
  <si>
    <t>姓名</t>
  </si>
  <si>
    <t>性别</t>
  </si>
  <si>
    <t>出生年月</t>
  </si>
  <si>
    <t>学历</t>
  </si>
  <si>
    <t>学位</t>
  </si>
  <si>
    <t>0101_专业技术岗位</t>
  </si>
  <si>
    <t>0102_综合管理岗位</t>
  </si>
  <si>
    <t>0201_专业技术岗位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</si>
</sst>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79" zoomScaleNormal="79" workbookViewId="0" topLeftCell="A27">
      <selection activeCell="F231" sqref="F231"/>
    </sheetView>
  </sheetViews>
  <sheetFormatPr defaultColWidth="9.00390625" defaultRowHeight="34.5" customHeight="1"/>
  <cols>
    <col min="1" max="1" width="9.00390625" style="2" customWidth="1"/>
    <col min="2" max="2" width="21.8515625" style="2" customWidth="1"/>
    <col min="3" max="3" width="18.421875" style="2" customWidth="1"/>
    <col min="4" max="4" width="9.00390625" style="2" customWidth="1"/>
    <col min="5" max="5" width="6.57421875" style="2" customWidth="1"/>
    <col min="6" max="6" width="11.421875" style="2" customWidth="1"/>
    <col min="7" max="8" width="9.00390625" style="2" customWidth="1"/>
    <col min="9" max="9" width="45.140625" style="2" customWidth="1"/>
    <col min="10" max="16384" width="9.00390625" style="2" customWidth="1"/>
  </cols>
  <sheetData>
    <row r="1" spans="1:8" ht="63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4.5" customHeight="1">
      <c r="A3" s="6">
        <v>1</v>
      </c>
      <c r="B3" s="7" t="str">
        <f>"2610202009100902574"</f>
        <v>2610202009100902574</v>
      </c>
      <c r="C3" s="7" t="s">
        <v>9</v>
      </c>
      <c r="D3" s="7" t="str">
        <f>"王云集"</f>
        <v>王云集</v>
      </c>
      <c r="E3" s="7" t="str">
        <f aca="true" t="shared" si="0" ref="E3:E6">"男"</f>
        <v>男</v>
      </c>
      <c r="F3" s="7" t="str">
        <f>"1996-08-06"</f>
        <v>1996-08-06</v>
      </c>
      <c r="G3" s="7" t="str">
        <f aca="true" t="shared" si="1" ref="G3:G47">"本科"</f>
        <v>本科</v>
      </c>
      <c r="H3" s="7" t="str">
        <f aca="true" t="shared" si="2" ref="H3:H14">"学士"</f>
        <v>学士</v>
      </c>
    </row>
    <row r="4" spans="1:8" ht="34.5" customHeight="1">
      <c r="A4" s="6">
        <v>2</v>
      </c>
      <c r="B4" s="7" t="str">
        <f>"2610202009100908266"</f>
        <v>2610202009100908266</v>
      </c>
      <c r="C4" s="7" t="s">
        <v>9</v>
      </c>
      <c r="D4" s="7" t="str">
        <f>"陈  豪"</f>
        <v>陈  豪</v>
      </c>
      <c r="E4" s="7" t="str">
        <f t="shared" si="0"/>
        <v>男</v>
      </c>
      <c r="F4" s="7" t="str">
        <f>"1995-07-29"</f>
        <v>1995-07-29</v>
      </c>
      <c r="G4" s="7" t="str">
        <f t="shared" si="1"/>
        <v>本科</v>
      </c>
      <c r="H4" s="7" t="str">
        <f t="shared" si="2"/>
        <v>学士</v>
      </c>
    </row>
    <row r="5" spans="1:8" ht="34.5" customHeight="1">
      <c r="A5" s="6">
        <v>3</v>
      </c>
      <c r="B5" s="7" t="str">
        <f>"2610202009100909427"</f>
        <v>2610202009100909427</v>
      </c>
      <c r="C5" s="7" t="s">
        <v>9</v>
      </c>
      <c r="D5" s="7" t="str">
        <f>"周小琳"</f>
        <v>周小琳</v>
      </c>
      <c r="E5" s="7" t="str">
        <f aca="true" t="shared" si="3" ref="E5:E11">"女"</f>
        <v>女</v>
      </c>
      <c r="F5" s="7" t="str">
        <f>"1996-06-16"</f>
        <v>1996-06-16</v>
      </c>
      <c r="G5" s="7" t="str">
        <f t="shared" si="1"/>
        <v>本科</v>
      </c>
      <c r="H5" s="7" t="str">
        <f t="shared" si="2"/>
        <v>学士</v>
      </c>
    </row>
    <row r="6" spans="1:8" ht="34.5" customHeight="1">
      <c r="A6" s="6">
        <v>4</v>
      </c>
      <c r="B6" s="7" t="str">
        <f>"26102020091009423323"</f>
        <v>26102020091009423323</v>
      </c>
      <c r="C6" s="7" t="s">
        <v>9</v>
      </c>
      <c r="D6" s="7" t="str">
        <f>"林芳杰"</f>
        <v>林芳杰</v>
      </c>
      <c r="E6" s="7" t="str">
        <f t="shared" si="0"/>
        <v>男</v>
      </c>
      <c r="F6" s="7" t="str">
        <f>"1997-12-01"</f>
        <v>1997-12-01</v>
      </c>
      <c r="G6" s="7" t="str">
        <f t="shared" si="1"/>
        <v>本科</v>
      </c>
      <c r="H6" s="7" t="str">
        <f t="shared" si="2"/>
        <v>学士</v>
      </c>
    </row>
    <row r="7" spans="1:8" ht="34.5" customHeight="1">
      <c r="A7" s="6">
        <v>5</v>
      </c>
      <c r="B7" s="7" t="str">
        <f>"26102020091010314941"</f>
        <v>26102020091010314941</v>
      </c>
      <c r="C7" s="7" t="s">
        <v>9</v>
      </c>
      <c r="D7" s="7" t="str">
        <f>"洪  婷"</f>
        <v>洪  婷</v>
      </c>
      <c r="E7" s="7" t="str">
        <f t="shared" si="3"/>
        <v>女</v>
      </c>
      <c r="F7" s="7" t="str">
        <f>"1995-08-15"</f>
        <v>1995-08-15</v>
      </c>
      <c r="G7" s="7" t="str">
        <f t="shared" si="1"/>
        <v>本科</v>
      </c>
      <c r="H7" s="7" t="str">
        <f t="shared" si="2"/>
        <v>学士</v>
      </c>
    </row>
    <row r="8" spans="1:8" ht="34.5" customHeight="1">
      <c r="A8" s="6">
        <v>6</v>
      </c>
      <c r="B8" s="7" t="str">
        <f>"26102020091011111857"</f>
        <v>26102020091011111857</v>
      </c>
      <c r="C8" s="7" t="s">
        <v>9</v>
      </c>
      <c r="D8" s="7" t="str">
        <f>"许  智"</f>
        <v>许  智</v>
      </c>
      <c r="E8" s="7" t="str">
        <f aca="true" t="shared" si="4" ref="E8:E13">"男"</f>
        <v>男</v>
      </c>
      <c r="F8" s="7" t="str">
        <f>"1995-08-27"</f>
        <v>1995-08-27</v>
      </c>
      <c r="G8" s="7" t="str">
        <f t="shared" si="1"/>
        <v>本科</v>
      </c>
      <c r="H8" s="7" t="str">
        <f t="shared" si="2"/>
        <v>学士</v>
      </c>
    </row>
    <row r="9" spans="1:8" ht="34.5" customHeight="1">
      <c r="A9" s="6">
        <v>7</v>
      </c>
      <c r="B9" s="7" t="str">
        <f>"26102020091011142660"</f>
        <v>26102020091011142660</v>
      </c>
      <c r="C9" s="7" t="s">
        <v>9</v>
      </c>
      <c r="D9" s="7" t="str">
        <f>"陈永涛"</f>
        <v>陈永涛</v>
      </c>
      <c r="E9" s="7" t="str">
        <f t="shared" si="4"/>
        <v>男</v>
      </c>
      <c r="F9" s="7" t="str">
        <f>"1997-12-28"</f>
        <v>1997-12-28</v>
      </c>
      <c r="G9" s="7" t="str">
        <f t="shared" si="1"/>
        <v>本科</v>
      </c>
      <c r="H9" s="7" t="str">
        <f t="shared" si="2"/>
        <v>学士</v>
      </c>
    </row>
    <row r="10" spans="1:8" ht="34.5" customHeight="1">
      <c r="A10" s="6">
        <v>8</v>
      </c>
      <c r="B10" s="7" t="str">
        <f>"26102020091011360270"</f>
        <v>26102020091011360270</v>
      </c>
      <c r="C10" s="7" t="s">
        <v>9</v>
      </c>
      <c r="D10" s="7" t="str">
        <f>"吴莉"</f>
        <v>吴莉</v>
      </c>
      <c r="E10" s="7" t="str">
        <f t="shared" si="3"/>
        <v>女</v>
      </c>
      <c r="F10" s="7" t="str">
        <f>"1996-08-26"</f>
        <v>1996-08-26</v>
      </c>
      <c r="G10" s="7" t="str">
        <f t="shared" si="1"/>
        <v>本科</v>
      </c>
      <c r="H10" s="7" t="str">
        <f t="shared" si="2"/>
        <v>学士</v>
      </c>
    </row>
    <row r="11" spans="1:8" ht="34.5" customHeight="1">
      <c r="A11" s="6">
        <v>9</v>
      </c>
      <c r="B11" s="7" t="str">
        <f>"26102020091011482573"</f>
        <v>26102020091011482573</v>
      </c>
      <c r="C11" s="7" t="s">
        <v>9</v>
      </c>
      <c r="D11" s="7" t="str">
        <f>"黄怡"</f>
        <v>黄怡</v>
      </c>
      <c r="E11" s="7" t="str">
        <f t="shared" si="3"/>
        <v>女</v>
      </c>
      <c r="F11" s="7" t="str">
        <f>"1998-06-12"</f>
        <v>1998-06-12</v>
      </c>
      <c r="G11" s="7" t="str">
        <f t="shared" si="1"/>
        <v>本科</v>
      </c>
      <c r="H11" s="7" t="str">
        <f t="shared" si="2"/>
        <v>学士</v>
      </c>
    </row>
    <row r="12" spans="1:8" ht="34.5" customHeight="1">
      <c r="A12" s="6">
        <v>10</v>
      </c>
      <c r="B12" s="7" t="str">
        <f>"26102020091011505374"</f>
        <v>26102020091011505374</v>
      </c>
      <c r="C12" s="7" t="s">
        <v>9</v>
      </c>
      <c r="D12" s="7" t="str">
        <f>"林于雀"</f>
        <v>林于雀</v>
      </c>
      <c r="E12" s="7" t="str">
        <f t="shared" si="4"/>
        <v>男</v>
      </c>
      <c r="F12" s="7" t="str">
        <f>"1995-07-22"</f>
        <v>1995-07-22</v>
      </c>
      <c r="G12" s="7" t="str">
        <f t="shared" si="1"/>
        <v>本科</v>
      </c>
      <c r="H12" s="7" t="str">
        <f t="shared" si="2"/>
        <v>学士</v>
      </c>
    </row>
    <row r="13" spans="1:8" ht="34.5" customHeight="1">
      <c r="A13" s="6">
        <v>11</v>
      </c>
      <c r="B13" s="7" t="str">
        <f>"26102020091012230775"</f>
        <v>26102020091012230775</v>
      </c>
      <c r="C13" s="7" t="s">
        <v>9</v>
      </c>
      <c r="D13" s="7" t="str">
        <f>"杨举"</f>
        <v>杨举</v>
      </c>
      <c r="E13" s="7" t="str">
        <f t="shared" si="4"/>
        <v>男</v>
      </c>
      <c r="F13" s="7" t="str">
        <f>"1995-10-02"</f>
        <v>1995-10-02</v>
      </c>
      <c r="G13" s="7" t="str">
        <f t="shared" si="1"/>
        <v>本科</v>
      </c>
      <c r="H13" s="7" t="str">
        <f t="shared" si="2"/>
        <v>学士</v>
      </c>
    </row>
    <row r="14" spans="1:8" ht="34.5" customHeight="1">
      <c r="A14" s="6">
        <v>12</v>
      </c>
      <c r="B14" s="7" t="str">
        <f>"26102020091012270076"</f>
        <v>26102020091012270076</v>
      </c>
      <c r="C14" s="7" t="s">
        <v>9</v>
      </c>
      <c r="D14" s="7" t="str">
        <f>"张巧灵"</f>
        <v>张巧灵</v>
      </c>
      <c r="E14" s="7" t="str">
        <f aca="true" t="shared" si="5" ref="E14:E17">"女"</f>
        <v>女</v>
      </c>
      <c r="F14" s="7" t="str">
        <f>"1996-08-13"</f>
        <v>1996-08-13</v>
      </c>
      <c r="G14" s="7" t="str">
        <f t="shared" si="1"/>
        <v>本科</v>
      </c>
      <c r="H14" s="7" t="str">
        <f t="shared" si="2"/>
        <v>学士</v>
      </c>
    </row>
    <row r="15" spans="1:8" ht="34.5" customHeight="1">
      <c r="A15" s="6">
        <v>13</v>
      </c>
      <c r="B15" s="7" t="str">
        <f>"26102020091012413280"</f>
        <v>26102020091012413280</v>
      </c>
      <c r="C15" s="7" t="s">
        <v>9</v>
      </c>
      <c r="D15" s="7" t="str">
        <f>"王静"</f>
        <v>王静</v>
      </c>
      <c r="E15" s="7" t="str">
        <f t="shared" si="5"/>
        <v>女</v>
      </c>
      <c r="F15" s="7" t="str">
        <f>"1997-11-22"</f>
        <v>1997-11-22</v>
      </c>
      <c r="G15" s="7" t="str">
        <f t="shared" si="1"/>
        <v>本科</v>
      </c>
      <c r="H15" s="7" t="str">
        <f aca="true" t="shared" si="6" ref="H15:H32">"学士"</f>
        <v>学士</v>
      </c>
    </row>
    <row r="16" spans="1:8" ht="34.5" customHeight="1">
      <c r="A16" s="6">
        <v>14</v>
      </c>
      <c r="B16" s="7" t="str">
        <f>"26102020091014305496"</f>
        <v>26102020091014305496</v>
      </c>
      <c r="C16" s="7" t="s">
        <v>9</v>
      </c>
      <c r="D16" s="7" t="str">
        <f>"陈介"</f>
        <v>陈介</v>
      </c>
      <c r="E16" s="7" t="str">
        <f aca="true" t="shared" si="7" ref="E16:E19">"男"</f>
        <v>男</v>
      </c>
      <c r="F16" s="7" t="str">
        <f>"1997-11-07"</f>
        <v>1997-11-07</v>
      </c>
      <c r="G16" s="7" t="str">
        <f t="shared" si="1"/>
        <v>本科</v>
      </c>
      <c r="H16" s="7" t="str">
        <f t="shared" si="6"/>
        <v>学士</v>
      </c>
    </row>
    <row r="17" spans="1:8" ht="34.5" customHeight="1">
      <c r="A17" s="6">
        <v>15</v>
      </c>
      <c r="B17" s="7" t="str">
        <f>"261020200910152347103"</f>
        <v>261020200910152347103</v>
      </c>
      <c r="C17" s="7" t="s">
        <v>9</v>
      </c>
      <c r="D17" s="7" t="str">
        <f>"曾月"</f>
        <v>曾月</v>
      </c>
      <c r="E17" s="7" t="str">
        <f t="shared" si="5"/>
        <v>女</v>
      </c>
      <c r="F17" s="7" t="str">
        <f>"1998-06-12"</f>
        <v>1998-06-12</v>
      </c>
      <c r="G17" s="7" t="str">
        <f t="shared" si="1"/>
        <v>本科</v>
      </c>
      <c r="H17" s="7" t="str">
        <f t="shared" si="6"/>
        <v>学士</v>
      </c>
    </row>
    <row r="18" spans="1:8" ht="34.5" customHeight="1">
      <c r="A18" s="6">
        <v>16</v>
      </c>
      <c r="B18" s="7" t="str">
        <f>"261020200910152603104"</f>
        <v>261020200910152603104</v>
      </c>
      <c r="C18" s="7" t="s">
        <v>9</v>
      </c>
      <c r="D18" s="7" t="str">
        <f>"文志宇"</f>
        <v>文志宇</v>
      </c>
      <c r="E18" s="7" t="str">
        <f t="shared" si="7"/>
        <v>男</v>
      </c>
      <c r="F18" s="7" t="str">
        <f>"1996-12-07"</f>
        <v>1996-12-07</v>
      </c>
      <c r="G18" s="7" t="str">
        <f t="shared" si="1"/>
        <v>本科</v>
      </c>
      <c r="H18" s="7" t="str">
        <f t="shared" si="6"/>
        <v>学士</v>
      </c>
    </row>
    <row r="19" spans="1:8" ht="34.5" customHeight="1">
      <c r="A19" s="6">
        <v>17</v>
      </c>
      <c r="B19" s="7" t="str">
        <f>"261020200910153244106"</f>
        <v>261020200910153244106</v>
      </c>
      <c r="C19" s="7" t="s">
        <v>9</v>
      </c>
      <c r="D19" s="7" t="str">
        <f>"莫兰明"</f>
        <v>莫兰明</v>
      </c>
      <c r="E19" s="7" t="str">
        <f t="shared" si="7"/>
        <v>男</v>
      </c>
      <c r="F19" s="7" t="str">
        <f>"1997-12-11"</f>
        <v>1997-12-11</v>
      </c>
      <c r="G19" s="7" t="str">
        <f t="shared" si="1"/>
        <v>本科</v>
      </c>
      <c r="H19" s="7" t="str">
        <f t="shared" si="6"/>
        <v>学士</v>
      </c>
    </row>
    <row r="20" spans="1:8" ht="34.5" customHeight="1">
      <c r="A20" s="6">
        <v>18</v>
      </c>
      <c r="B20" s="7" t="str">
        <f>"261020200910165617118"</f>
        <v>261020200910165617118</v>
      </c>
      <c r="C20" s="7" t="s">
        <v>9</v>
      </c>
      <c r="D20" s="7" t="str">
        <f>"文恣燕"</f>
        <v>文恣燕</v>
      </c>
      <c r="E20" s="7" t="str">
        <f aca="true" t="shared" si="8" ref="E20:E23">"女"</f>
        <v>女</v>
      </c>
      <c r="F20" s="7" t="str">
        <f>"1997-10-07"</f>
        <v>1997-10-07</v>
      </c>
      <c r="G20" s="7" t="str">
        <f t="shared" si="1"/>
        <v>本科</v>
      </c>
      <c r="H20" s="7" t="str">
        <f t="shared" si="6"/>
        <v>学士</v>
      </c>
    </row>
    <row r="21" spans="1:8" ht="34.5" customHeight="1">
      <c r="A21" s="6">
        <v>19</v>
      </c>
      <c r="B21" s="7" t="str">
        <f>"261020200910165731119"</f>
        <v>261020200910165731119</v>
      </c>
      <c r="C21" s="7" t="s">
        <v>9</v>
      </c>
      <c r="D21" s="7" t="str">
        <f>"陈金玉"</f>
        <v>陈金玉</v>
      </c>
      <c r="E21" s="7" t="str">
        <f t="shared" si="8"/>
        <v>女</v>
      </c>
      <c r="F21" s="7" t="str">
        <f>"1998-03-12"</f>
        <v>1998-03-12</v>
      </c>
      <c r="G21" s="7" t="str">
        <f t="shared" si="1"/>
        <v>本科</v>
      </c>
      <c r="H21" s="7" t="str">
        <f t="shared" si="6"/>
        <v>学士</v>
      </c>
    </row>
    <row r="22" spans="1:8" ht="34.5" customHeight="1">
      <c r="A22" s="6">
        <v>20</v>
      </c>
      <c r="B22" s="7" t="str">
        <f>"261020200910171745125"</f>
        <v>261020200910171745125</v>
      </c>
      <c r="C22" s="7" t="s">
        <v>9</v>
      </c>
      <c r="D22" s="7" t="str">
        <f>"符佳秀"</f>
        <v>符佳秀</v>
      </c>
      <c r="E22" s="7" t="str">
        <f t="shared" si="8"/>
        <v>女</v>
      </c>
      <c r="F22" s="7" t="str">
        <f>"1997-09-08"</f>
        <v>1997-09-08</v>
      </c>
      <c r="G22" s="7" t="str">
        <f t="shared" si="1"/>
        <v>本科</v>
      </c>
      <c r="H22" s="7" t="str">
        <f t="shared" si="6"/>
        <v>学士</v>
      </c>
    </row>
    <row r="23" spans="1:8" ht="34.5" customHeight="1">
      <c r="A23" s="6">
        <v>21</v>
      </c>
      <c r="B23" s="7" t="str">
        <f>"261020200910173219130"</f>
        <v>261020200910173219130</v>
      </c>
      <c r="C23" s="7" t="s">
        <v>9</v>
      </c>
      <c r="D23" s="7" t="str">
        <f>"王怡蔺"</f>
        <v>王怡蔺</v>
      </c>
      <c r="E23" s="7" t="str">
        <f t="shared" si="8"/>
        <v>女</v>
      </c>
      <c r="F23" s="7" t="str">
        <f>"1998-06-05"</f>
        <v>1998-06-05</v>
      </c>
      <c r="G23" s="7" t="str">
        <f t="shared" si="1"/>
        <v>本科</v>
      </c>
      <c r="H23" s="7" t="str">
        <f t="shared" si="6"/>
        <v>学士</v>
      </c>
    </row>
    <row r="24" spans="1:8" ht="34.5" customHeight="1">
      <c r="A24" s="6">
        <v>22</v>
      </c>
      <c r="B24" s="7" t="str">
        <f>"261020200910180023135"</f>
        <v>261020200910180023135</v>
      </c>
      <c r="C24" s="7" t="s">
        <v>9</v>
      </c>
      <c r="D24" s="7" t="str">
        <f>"吴易凡"</f>
        <v>吴易凡</v>
      </c>
      <c r="E24" s="7" t="str">
        <f aca="true" t="shared" si="9" ref="E24:E30">"男"</f>
        <v>男</v>
      </c>
      <c r="F24" s="7" t="str">
        <f>"1997-07-29"</f>
        <v>1997-07-29</v>
      </c>
      <c r="G24" s="7" t="str">
        <f t="shared" si="1"/>
        <v>本科</v>
      </c>
      <c r="H24" s="7" t="str">
        <f t="shared" si="6"/>
        <v>学士</v>
      </c>
    </row>
    <row r="25" spans="1:8" ht="34.5" customHeight="1">
      <c r="A25" s="6">
        <v>23</v>
      </c>
      <c r="B25" s="7" t="str">
        <f>"261020200910185229138"</f>
        <v>261020200910185229138</v>
      </c>
      <c r="C25" s="7" t="s">
        <v>9</v>
      </c>
      <c r="D25" s="7" t="str">
        <f>"邬必芬"</f>
        <v>邬必芬</v>
      </c>
      <c r="E25" s="7" t="str">
        <f aca="true" t="shared" si="10" ref="E25:E28">"女"</f>
        <v>女</v>
      </c>
      <c r="F25" s="7" t="str">
        <f>"1997-03-05"</f>
        <v>1997-03-05</v>
      </c>
      <c r="G25" s="7" t="str">
        <f t="shared" si="1"/>
        <v>本科</v>
      </c>
      <c r="H25" s="7" t="str">
        <f t="shared" si="6"/>
        <v>学士</v>
      </c>
    </row>
    <row r="26" spans="1:8" ht="34.5" customHeight="1">
      <c r="A26" s="6">
        <v>24</v>
      </c>
      <c r="B26" s="7" t="str">
        <f>"261020200910200109144"</f>
        <v>261020200910200109144</v>
      </c>
      <c r="C26" s="7" t="s">
        <v>9</v>
      </c>
      <c r="D26" s="7" t="str">
        <f>"杨雨文"</f>
        <v>杨雨文</v>
      </c>
      <c r="E26" s="7" t="str">
        <f t="shared" si="9"/>
        <v>男</v>
      </c>
      <c r="F26" s="7" t="str">
        <f>"1997-09-13"</f>
        <v>1997-09-13</v>
      </c>
      <c r="G26" s="7" t="str">
        <f t="shared" si="1"/>
        <v>本科</v>
      </c>
      <c r="H26" s="7" t="str">
        <f t="shared" si="6"/>
        <v>学士</v>
      </c>
    </row>
    <row r="27" spans="1:8" ht="34.5" customHeight="1">
      <c r="A27" s="6">
        <v>25</v>
      </c>
      <c r="B27" s="7" t="str">
        <f>"261020200910203011146"</f>
        <v>261020200910203011146</v>
      </c>
      <c r="C27" s="7" t="s">
        <v>9</v>
      </c>
      <c r="D27" s="7" t="str">
        <f>"王钰婷"</f>
        <v>王钰婷</v>
      </c>
      <c r="E27" s="7" t="str">
        <f t="shared" si="10"/>
        <v>女</v>
      </c>
      <c r="F27" s="7" t="str">
        <f>"1997-05-04"</f>
        <v>1997-05-04</v>
      </c>
      <c r="G27" s="7" t="str">
        <f t="shared" si="1"/>
        <v>本科</v>
      </c>
      <c r="H27" s="7" t="str">
        <f t="shared" si="6"/>
        <v>学士</v>
      </c>
    </row>
    <row r="28" spans="1:8" ht="34.5" customHeight="1">
      <c r="A28" s="6">
        <v>26</v>
      </c>
      <c r="B28" s="7" t="str">
        <f>"261020200910203201148"</f>
        <v>261020200910203201148</v>
      </c>
      <c r="C28" s="7" t="s">
        <v>9</v>
      </c>
      <c r="D28" s="7" t="str">
        <f>"孙琳"</f>
        <v>孙琳</v>
      </c>
      <c r="E28" s="7" t="str">
        <f t="shared" si="10"/>
        <v>女</v>
      </c>
      <c r="F28" s="7" t="str">
        <f>"1999-05-14"</f>
        <v>1999-05-14</v>
      </c>
      <c r="G28" s="7" t="str">
        <f t="shared" si="1"/>
        <v>本科</v>
      </c>
      <c r="H28" s="7" t="str">
        <f t="shared" si="6"/>
        <v>学士</v>
      </c>
    </row>
    <row r="29" spans="1:8" ht="34.5" customHeight="1">
      <c r="A29" s="6">
        <v>27</v>
      </c>
      <c r="B29" s="7" t="str">
        <f>"261020200910204020149"</f>
        <v>261020200910204020149</v>
      </c>
      <c r="C29" s="7" t="s">
        <v>9</v>
      </c>
      <c r="D29" s="7" t="str">
        <f>"符森"</f>
        <v>符森</v>
      </c>
      <c r="E29" s="7" t="str">
        <f t="shared" si="9"/>
        <v>男</v>
      </c>
      <c r="F29" s="7" t="str">
        <f>"1998-07-24"</f>
        <v>1998-07-24</v>
      </c>
      <c r="G29" s="7" t="str">
        <f t="shared" si="1"/>
        <v>本科</v>
      </c>
      <c r="H29" s="7" t="str">
        <f t="shared" si="6"/>
        <v>学士</v>
      </c>
    </row>
    <row r="30" spans="1:8" ht="34.5" customHeight="1">
      <c r="A30" s="6">
        <v>28</v>
      </c>
      <c r="B30" s="7" t="str">
        <f>"261020200910222246158"</f>
        <v>261020200910222246158</v>
      </c>
      <c r="C30" s="7" t="s">
        <v>9</v>
      </c>
      <c r="D30" s="7" t="str">
        <f>"林资杰"</f>
        <v>林资杰</v>
      </c>
      <c r="E30" s="7" t="str">
        <f t="shared" si="9"/>
        <v>男</v>
      </c>
      <c r="F30" s="7" t="str">
        <f>"1998-09-22"</f>
        <v>1998-09-22</v>
      </c>
      <c r="G30" s="7" t="str">
        <f t="shared" si="1"/>
        <v>本科</v>
      </c>
      <c r="H30" s="7" t="str">
        <f t="shared" si="6"/>
        <v>学士</v>
      </c>
    </row>
    <row r="31" spans="1:8" ht="34.5" customHeight="1">
      <c r="A31" s="6">
        <v>29</v>
      </c>
      <c r="B31" s="7" t="str">
        <f>"261020200911085346178"</f>
        <v>261020200911085346178</v>
      </c>
      <c r="C31" s="7" t="s">
        <v>9</v>
      </c>
      <c r="D31" s="7" t="str">
        <f>"汤洋洋"</f>
        <v>汤洋洋</v>
      </c>
      <c r="E31" s="7" t="str">
        <f>"女"</f>
        <v>女</v>
      </c>
      <c r="F31" s="7" t="str">
        <f>"1998-01-15"</f>
        <v>1998-01-15</v>
      </c>
      <c r="G31" s="7" t="str">
        <f t="shared" si="1"/>
        <v>本科</v>
      </c>
      <c r="H31" s="7" t="str">
        <f t="shared" si="6"/>
        <v>学士</v>
      </c>
    </row>
    <row r="32" spans="1:8" ht="34.5" customHeight="1">
      <c r="A32" s="6">
        <v>30</v>
      </c>
      <c r="B32" s="7" t="str">
        <f>"261020200911105854191"</f>
        <v>261020200911105854191</v>
      </c>
      <c r="C32" s="7" t="s">
        <v>9</v>
      </c>
      <c r="D32" s="7" t="str">
        <f>"陈泽"</f>
        <v>陈泽</v>
      </c>
      <c r="E32" s="7" t="str">
        <f aca="true" t="shared" si="11" ref="E32:E36">"男"</f>
        <v>男</v>
      </c>
      <c r="F32" s="7" t="str">
        <f>"1996-07-17"</f>
        <v>1996-07-17</v>
      </c>
      <c r="G32" s="7" t="str">
        <f t="shared" si="1"/>
        <v>本科</v>
      </c>
      <c r="H32" s="7" t="str">
        <f t="shared" si="6"/>
        <v>学士</v>
      </c>
    </row>
    <row r="33" spans="1:8" ht="34.5" customHeight="1">
      <c r="A33" s="6">
        <v>31</v>
      </c>
      <c r="B33" s="7" t="str">
        <f>"261020200911115719197"</f>
        <v>261020200911115719197</v>
      </c>
      <c r="C33" s="7" t="s">
        <v>9</v>
      </c>
      <c r="D33" s="7" t="str">
        <f>"周秀鸿"</f>
        <v>周秀鸿</v>
      </c>
      <c r="E33" s="7" t="str">
        <f t="shared" si="11"/>
        <v>男</v>
      </c>
      <c r="F33" s="7" t="str">
        <f>"1995-01-13"</f>
        <v>1995-01-13</v>
      </c>
      <c r="G33" s="7" t="str">
        <f t="shared" si="1"/>
        <v>本科</v>
      </c>
      <c r="H33" s="7" t="str">
        <f aca="true" t="shared" si="12" ref="H33:H47">"学士"</f>
        <v>学士</v>
      </c>
    </row>
    <row r="34" spans="1:8" ht="34.5" customHeight="1">
      <c r="A34" s="6">
        <v>32</v>
      </c>
      <c r="B34" s="7" t="str">
        <f>"261020200911134903206"</f>
        <v>261020200911134903206</v>
      </c>
      <c r="C34" s="7" t="s">
        <v>9</v>
      </c>
      <c r="D34" s="7" t="str">
        <f>"孙泽鹏"</f>
        <v>孙泽鹏</v>
      </c>
      <c r="E34" s="7" t="str">
        <f t="shared" si="11"/>
        <v>男</v>
      </c>
      <c r="F34" s="7" t="str">
        <f>"1996-09-17"</f>
        <v>1996-09-17</v>
      </c>
      <c r="G34" s="7" t="str">
        <f t="shared" si="1"/>
        <v>本科</v>
      </c>
      <c r="H34" s="7" t="str">
        <f t="shared" si="12"/>
        <v>学士</v>
      </c>
    </row>
    <row r="35" spans="1:8" ht="34.5" customHeight="1">
      <c r="A35" s="6">
        <v>33</v>
      </c>
      <c r="B35" s="7" t="str">
        <f>"261020200911151335211"</f>
        <v>261020200911151335211</v>
      </c>
      <c r="C35" s="7" t="s">
        <v>9</v>
      </c>
      <c r="D35" s="7" t="str">
        <f>"伍星霖"</f>
        <v>伍星霖</v>
      </c>
      <c r="E35" s="7" t="str">
        <f t="shared" si="11"/>
        <v>男</v>
      </c>
      <c r="F35" s="7" t="str">
        <f>"1998-02-18"</f>
        <v>1998-02-18</v>
      </c>
      <c r="G35" s="7" t="str">
        <f t="shared" si="1"/>
        <v>本科</v>
      </c>
      <c r="H35" s="7" t="str">
        <f t="shared" si="12"/>
        <v>学士</v>
      </c>
    </row>
    <row r="36" spans="1:8" ht="34.5" customHeight="1">
      <c r="A36" s="6">
        <v>34</v>
      </c>
      <c r="B36" s="7" t="str">
        <f>"261020200911152809214"</f>
        <v>261020200911152809214</v>
      </c>
      <c r="C36" s="7" t="s">
        <v>9</v>
      </c>
      <c r="D36" s="7" t="str">
        <f>"欧训森"</f>
        <v>欧训森</v>
      </c>
      <c r="E36" s="7" t="str">
        <f t="shared" si="11"/>
        <v>男</v>
      </c>
      <c r="F36" s="7" t="str">
        <f>"1997-10-25"</f>
        <v>1997-10-25</v>
      </c>
      <c r="G36" s="7" t="str">
        <f t="shared" si="1"/>
        <v>本科</v>
      </c>
      <c r="H36" s="7" t="str">
        <f t="shared" si="12"/>
        <v>学士</v>
      </c>
    </row>
    <row r="37" spans="1:8" ht="34.5" customHeight="1">
      <c r="A37" s="6">
        <v>35</v>
      </c>
      <c r="B37" s="7" t="str">
        <f>"261020200911154103215"</f>
        <v>261020200911154103215</v>
      </c>
      <c r="C37" s="7" t="s">
        <v>9</v>
      </c>
      <c r="D37" s="7" t="str">
        <f>"张晓丹"</f>
        <v>张晓丹</v>
      </c>
      <c r="E37" s="7" t="str">
        <f>"女"</f>
        <v>女</v>
      </c>
      <c r="F37" s="7" t="str">
        <f>"1998-10-04"</f>
        <v>1998-10-04</v>
      </c>
      <c r="G37" s="7" t="str">
        <f t="shared" si="1"/>
        <v>本科</v>
      </c>
      <c r="H37" s="7" t="str">
        <f t="shared" si="12"/>
        <v>学士</v>
      </c>
    </row>
    <row r="38" spans="1:8" ht="34.5" customHeight="1">
      <c r="A38" s="6">
        <v>36</v>
      </c>
      <c r="B38" s="7" t="str">
        <f>"261020200911160623218"</f>
        <v>261020200911160623218</v>
      </c>
      <c r="C38" s="7" t="s">
        <v>9</v>
      </c>
      <c r="D38" s="7" t="str">
        <f>"周会人"</f>
        <v>周会人</v>
      </c>
      <c r="E38" s="7" t="str">
        <f>"男"</f>
        <v>男</v>
      </c>
      <c r="F38" s="7" t="str">
        <f>"1994-06-11"</f>
        <v>1994-06-11</v>
      </c>
      <c r="G38" s="7" t="str">
        <f t="shared" si="1"/>
        <v>本科</v>
      </c>
      <c r="H38" s="7" t="str">
        <f t="shared" si="12"/>
        <v>学士</v>
      </c>
    </row>
    <row r="39" spans="1:8" ht="34.5" customHeight="1">
      <c r="A39" s="6">
        <v>37</v>
      </c>
      <c r="B39" s="7" t="str">
        <f>"261020200911161943219"</f>
        <v>261020200911161943219</v>
      </c>
      <c r="C39" s="7" t="s">
        <v>9</v>
      </c>
      <c r="D39" s="7" t="str">
        <f>"郑大洲"</f>
        <v>郑大洲</v>
      </c>
      <c r="E39" s="7" t="str">
        <f>"男"</f>
        <v>男</v>
      </c>
      <c r="F39" s="7" t="str">
        <f>"1998-03-20"</f>
        <v>1998-03-20</v>
      </c>
      <c r="G39" s="7" t="str">
        <f t="shared" si="1"/>
        <v>本科</v>
      </c>
      <c r="H39" s="7" t="str">
        <f t="shared" si="12"/>
        <v>学士</v>
      </c>
    </row>
    <row r="40" spans="1:8" ht="34.5" customHeight="1">
      <c r="A40" s="6">
        <v>38</v>
      </c>
      <c r="B40" s="7" t="str">
        <f>"261020200911173437226"</f>
        <v>261020200911173437226</v>
      </c>
      <c r="C40" s="7" t="s">
        <v>9</v>
      </c>
      <c r="D40" s="7" t="str">
        <f>"吴梓瑜"</f>
        <v>吴梓瑜</v>
      </c>
      <c r="E40" s="7" t="str">
        <f aca="true" t="shared" si="13" ref="E40:E45">"女"</f>
        <v>女</v>
      </c>
      <c r="F40" s="7" t="str">
        <f>"1997-09-08"</f>
        <v>1997-09-08</v>
      </c>
      <c r="G40" s="7" t="str">
        <f t="shared" si="1"/>
        <v>本科</v>
      </c>
      <c r="H40" s="7" t="str">
        <f t="shared" si="12"/>
        <v>学士</v>
      </c>
    </row>
    <row r="41" spans="1:8" ht="34.5" customHeight="1">
      <c r="A41" s="6">
        <v>39</v>
      </c>
      <c r="B41" s="7" t="str">
        <f>"261020200911182720231"</f>
        <v>261020200911182720231</v>
      </c>
      <c r="C41" s="7" t="s">
        <v>9</v>
      </c>
      <c r="D41" s="7" t="str">
        <f>"王茜茜"</f>
        <v>王茜茜</v>
      </c>
      <c r="E41" s="7" t="str">
        <f t="shared" si="13"/>
        <v>女</v>
      </c>
      <c r="F41" s="7" t="str">
        <f>"1996-10-10"</f>
        <v>1996-10-10</v>
      </c>
      <c r="G41" s="7" t="str">
        <f t="shared" si="1"/>
        <v>本科</v>
      </c>
      <c r="H41" s="7" t="str">
        <f t="shared" si="12"/>
        <v>学士</v>
      </c>
    </row>
    <row r="42" spans="1:8" ht="34.5" customHeight="1">
      <c r="A42" s="6">
        <v>40</v>
      </c>
      <c r="B42" s="7" t="str">
        <f>"261020200911183553232"</f>
        <v>261020200911183553232</v>
      </c>
      <c r="C42" s="7" t="s">
        <v>9</v>
      </c>
      <c r="D42" s="7" t="str">
        <f>"文迪雅"</f>
        <v>文迪雅</v>
      </c>
      <c r="E42" s="7" t="str">
        <f t="shared" si="13"/>
        <v>女</v>
      </c>
      <c r="F42" s="7" t="str">
        <f>"1996-11-07"</f>
        <v>1996-11-07</v>
      </c>
      <c r="G42" s="7" t="str">
        <f t="shared" si="1"/>
        <v>本科</v>
      </c>
      <c r="H42" s="7" t="str">
        <f t="shared" si="12"/>
        <v>学士</v>
      </c>
    </row>
    <row r="43" spans="1:8" ht="34.5" customHeight="1">
      <c r="A43" s="6">
        <v>41</v>
      </c>
      <c r="B43" s="7" t="str">
        <f>"261020200911211245244"</f>
        <v>261020200911211245244</v>
      </c>
      <c r="C43" s="7" t="s">
        <v>9</v>
      </c>
      <c r="D43" s="7" t="str">
        <f>"符畅"</f>
        <v>符畅</v>
      </c>
      <c r="E43" s="7" t="str">
        <f t="shared" si="13"/>
        <v>女</v>
      </c>
      <c r="F43" s="7" t="str">
        <f>"1998-04-08"</f>
        <v>1998-04-08</v>
      </c>
      <c r="G43" s="7" t="str">
        <f t="shared" si="1"/>
        <v>本科</v>
      </c>
      <c r="H43" s="7" t="str">
        <f t="shared" si="12"/>
        <v>学士</v>
      </c>
    </row>
    <row r="44" spans="1:8" ht="34.5" customHeight="1">
      <c r="A44" s="6">
        <v>42</v>
      </c>
      <c r="B44" s="7" t="str">
        <f>"261020200911223846249"</f>
        <v>261020200911223846249</v>
      </c>
      <c r="C44" s="7" t="s">
        <v>9</v>
      </c>
      <c r="D44" s="7" t="str">
        <f>"凌立燕"</f>
        <v>凌立燕</v>
      </c>
      <c r="E44" s="7" t="str">
        <f t="shared" si="13"/>
        <v>女</v>
      </c>
      <c r="F44" s="7" t="str">
        <f>"1996-03-08"</f>
        <v>1996-03-08</v>
      </c>
      <c r="G44" s="7" t="str">
        <f t="shared" si="1"/>
        <v>本科</v>
      </c>
      <c r="H44" s="7" t="str">
        <f t="shared" si="12"/>
        <v>学士</v>
      </c>
    </row>
    <row r="45" spans="1:8" ht="34.5" customHeight="1">
      <c r="A45" s="6">
        <v>43</v>
      </c>
      <c r="B45" s="7" t="str">
        <f>"261020200911234229254"</f>
        <v>261020200911234229254</v>
      </c>
      <c r="C45" s="7" t="s">
        <v>9</v>
      </c>
      <c r="D45" s="7" t="str">
        <f>"陈丹"</f>
        <v>陈丹</v>
      </c>
      <c r="E45" s="7" t="str">
        <f t="shared" si="13"/>
        <v>女</v>
      </c>
      <c r="F45" s="7" t="str">
        <f>"1996-12-01"</f>
        <v>1996-12-01</v>
      </c>
      <c r="G45" s="7" t="str">
        <f t="shared" si="1"/>
        <v>本科</v>
      </c>
      <c r="H45" s="7" t="str">
        <f t="shared" si="12"/>
        <v>学士</v>
      </c>
    </row>
    <row r="46" spans="1:8" ht="34.5" customHeight="1">
      <c r="A46" s="6">
        <v>44</v>
      </c>
      <c r="B46" s="7" t="str">
        <f>"261020200912095108265"</f>
        <v>261020200912095108265</v>
      </c>
      <c r="C46" s="7" t="s">
        <v>9</v>
      </c>
      <c r="D46" s="7" t="str">
        <f>"陈保桦"</f>
        <v>陈保桦</v>
      </c>
      <c r="E46" s="7" t="str">
        <f aca="true" t="shared" si="14" ref="E46:E51">"男"</f>
        <v>男</v>
      </c>
      <c r="F46" s="7" t="str">
        <f>"1997-11-18"</f>
        <v>1997-11-18</v>
      </c>
      <c r="G46" s="7" t="str">
        <f t="shared" si="1"/>
        <v>本科</v>
      </c>
      <c r="H46" s="7" t="str">
        <f t="shared" si="12"/>
        <v>学士</v>
      </c>
    </row>
    <row r="47" spans="1:8" ht="34.5" customHeight="1">
      <c r="A47" s="6">
        <v>45</v>
      </c>
      <c r="B47" s="7" t="str">
        <f>"261020200912101713267"</f>
        <v>261020200912101713267</v>
      </c>
      <c r="C47" s="7" t="s">
        <v>9</v>
      </c>
      <c r="D47" s="7" t="str">
        <f>"郑莹"</f>
        <v>郑莹</v>
      </c>
      <c r="E47" s="7" t="str">
        <f aca="true" t="shared" si="15" ref="E47:E52">"女"</f>
        <v>女</v>
      </c>
      <c r="F47" s="7" t="str">
        <f>"1998-09-10"</f>
        <v>1998-09-10</v>
      </c>
      <c r="G47" s="7" t="str">
        <f t="shared" si="1"/>
        <v>本科</v>
      </c>
      <c r="H47" s="7" t="str">
        <f t="shared" si="12"/>
        <v>学士</v>
      </c>
    </row>
    <row r="48" spans="1:8" ht="34.5" customHeight="1">
      <c r="A48" s="6">
        <v>46</v>
      </c>
      <c r="B48" s="7" t="str">
        <f>"261020200912105751274"</f>
        <v>261020200912105751274</v>
      </c>
      <c r="C48" s="7" t="s">
        <v>9</v>
      </c>
      <c r="D48" s="7" t="str">
        <f>"金淑珍"</f>
        <v>金淑珍</v>
      </c>
      <c r="E48" s="7" t="str">
        <f t="shared" si="15"/>
        <v>女</v>
      </c>
      <c r="F48" s="7" t="str">
        <f>"1995-10-14"</f>
        <v>1995-10-14</v>
      </c>
      <c r="G48" s="7" t="str">
        <f>"研究生"</f>
        <v>研究生</v>
      </c>
      <c r="H48" s="7" t="str">
        <f>"硕士"</f>
        <v>硕士</v>
      </c>
    </row>
    <row r="49" spans="1:8" ht="34.5" customHeight="1">
      <c r="A49" s="6">
        <v>47</v>
      </c>
      <c r="B49" s="7" t="str">
        <f>"261020200912120445286"</f>
        <v>261020200912120445286</v>
      </c>
      <c r="C49" s="7" t="s">
        <v>9</v>
      </c>
      <c r="D49" s="7" t="str">
        <f>"陈家盛"</f>
        <v>陈家盛</v>
      </c>
      <c r="E49" s="7" t="str">
        <f t="shared" si="14"/>
        <v>男</v>
      </c>
      <c r="F49" s="7" t="str">
        <f>"1998-05-15"</f>
        <v>1998-05-15</v>
      </c>
      <c r="G49" s="7" t="str">
        <f aca="true" t="shared" si="16" ref="G49:G51">"本科"</f>
        <v>本科</v>
      </c>
      <c r="H49" s="7" t="str">
        <f aca="true" t="shared" si="17" ref="H49:H51">"学士"</f>
        <v>学士</v>
      </c>
    </row>
    <row r="50" spans="1:8" ht="34.5" customHeight="1">
      <c r="A50" s="6">
        <v>48</v>
      </c>
      <c r="B50" s="7" t="str">
        <f>"261020200912125416289"</f>
        <v>261020200912125416289</v>
      </c>
      <c r="C50" s="7" t="s">
        <v>9</v>
      </c>
      <c r="D50" s="7" t="str">
        <f>"孙驰"</f>
        <v>孙驰</v>
      </c>
      <c r="E50" s="7" t="str">
        <f t="shared" si="14"/>
        <v>男</v>
      </c>
      <c r="F50" s="7" t="str">
        <f>"1995-03-20"</f>
        <v>1995-03-20</v>
      </c>
      <c r="G50" s="7" t="str">
        <f t="shared" si="16"/>
        <v>本科</v>
      </c>
      <c r="H50" s="7" t="str">
        <f t="shared" si="17"/>
        <v>学士</v>
      </c>
    </row>
    <row r="51" spans="1:8" ht="34.5" customHeight="1">
      <c r="A51" s="6">
        <v>49</v>
      </c>
      <c r="B51" s="7" t="str">
        <f>"261020200912125551290"</f>
        <v>261020200912125551290</v>
      </c>
      <c r="C51" s="7" t="s">
        <v>9</v>
      </c>
      <c r="D51" s="7" t="str">
        <f>"陈威任"</f>
        <v>陈威任</v>
      </c>
      <c r="E51" s="7" t="str">
        <f t="shared" si="14"/>
        <v>男</v>
      </c>
      <c r="F51" s="7" t="str">
        <f>"1996-10-25"</f>
        <v>1996-10-25</v>
      </c>
      <c r="G51" s="7" t="str">
        <f t="shared" si="16"/>
        <v>本科</v>
      </c>
      <c r="H51" s="7" t="str">
        <f t="shared" si="17"/>
        <v>学士</v>
      </c>
    </row>
    <row r="52" spans="1:8" ht="34.5" customHeight="1">
      <c r="A52" s="6">
        <v>50</v>
      </c>
      <c r="B52" s="7" t="str">
        <f>"261020200912140957294"</f>
        <v>261020200912140957294</v>
      </c>
      <c r="C52" s="7" t="s">
        <v>9</v>
      </c>
      <c r="D52" s="7" t="str">
        <f>"王娟"</f>
        <v>王娟</v>
      </c>
      <c r="E52" s="7" t="str">
        <f t="shared" si="15"/>
        <v>女</v>
      </c>
      <c r="F52" s="7" t="str">
        <f>"1992-04-13"</f>
        <v>1992-04-13</v>
      </c>
      <c r="G52" s="7" t="str">
        <f>"研究生"</f>
        <v>研究生</v>
      </c>
      <c r="H52" s="7" t="str">
        <f>"硕士"</f>
        <v>硕士</v>
      </c>
    </row>
    <row r="53" spans="1:8" ht="34.5" customHeight="1">
      <c r="A53" s="6">
        <v>51</v>
      </c>
      <c r="B53" s="7" t="str">
        <f>"261020200912142343295"</f>
        <v>261020200912142343295</v>
      </c>
      <c r="C53" s="7" t="s">
        <v>9</v>
      </c>
      <c r="D53" s="7" t="str">
        <f>"韩旭"</f>
        <v>韩旭</v>
      </c>
      <c r="E53" s="7" t="str">
        <f aca="true" t="shared" si="18" ref="E53:E58">"男"</f>
        <v>男</v>
      </c>
      <c r="F53" s="7" t="str">
        <f>"1997-07-18"</f>
        <v>1997-07-18</v>
      </c>
      <c r="G53" s="7" t="str">
        <f aca="true" t="shared" si="19" ref="G53:G116">"本科"</f>
        <v>本科</v>
      </c>
      <c r="H53" s="7" t="str">
        <f aca="true" t="shared" si="20" ref="H53:H71">"学士"</f>
        <v>学士</v>
      </c>
    </row>
    <row r="54" spans="1:8" ht="34.5" customHeight="1">
      <c r="A54" s="6">
        <v>52</v>
      </c>
      <c r="B54" s="7" t="str">
        <f>"261020200912144856297"</f>
        <v>261020200912144856297</v>
      </c>
      <c r="C54" s="7" t="s">
        <v>9</v>
      </c>
      <c r="D54" s="7" t="str">
        <f>"赵壮婷"</f>
        <v>赵壮婷</v>
      </c>
      <c r="E54" s="7" t="str">
        <f aca="true" t="shared" si="21" ref="E54:E57">"女"</f>
        <v>女</v>
      </c>
      <c r="F54" s="7" t="str">
        <f>"1996.10.07"</f>
        <v>1996.10.07</v>
      </c>
      <c r="G54" s="7" t="str">
        <f t="shared" si="19"/>
        <v>本科</v>
      </c>
      <c r="H54" s="7" t="str">
        <f t="shared" si="20"/>
        <v>学士</v>
      </c>
    </row>
    <row r="55" spans="1:8" ht="34.5" customHeight="1">
      <c r="A55" s="6">
        <v>53</v>
      </c>
      <c r="B55" s="7" t="str">
        <f>"261020200912155032301"</f>
        <v>261020200912155032301</v>
      </c>
      <c r="C55" s="7" t="s">
        <v>9</v>
      </c>
      <c r="D55" s="7" t="str">
        <f>"吴颖"</f>
        <v>吴颖</v>
      </c>
      <c r="E55" s="7" t="str">
        <f t="shared" si="21"/>
        <v>女</v>
      </c>
      <c r="F55" s="7" t="str">
        <f>"1998-10-12"</f>
        <v>1998-10-12</v>
      </c>
      <c r="G55" s="7" t="str">
        <f t="shared" si="19"/>
        <v>本科</v>
      </c>
      <c r="H55" s="7" t="str">
        <f t="shared" si="20"/>
        <v>学士</v>
      </c>
    </row>
    <row r="56" spans="1:8" ht="34.5" customHeight="1">
      <c r="A56" s="6">
        <v>54</v>
      </c>
      <c r="B56" s="7" t="str">
        <f>"261020200912173118309"</f>
        <v>261020200912173118309</v>
      </c>
      <c r="C56" s="7" t="s">
        <v>9</v>
      </c>
      <c r="D56" s="7" t="str">
        <f>"曾庆健"</f>
        <v>曾庆健</v>
      </c>
      <c r="E56" s="7" t="str">
        <f t="shared" si="18"/>
        <v>男</v>
      </c>
      <c r="F56" s="7" t="str">
        <f>"1995-06-11"</f>
        <v>1995-06-11</v>
      </c>
      <c r="G56" s="7" t="str">
        <f t="shared" si="19"/>
        <v>本科</v>
      </c>
      <c r="H56" s="7" t="str">
        <f t="shared" si="20"/>
        <v>学士</v>
      </c>
    </row>
    <row r="57" spans="1:8" ht="34.5" customHeight="1">
      <c r="A57" s="6">
        <v>55</v>
      </c>
      <c r="B57" s="7" t="str">
        <f>"261020200912220817317"</f>
        <v>261020200912220817317</v>
      </c>
      <c r="C57" s="7" t="s">
        <v>9</v>
      </c>
      <c r="D57" s="7" t="str">
        <f>"刘芷琳"</f>
        <v>刘芷琳</v>
      </c>
      <c r="E57" s="7" t="str">
        <f t="shared" si="21"/>
        <v>女</v>
      </c>
      <c r="F57" s="7" t="str">
        <f>"1997-10-18"</f>
        <v>1997-10-18</v>
      </c>
      <c r="G57" s="7" t="str">
        <f t="shared" si="19"/>
        <v>本科</v>
      </c>
      <c r="H57" s="7" t="str">
        <f t="shared" si="20"/>
        <v>学士</v>
      </c>
    </row>
    <row r="58" spans="1:8" ht="34.5" customHeight="1">
      <c r="A58" s="6">
        <v>56</v>
      </c>
      <c r="B58" s="7" t="str">
        <f>"261020200913104012325"</f>
        <v>261020200913104012325</v>
      </c>
      <c r="C58" s="7" t="s">
        <v>9</v>
      </c>
      <c r="D58" s="7" t="str">
        <f>"严国旺"</f>
        <v>严国旺</v>
      </c>
      <c r="E58" s="7" t="str">
        <f t="shared" si="18"/>
        <v>男</v>
      </c>
      <c r="F58" s="7" t="str">
        <f>"1995-06-06"</f>
        <v>1995-06-06</v>
      </c>
      <c r="G58" s="7" t="str">
        <f t="shared" si="19"/>
        <v>本科</v>
      </c>
      <c r="H58" s="7" t="str">
        <f t="shared" si="20"/>
        <v>学士</v>
      </c>
    </row>
    <row r="59" spans="1:8" ht="34.5" customHeight="1">
      <c r="A59" s="6">
        <v>57</v>
      </c>
      <c r="B59" s="7" t="str">
        <f>"261020200913104846326"</f>
        <v>261020200913104846326</v>
      </c>
      <c r="C59" s="7" t="s">
        <v>9</v>
      </c>
      <c r="D59" s="7" t="str">
        <f>"罗新妮"</f>
        <v>罗新妮</v>
      </c>
      <c r="E59" s="7" t="str">
        <f>"女"</f>
        <v>女</v>
      </c>
      <c r="F59" s="7" t="str">
        <f>"1997-02-07"</f>
        <v>1997-02-07</v>
      </c>
      <c r="G59" s="7" t="str">
        <f t="shared" si="19"/>
        <v>本科</v>
      </c>
      <c r="H59" s="7" t="str">
        <f t="shared" si="20"/>
        <v>学士</v>
      </c>
    </row>
    <row r="60" spans="1:8" ht="34.5" customHeight="1">
      <c r="A60" s="6">
        <v>58</v>
      </c>
      <c r="B60" s="7" t="str">
        <f>"261020200913161655345"</f>
        <v>261020200913161655345</v>
      </c>
      <c r="C60" s="7" t="s">
        <v>9</v>
      </c>
      <c r="D60" s="7" t="str">
        <f>"邢贻清"</f>
        <v>邢贻清</v>
      </c>
      <c r="E60" s="7" t="str">
        <f aca="true" t="shared" si="22" ref="E60:E68">"男"</f>
        <v>男</v>
      </c>
      <c r="F60" s="7" t="str">
        <f>"1994-01-03"</f>
        <v>1994-01-03</v>
      </c>
      <c r="G60" s="7" t="str">
        <f t="shared" si="19"/>
        <v>本科</v>
      </c>
      <c r="H60" s="7" t="str">
        <f t="shared" si="20"/>
        <v>学士</v>
      </c>
    </row>
    <row r="61" spans="1:8" ht="34.5" customHeight="1">
      <c r="A61" s="6">
        <v>59</v>
      </c>
      <c r="B61" s="7" t="str">
        <f>"261020200913173018351"</f>
        <v>261020200913173018351</v>
      </c>
      <c r="C61" s="7" t="s">
        <v>9</v>
      </c>
      <c r="D61" s="7" t="str">
        <f>"朱家俊"</f>
        <v>朱家俊</v>
      </c>
      <c r="E61" s="7" t="str">
        <f t="shared" si="22"/>
        <v>男</v>
      </c>
      <c r="F61" s="7" t="str">
        <f>"1995-03-07"</f>
        <v>1995-03-07</v>
      </c>
      <c r="G61" s="7" t="str">
        <f t="shared" si="19"/>
        <v>本科</v>
      </c>
      <c r="H61" s="7" t="str">
        <f t="shared" si="20"/>
        <v>学士</v>
      </c>
    </row>
    <row r="62" spans="1:8" ht="34.5" customHeight="1">
      <c r="A62" s="6">
        <v>60</v>
      </c>
      <c r="B62" s="7" t="str">
        <f>"261020200913182940355"</f>
        <v>261020200913182940355</v>
      </c>
      <c r="C62" s="7" t="s">
        <v>9</v>
      </c>
      <c r="D62" s="7" t="str">
        <f>"谢一东"</f>
        <v>谢一东</v>
      </c>
      <c r="E62" s="7" t="str">
        <f t="shared" si="22"/>
        <v>男</v>
      </c>
      <c r="F62" s="7" t="str">
        <f>"1996-12-18"</f>
        <v>1996-12-18</v>
      </c>
      <c r="G62" s="7" t="str">
        <f t="shared" si="19"/>
        <v>本科</v>
      </c>
      <c r="H62" s="7" t="str">
        <f t="shared" si="20"/>
        <v>学士</v>
      </c>
    </row>
    <row r="63" spans="1:8" ht="34.5" customHeight="1">
      <c r="A63" s="6">
        <v>61</v>
      </c>
      <c r="B63" s="7" t="str">
        <f>"261020200913202921358"</f>
        <v>261020200913202921358</v>
      </c>
      <c r="C63" s="7" t="s">
        <v>9</v>
      </c>
      <c r="D63" s="7" t="str">
        <f>"陈太梧"</f>
        <v>陈太梧</v>
      </c>
      <c r="E63" s="7" t="str">
        <f t="shared" si="22"/>
        <v>男</v>
      </c>
      <c r="F63" s="7" t="str">
        <f>"1998-08-15"</f>
        <v>1998-08-15</v>
      </c>
      <c r="G63" s="7" t="str">
        <f t="shared" si="19"/>
        <v>本科</v>
      </c>
      <c r="H63" s="7" t="str">
        <f t="shared" si="20"/>
        <v>学士</v>
      </c>
    </row>
    <row r="64" spans="1:8" ht="34.5" customHeight="1">
      <c r="A64" s="6">
        <v>62</v>
      </c>
      <c r="B64" s="7" t="str">
        <f>"261020200913212838364"</f>
        <v>261020200913212838364</v>
      </c>
      <c r="C64" s="7" t="s">
        <v>9</v>
      </c>
      <c r="D64" s="7" t="str">
        <f>"林子森"</f>
        <v>林子森</v>
      </c>
      <c r="E64" s="7" t="str">
        <f t="shared" si="22"/>
        <v>男</v>
      </c>
      <c r="F64" s="7" t="str">
        <f>"1998-01-10"</f>
        <v>1998-01-10</v>
      </c>
      <c r="G64" s="7" t="str">
        <f t="shared" si="19"/>
        <v>本科</v>
      </c>
      <c r="H64" s="7" t="str">
        <f t="shared" si="20"/>
        <v>学士</v>
      </c>
    </row>
    <row r="65" spans="1:8" ht="34.5" customHeight="1">
      <c r="A65" s="6">
        <v>63</v>
      </c>
      <c r="B65" s="7" t="str">
        <f>"261020200913215317366"</f>
        <v>261020200913215317366</v>
      </c>
      <c r="C65" s="7" t="s">
        <v>9</v>
      </c>
      <c r="D65" s="7" t="str">
        <f>"吴贤奖"</f>
        <v>吴贤奖</v>
      </c>
      <c r="E65" s="7" t="str">
        <f t="shared" si="22"/>
        <v>男</v>
      </c>
      <c r="F65" s="7" t="str">
        <f>"1997-01-20"</f>
        <v>1997-01-20</v>
      </c>
      <c r="G65" s="7" t="str">
        <f t="shared" si="19"/>
        <v>本科</v>
      </c>
      <c r="H65" s="7" t="str">
        <f t="shared" si="20"/>
        <v>学士</v>
      </c>
    </row>
    <row r="66" spans="1:8" ht="34.5" customHeight="1">
      <c r="A66" s="6">
        <v>64</v>
      </c>
      <c r="B66" s="7" t="str">
        <f>"261020200913230203369"</f>
        <v>261020200913230203369</v>
      </c>
      <c r="C66" s="7" t="s">
        <v>9</v>
      </c>
      <c r="D66" s="7" t="str">
        <f>"谢晋聪"</f>
        <v>谢晋聪</v>
      </c>
      <c r="E66" s="7" t="str">
        <f t="shared" si="22"/>
        <v>男</v>
      </c>
      <c r="F66" s="7" t="str">
        <f>"1996-11-25"</f>
        <v>1996-11-25</v>
      </c>
      <c r="G66" s="7" t="str">
        <f t="shared" si="19"/>
        <v>本科</v>
      </c>
      <c r="H66" s="7" t="str">
        <f t="shared" si="20"/>
        <v>学士</v>
      </c>
    </row>
    <row r="67" spans="1:8" ht="34.5" customHeight="1">
      <c r="A67" s="6">
        <v>65</v>
      </c>
      <c r="B67" s="7" t="str">
        <f>"261020200914003329372"</f>
        <v>261020200914003329372</v>
      </c>
      <c r="C67" s="7" t="s">
        <v>9</v>
      </c>
      <c r="D67" s="7" t="str">
        <f>"孙寅哲"</f>
        <v>孙寅哲</v>
      </c>
      <c r="E67" s="7" t="str">
        <f t="shared" si="22"/>
        <v>男</v>
      </c>
      <c r="F67" s="7" t="str">
        <f>"1998-06-30"</f>
        <v>1998-06-30</v>
      </c>
      <c r="G67" s="7" t="str">
        <f t="shared" si="19"/>
        <v>本科</v>
      </c>
      <c r="H67" s="7" t="str">
        <f t="shared" si="20"/>
        <v>学士</v>
      </c>
    </row>
    <row r="68" spans="1:8" ht="34.5" customHeight="1">
      <c r="A68" s="6">
        <v>66</v>
      </c>
      <c r="B68" s="7" t="str">
        <f>"261020200914114818402"</f>
        <v>261020200914114818402</v>
      </c>
      <c r="C68" s="7" t="s">
        <v>9</v>
      </c>
      <c r="D68" s="7" t="str">
        <f>"符永利"</f>
        <v>符永利</v>
      </c>
      <c r="E68" s="7" t="str">
        <f t="shared" si="22"/>
        <v>男</v>
      </c>
      <c r="F68" s="7" t="str">
        <f>"1996-08-08"</f>
        <v>1996-08-08</v>
      </c>
      <c r="G68" s="7" t="str">
        <f t="shared" si="19"/>
        <v>本科</v>
      </c>
      <c r="H68" s="7" t="str">
        <f t="shared" si="20"/>
        <v>学士</v>
      </c>
    </row>
    <row r="69" spans="1:8" ht="34.5" customHeight="1">
      <c r="A69" s="6">
        <v>67</v>
      </c>
      <c r="B69" s="7" t="str">
        <f>"261020200914124654405"</f>
        <v>261020200914124654405</v>
      </c>
      <c r="C69" s="7" t="s">
        <v>9</v>
      </c>
      <c r="D69" s="7" t="str">
        <f>"陈慧莹"</f>
        <v>陈慧莹</v>
      </c>
      <c r="E69" s="7" t="str">
        <f>"女"</f>
        <v>女</v>
      </c>
      <c r="F69" s="7" t="str">
        <f>"1997-06-01"</f>
        <v>1997-06-01</v>
      </c>
      <c r="G69" s="7" t="str">
        <f t="shared" si="19"/>
        <v>本科</v>
      </c>
      <c r="H69" s="7" t="str">
        <f t="shared" si="20"/>
        <v>学士</v>
      </c>
    </row>
    <row r="70" spans="1:8" ht="34.5" customHeight="1">
      <c r="A70" s="6">
        <v>68</v>
      </c>
      <c r="B70" s="7" t="str">
        <f>"261020200914124911406"</f>
        <v>261020200914124911406</v>
      </c>
      <c r="C70" s="7" t="s">
        <v>9</v>
      </c>
      <c r="D70" s="7" t="str">
        <f>"陈教哲"</f>
        <v>陈教哲</v>
      </c>
      <c r="E70" s="7" t="str">
        <f aca="true" t="shared" si="23" ref="E70:E75">"男"</f>
        <v>男</v>
      </c>
      <c r="F70" s="7" t="str">
        <f>"1998-03-29"</f>
        <v>1998-03-29</v>
      </c>
      <c r="G70" s="7" t="str">
        <f t="shared" si="19"/>
        <v>本科</v>
      </c>
      <c r="H70" s="7" t="str">
        <f t="shared" si="20"/>
        <v>学士</v>
      </c>
    </row>
    <row r="71" spans="1:8" ht="34.5" customHeight="1">
      <c r="A71" s="6">
        <v>69</v>
      </c>
      <c r="B71" s="7" t="str">
        <f>"261020200914140352411"</f>
        <v>261020200914140352411</v>
      </c>
      <c r="C71" s="7" t="s">
        <v>9</v>
      </c>
      <c r="D71" s="7" t="str">
        <f>"王位功"</f>
        <v>王位功</v>
      </c>
      <c r="E71" s="7" t="str">
        <f t="shared" si="23"/>
        <v>男</v>
      </c>
      <c r="F71" s="7" t="str">
        <f>"1996-11-24"</f>
        <v>1996-11-24</v>
      </c>
      <c r="G71" s="7" t="str">
        <f t="shared" si="19"/>
        <v>本科</v>
      </c>
      <c r="H71" s="7" t="str">
        <f t="shared" si="20"/>
        <v>学士</v>
      </c>
    </row>
    <row r="72" spans="1:8" ht="34.5" customHeight="1">
      <c r="A72" s="6">
        <v>70</v>
      </c>
      <c r="B72" s="7" t="str">
        <f>"261020200914154031421"</f>
        <v>261020200914154031421</v>
      </c>
      <c r="C72" s="7" t="s">
        <v>9</v>
      </c>
      <c r="D72" s="7" t="str">
        <f>"郑伟康"</f>
        <v>郑伟康</v>
      </c>
      <c r="E72" s="7" t="str">
        <f t="shared" si="23"/>
        <v>男</v>
      </c>
      <c r="F72" s="7" t="str">
        <f>"1998-03-02"</f>
        <v>1998-03-02</v>
      </c>
      <c r="G72" s="7" t="str">
        <f t="shared" si="19"/>
        <v>本科</v>
      </c>
      <c r="H72" s="7" t="str">
        <f aca="true" t="shared" si="24" ref="H72:H89">"学士"</f>
        <v>学士</v>
      </c>
    </row>
    <row r="73" spans="1:8" ht="34.5" customHeight="1">
      <c r="A73" s="6">
        <v>71</v>
      </c>
      <c r="B73" s="7" t="str">
        <f>"261020200914163340429"</f>
        <v>261020200914163340429</v>
      </c>
      <c r="C73" s="7" t="s">
        <v>9</v>
      </c>
      <c r="D73" s="7" t="str">
        <f>"许武"</f>
        <v>许武</v>
      </c>
      <c r="E73" s="7" t="str">
        <f t="shared" si="23"/>
        <v>男</v>
      </c>
      <c r="F73" s="7" t="str">
        <f>"1997-07-16"</f>
        <v>1997-07-16</v>
      </c>
      <c r="G73" s="7" t="str">
        <f t="shared" si="19"/>
        <v>本科</v>
      </c>
      <c r="H73" s="7" t="str">
        <f t="shared" si="24"/>
        <v>学士</v>
      </c>
    </row>
    <row r="74" spans="1:8" ht="34.5" customHeight="1">
      <c r="A74" s="6">
        <v>72</v>
      </c>
      <c r="B74" s="7" t="str">
        <f>"261020200914180303443"</f>
        <v>261020200914180303443</v>
      </c>
      <c r="C74" s="7" t="s">
        <v>9</v>
      </c>
      <c r="D74" s="7" t="str">
        <f>"文韬杰"</f>
        <v>文韬杰</v>
      </c>
      <c r="E74" s="7" t="str">
        <f t="shared" si="23"/>
        <v>男</v>
      </c>
      <c r="F74" s="7" t="str">
        <f>"1997-12-14"</f>
        <v>1997-12-14</v>
      </c>
      <c r="G74" s="7" t="str">
        <f t="shared" si="19"/>
        <v>本科</v>
      </c>
      <c r="H74" s="7" t="str">
        <f t="shared" si="24"/>
        <v>学士</v>
      </c>
    </row>
    <row r="75" spans="1:8" ht="34.5" customHeight="1">
      <c r="A75" s="6">
        <v>73</v>
      </c>
      <c r="B75" s="7" t="str">
        <f>"261020200914204943451"</f>
        <v>261020200914204943451</v>
      </c>
      <c r="C75" s="7" t="s">
        <v>9</v>
      </c>
      <c r="D75" s="7" t="str">
        <f>"李贵锦"</f>
        <v>李贵锦</v>
      </c>
      <c r="E75" s="7" t="str">
        <f t="shared" si="23"/>
        <v>男</v>
      </c>
      <c r="F75" s="7" t="str">
        <f>"1997-03-20"</f>
        <v>1997-03-20</v>
      </c>
      <c r="G75" s="7" t="str">
        <f t="shared" si="19"/>
        <v>本科</v>
      </c>
      <c r="H75" s="7" t="str">
        <f t="shared" si="24"/>
        <v>学士</v>
      </c>
    </row>
    <row r="76" spans="1:8" ht="34.5" customHeight="1">
      <c r="A76" s="6">
        <v>74</v>
      </c>
      <c r="B76" s="7" t="str">
        <f>"261020200915160801488"</f>
        <v>261020200915160801488</v>
      </c>
      <c r="C76" s="7" t="s">
        <v>9</v>
      </c>
      <c r="D76" s="7" t="str">
        <f>"王心如"</f>
        <v>王心如</v>
      </c>
      <c r="E76" s="7" t="str">
        <f>"女"</f>
        <v>女</v>
      </c>
      <c r="F76" s="7" t="str">
        <f>"1998-10-08"</f>
        <v>1998-10-08</v>
      </c>
      <c r="G76" s="7" t="str">
        <f t="shared" si="19"/>
        <v>本科</v>
      </c>
      <c r="H76" s="7" t="str">
        <f t="shared" si="24"/>
        <v>学士</v>
      </c>
    </row>
    <row r="77" spans="1:8" ht="34.5" customHeight="1">
      <c r="A77" s="6">
        <v>75</v>
      </c>
      <c r="B77" s="7" t="str">
        <f>"261020200915163621492"</f>
        <v>261020200915163621492</v>
      </c>
      <c r="C77" s="7" t="s">
        <v>9</v>
      </c>
      <c r="D77" s="7" t="str">
        <f>"张洪铭"</f>
        <v>张洪铭</v>
      </c>
      <c r="E77" s="7" t="str">
        <f aca="true" t="shared" si="25" ref="E77:E84">"男"</f>
        <v>男</v>
      </c>
      <c r="F77" s="7" t="str">
        <f>"1996-06-18"</f>
        <v>1996-06-18</v>
      </c>
      <c r="G77" s="7" t="str">
        <f t="shared" si="19"/>
        <v>本科</v>
      </c>
      <c r="H77" s="7" t="str">
        <f t="shared" si="24"/>
        <v>学士</v>
      </c>
    </row>
    <row r="78" spans="1:8" ht="34.5" customHeight="1">
      <c r="A78" s="6">
        <v>76</v>
      </c>
      <c r="B78" s="7" t="str">
        <f>"261020200915163728493"</f>
        <v>261020200915163728493</v>
      </c>
      <c r="C78" s="7" t="s">
        <v>9</v>
      </c>
      <c r="D78" s="7" t="str">
        <f>"唐真武"</f>
        <v>唐真武</v>
      </c>
      <c r="E78" s="7" t="str">
        <f t="shared" si="25"/>
        <v>男</v>
      </c>
      <c r="F78" s="7" t="str">
        <f>"1996-11-08"</f>
        <v>1996-11-08</v>
      </c>
      <c r="G78" s="7" t="str">
        <f t="shared" si="19"/>
        <v>本科</v>
      </c>
      <c r="H78" s="7" t="str">
        <f t="shared" si="24"/>
        <v>学士</v>
      </c>
    </row>
    <row r="79" spans="1:8" ht="34.5" customHeight="1">
      <c r="A79" s="6">
        <v>77</v>
      </c>
      <c r="B79" s="7" t="str">
        <f>"261020200915171916502"</f>
        <v>261020200915171916502</v>
      </c>
      <c r="C79" s="7" t="s">
        <v>9</v>
      </c>
      <c r="D79" s="7" t="str">
        <f>"吴国栋"</f>
        <v>吴国栋</v>
      </c>
      <c r="E79" s="7" t="str">
        <f t="shared" si="25"/>
        <v>男</v>
      </c>
      <c r="F79" s="7" t="str">
        <f>"1997-02-08"</f>
        <v>1997-02-08</v>
      </c>
      <c r="G79" s="7" t="str">
        <f t="shared" si="19"/>
        <v>本科</v>
      </c>
      <c r="H79" s="7" t="str">
        <f t="shared" si="24"/>
        <v>学士</v>
      </c>
    </row>
    <row r="80" spans="1:8" ht="34.5" customHeight="1">
      <c r="A80" s="6">
        <v>78</v>
      </c>
      <c r="B80" s="7" t="str">
        <f>"261020200915180918512"</f>
        <v>261020200915180918512</v>
      </c>
      <c r="C80" s="7" t="s">
        <v>9</v>
      </c>
      <c r="D80" s="7" t="str">
        <f>"董爵宁"</f>
        <v>董爵宁</v>
      </c>
      <c r="E80" s="7" t="str">
        <f t="shared" si="25"/>
        <v>男</v>
      </c>
      <c r="F80" s="7" t="str">
        <f>"1994-05-06"</f>
        <v>1994-05-06</v>
      </c>
      <c r="G80" s="7" t="str">
        <f t="shared" si="19"/>
        <v>本科</v>
      </c>
      <c r="H80" s="7" t="str">
        <f t="shared" si="24"/>
        <v>学士</v>
      </c>
    </row>
    <row r="81" spans="1:8" ht="34.5" customHeight="1">
      <c r="A81" s="6">
        <v>79</v>
      </c>
      <c r="B81" s="7" t="str">
        <f>"261020200915211738532"</f>
        <v>261020200915211738532</v>
      </c>
      <c r="C81" s="7" t="s">
        <v>9</v>
      </c>
      <c r="D81" s="7" t="str">
        <f>"王明杉"</f>
        <v>王明杉</v>
      </c>
      <c r="E81" s="7" t="str">
        <f t="shared" si="25"/>
        <v>男</v>
      </c>
      <c r="F81" s="7" t="str">
        <f>"1996-12-04"</f>
        <v>1996-12-04</v>
      </c>
      <c r="G81" s="7" t="str">
        <f t="shared" si="19"/>
        <v>本科</v>
      </c>
      <c r="H81" s="7" t="str">
        <f t="shared" si="24"/>
        <v>学士</v>
      </c>
    </row>
    <row r="82" spans="1:8" ht="34.5" customHeight="1">
      <c r="A82" s="6">
        <v>80</v>
      </c>
      <c r="B82" s="7" t="str">
        <f>"261020200915211751533"</f>
        <v>261020200915211751533</v>
      </c>
      <c r="C82" s="7" t="s">
        <v>9</v>
      </c>
      <c r="D82" s="7" t="str">
        <f>"吴毓人"</f>
        <v>吴毓人</v>
      </c>
      <c r="E82" s="7" t="str">
        <f t="shared" si="25"/>
        <v>男</v>
      </c>
      <c r="F82" s="7" t="str">
        <f>"1995-05-18"</f>
        <v>1995-05-18</v>
      </c>
      <c r="G82" s="7" t="str">
        <f t="shared" si="19"/>
        <v>本科</v>
      </c>
      <c r="H82" s="7" t="str">
        <f t="shared" si="24"/>
        <v>学士</v>
      </c>
    </row>
    <row r="83" spans="1:8" ht="34.5" customHeight="1">
      <c r="A83" s="6">
        <v>81</v>
      </c>
      <c r="B83" s="7" t="str">
        <f>"261020200915212425536"</f>
        <v>261020200915212425536</v>
      </c>
      <c r="C83" s="7" t="s">
        <v>9</v>
      </c>
      <c r="D83" s="7" t="str">
        <f>"欧哲望"</f>
        <v>欧哲望</v>
      </c>
      <c r="E83" s="7" t="str">
        <f t="shared" si="25"/>
        <v>男</v>
      </c>
      <c r="F83" s="7" t="str">
        <f>"1998-03-19"</f>
        <v>1998-03-19</v>
      </c>
      <c r="G83" s="7" t="str">
        <f t="shared" si="19"/>
        <v>本科</v>
      </c>
      <c r="H83" s="7" t="str">
        <f t="shared" si="24"/>
        <v>学士</v>
      </c>
    </row>
    <row r="84" spans="1:8" ht="34.5" customHeight="1">
      <c r="A84" s="6">
        <v>82</v>
      </c>
      <c r="B84" s="7" t="str">
        <f>"261020200915214825541"</f>
        <v>261020200915214825541</v>
      </c>
      <c r="C84" s="7" t="s">
        <v>9</v>
      </c>
      <c r="D84" s="7" t="str">
        <f>"陈升隆"</f>
        <v>陈升隆</v>
      </c>
      <c r="E84" s="7" t="str">
        <f t="shared" si="25"/>
        <v>男</v>
      </c>
      <c r="F84" s="7" t="str">
        <f>"1997-03-18"</f>
        <v>1997-03-18</v>
      </c>
      <c r="G84" s="7" t="str">
        <f t="shared" si="19"/>
        <v>本科</v>
      </c>
      <c r="H84" s="7" t="str">
        <f t="shared" si="24"/>
        <v>学士</v>
      </c>
    </row>
    <row r="85" spans="1:8" ht="34.5" customHeight="1">
      <c r="A85" s="6">
        <v>83</v>
      </c>
      <c r="B85" s="7" t="str">
        <f>"261020200915225625551"</f>
        <v>261020200915225625551</v>
      </c>
      <c r="C85" s="7" t="s">
        <v>9</v>
      </c>
      <c r="D85" s="7" t="str">
        <f>"韦晶晶"</f>
        <v>韦晶晶</v>
      </c>
      <c r="E85" s="7" t="str">
        <f aca="true" t="shared" si="26" ref="E85:E89">"女"</f>
        <v>女</v>
      </c>
      <c r="F85" s="7" t="str">
        <f>"1996-08-12"</f>
        <v>1996-08-12</v>
      </c>
      <c r="G85" s="7" t="str">
        <f t="shared" si="19"/>
        <v>本科</v>
      </c>
      <c r="H85" s="7" t="str">
        <f t="shared" si="24"/>
        <v>学士</v>
      </c>
    </row>
    <row r="86" spans="1:8" ht="34.5" customHeight="1">
      <c r="A86" s="6">
        <v>84</v>
      </c>
      <c r="B86" s="7" t="str">
        <f>"261020200916085556571"</f>
        <v>261020200916085556571</v>
      </c>
      <c r="C86" s="7" t="s">
        <v>9</v>
      </c>
      <c r="D86" s="7" t="str">
        <f>"麦霖霞"</f>
        <v>麦霖霞</v>
      </c>
      <c r="E86" s="7" t="str">
        <f t="shared" si="26"/>
        <v>女</v>
      </c>
      <c r="F86" s="7" t="str">
        <f>"1995-12-18"</f>
        <v>1995-12-18</v>
      </c>
      <c r="G86" s="7" t="str">
        <f t="shared" si="19"/>
        <v>本科</v>
      </c>
      <c r="H86" s="7" t="str">
        <f t="shared" si="24"/>
        <v>学士</v>
      </c>
    </row>
    <row r="87" spans="1:8" ht="34.5" customHeight="1">
      <c r="A87" s="6">
        <v>85</v>
      </c>
      <c r="B87" s="7" t="str">
        <f>"261020200916123935584"</f>
        <v>261020200916123935584</v>
      </c>
      <c r="C87" s="7" t="s">
        <v>9</v>
      </c>
      <c r="D87" s="7" t="str">
        <f>"李祝雨"</f>
        <v>李祝雨</v>
      </c>
      <c r="E87" s="7" t="str">
        <f t="shared" si="26"/>
        <v>女</v>
      </c>
      <c r="F87" s="7" t="str">
        <f>"1998-08-03"</f>
        <v>1998-08-03</v>
      </c>
      <c r="G87" s="7" t="str">
        <f t="shared" si="19"/>
        <v>本科</v>
      </c>
      <c r="H87" s="7" t="str">
        <f t="shared" si="24"/>
        <v>学士</v>
      </c>
    </row>
    <row r="88" spans="1:8" ht="34.5" customHeight="1">
      <c r="A88" s="6">
        <v>86</v>
      </c>
      <c r="B88" s="7" t="str">
        <f>"261020200916130632585"</f>
        <v>261020200916130632585</v>
      </c>
      <c r="C88" s="7" t="s">
        <v>9</v>
      </c>
      <c r="D88" s="7" t="str">
        <f>"吴伶俐"</f>
        <v>吴伶俐</v>
      </c>
      <c r="E88" s="7" t="str">
        <f t="shared" si="26"/>
        <v>女</v>
      </c>
      <c r="F88" s="7" t="str">
        <f>"1998-02-11"</f>
        <v>1998-02-11</v>
      </c>
      <c r="G88" s="7" t="str">
        <f t="shared" si="19"/>
        <v>本科</v>
      </c>
      <c r="H88" s="7" t="str">
        <f t="shared" si="24"/>
        <v>学士</v>
      </c>
    </row>
    <row r="89" spans="1:8" ht="34.5" customHeight="1">
      <c r="A89" s="6">
        <v>87</v>
      </c>
      <c r="B89" s="7" t="str">
        <f>"261020200916135511591"</f>
        <v>261020200916135511591</v>
      </c>
      <c r="C89" s="7" t="s">
        <v>9</v>
      </c>
      <c r="D89" s="7" t="str">
        <f>"陈艳"</f>
        <v>陈艳</v>
      </c>
      <c r="E89" s="7" t="str">
        <f t="shared" si="26"/>
        <v>女</v>
      </c>
      <c r="F89" s="7" t="str">
        <f>"1998-03-16"</f>
        <v>1998-03-16</v>
      </c>
      <c r="G89" s="7" t="str">
        <f t="shared" si="19"/>
        <v>本科</v>
      </c>
      <c r="H89" s="7" t="str">
        <f t="shared" si="24"/>
        <v>学士</v>
      </c>
    </row>
    <row r="90" spans="1:8" ht="34.5" customHeight="1">
      <c r="A90" s="6">
        <v>88</v>
      </c>
      <c r="B90" s="7" t="str">
        <f>"2610202009100901423"</f>
        <v>2610202009100901423</v>
      </c>
      <c r="C90" s="7" t="s">
        <v>10</v>
      </c>
      <c r="D90" s="7" t="str">
        <f>"张才康"</f>
        <v>张才康</v>
      </c>
      <c r="E90" s="7" t="str">
        <f>"男"</f>
        <v>男</v>
      </c>
      <c r="F90" s="7" t="str">
        <f>"1996-09-23"</f>
        <v>1996-09-23</v>
      </c>
      <c r="G90" s="7" t="str">
        <f t="shared" si="19"/>
        <v>本科</v>
      </c>
      <c r="H90" s="7" t="str">
        <f aca="true" t="shared" si="27" ref="H90:H105">"学士"</f>
        <v>学士</v>
      </c>
    </row>
    <row r="91" spans="1:8" ht="34.5" customHeight="1">
      <c r="A91" s="6">
        <v>89</v>
      </c>
      <c r="B91" s="7" t="str">
        <f>"26102020091011362971"</f>
        <v>26102020091011362971</v>
      </c>
      <c r="C91" s="7" t="s">
        <v>10</v>
      </c>
      <c r="D91" s="7" t="str">
        <f>"林贵阳"</f>
        <v>林贵阳</v>
      </c>
      <c r="E91" s="7" t="str">
        <f>"男"</f>
        <v>男</v>
      </c>
      <c r="F91" s="7" t="str">
        <f>"1995-03-10"</f>
        <v>1995-03-10</v>
      </c>
      <c r="G91" s="7" t="str">
        <f t="shared" si="19"/>
        <v>本科</v>
      </c>
      <c r="H91" s="7" t="str">
        <f t="shared" si="27"/>
        <v>学士</v>
      </c>
    </row>
    <row r="92" spans="1:8" ht="34.5" customHeight="1">
      <c r="A92" s="6">
        <v>90</v>
      </c>
      <c r="B92" s="7" t="str">
        <f>"261020200911113716195"</f>
        <v>261020200911113716195</v>
      </c>
      <c r="C92" s="7" t="s">
        <v>10</v>
      </c>
      <c r="D92" s="7" t="str">
        <f>"黄庆丽"</f>
        <v>黄庆丽</v>
      </c>
      <c r="E92" s="7" t="str">
        <f aca="true" t="shared" si="28" ref="E92:E96">"女"</f>
        <v>女</v>
      </c>
      <c r="F92" s="7" t="str">
        <f>"1996-10-30"</f>
        <v>1996-10-30</v>
      </c>
      <c r="G92" s="7" t="str">
        <f t="shared" si="19"/>
        <v>本科</v>
      </c>
      <c r="H92" s="7" t="str">
        <f t="shared" si="27"/>
        <v>学士</v>
      </c>
    </row>
    <row r="93" spans="1:8" ht="34.5" customHeight="1">
      <c r="A93" s="6">
        <v>91</v>
      </c>
      <c r="B93" s="7" t="str">
        <f>"261020200911151612212"</f>
        <v>261020200911151612212</v>
      </c>
      <c r="C93" s="7" t="s">
        <v>10</v>
      </c>
      <c r="D93" s="7" t="str">
        <f>"陈淑金"</f>
        <v>陈淑金</v>
      </c>
      <c r="E93" s="7" t="str">
        <f t="shared" si="28"/>
        <v>女</v>
      </c>
      <c r="F93" s="7" t="str">
        <f>"1998-06-28"</f>
        <v>1998-06-28</v>
      </c>
      <c r="G93" s="7" t="str">
        <f t="shared" si="19"/>
        <v>本科</v>
      </c>
      <c r="H93" s="7" t="str">
        <f t="shared" si="27"/>
        <v>学士</v>
      </c>
    </row>
    <row r="94" spans="1:8" ht="34.5" customHeight="1">
      <c r="A94" s="6">
        <v>92</v>
      </c>
      <c r="B94" s="7" t="str">
        <f>"261020200912001753257"</f>
        <v>261020200912001753257</v>
      </c>
      <c r="C94" s="7" t="s">
        <v>10</v>
      </c>
      <c r="D94" s="7" t="str">
        <f>"王桃蕊"</f>
        <v>王桃蕊</v>
      </c>
      <c r="E94" s="7" t="str">
        <f t="shared" si="28"/>
        <v>女</v>
      </c>
      <c r="F94" s="7" t="str">
        <f>"1998-03-11"</f>
        <v>1998-03-11</v>
      </c>
      <c r="G94" s="7" t="str">
        <f t="shared" si="19"/>
        <v>本科</v>
      </c>
      <c r="H94" s="7" t="str">
        <f t="shared" si="27"/>
        <v>学士</v>
      </c>
    </row>
    <row r="95" spans="1:8" ht="34.5" customHeight="1">
      <c r="A95" s="6">
        <v>93</v>
      </c>
      <c r="B95" s="7" t="str">
        <f>"261020200912111540276"</f>
        <v>261020200912111540276</v>
      </c>
      <c r="C95" s="7" t="s">
        <v>10</v>
      </c>
      <c r="D95" s="7" t="str">
        <f>"邱丽翔"</f>
        <v>邱丽翔</v>
      </c>
      <c r="E95" s="7" t="str">
        <f t="shared" si="28"/>
        <v>女</v>
      </c>
      <c r="F95" s="7" t="str">
        <f>"1997-11-30"</f>
        <v>1997-11-30</v>
      </c>
      <c r="G95" s="7" t="str">
        <f t="shared" si="19"/>
        <v>本科</v>
      </c>
      <c r="H95" s="7" t="str">
        <f t="shared" si="27"/>
        <v>学士</v>
      </c>
    </row>
    <row r="96" spans="1:8" ht="34.5" customHeight="1">
      <c r="A96" s="6">
        <v>94</v>
      </c>
      <c r="B96" s="7" t="str">
        <f>"261020200912111607278"</f>
        <v>261020200912111607278</v>
      </c>
      <c r="C96" s="7" t="s">
        <v>10</v>
      </c>
      <c r="D96" s="7" t="str">
        <f>"王梅转"</f>
        <v>王梅转</v>
      </c>
      <c r="E96" s="7" t="str">
        <f t="shared" si="28"/>
        <v>女</v>
      </c>
      <c r="F96" s="7" t="str">
        <f>"1996-03-10"</f>
        <v>1996-03-10</v>
      </c>
      <c r="G96" s="7" t="str">
        <f t="shared" si="19"/>
        <v>本科</v>
      </c>
      <c r="H96" s="7" t="str">
        <f t="shared" si="27"/>
        <v>学士</v>
      </c>
    </row>
    <row r="97" spans="1:8" ht="34.5" customHeight="1">
      <c r="A97" s="6">
        <v>95</v>
      </c>
      <c r="B97" s="7" t="str">
        <f>"261020200912135344293"</f>
        <v>261020200912135344293</v>
      </c>
      <c r="C97" s="7" t="s">
        <v>10</v>
      </c>
      <c r="D97" s="7" t="str">
        <f>"黄鸿康"</f>
        <v>黄鸿康</v>
      </c>
      <c r="E97" s="7" t="str">
        <f aca="true" t="shared" si="29" ref="E97:E102">"男"</f>
        <v>男</v>
      </c>
      <c r="F97" s="7" t="str">
        <f>"1995-02-27"</f>
        <v>1995-02-27</v>
      </c>
      <c r="G97" s="7" t="str">
        <f t="shared" si="19"/>
        <v>本科</v>
      </c>
      <c r="H97" s="7" t="str">
        <f t="shared" si="27"/>
        <v>学士</v>
      </c>
    </row>
    <row r="98" spans="1:8" ht="34.5" customHeight="1">
      <c r="A98" s="6">
        <v>96</v>
      </c>
      <c r="B98" s="7" t="str">
        <f>"261020200912161855302"</f>
        <v>261020200912161855302</v>
      </c>
      <c r="C98" s="7" t="s">
        <v>10</v>
      </c>
      <c r="D98" s="7" t="str">
        <f>"吴川"</f>
        <v>吴川</v>
      </c>
      <c r="E98" s="7" t="str">
        <f t="shared" si="29"/>
        <v>男</v>
      </c>
      <c r="F98" s="7" t="str">
        <f>"1996-08-14"</f>
        <v>1996-08-14</v>
      </c>
      <c r="G98" s="7" t="str">
        <f t="shared" si="19"/>
        <v>本科</v>
      </c>
      <c r="H98" s="7" t="str">
        <f t="shared" si="27"/>
        <v>学士</v>
      </c>
    </row>
    <row r="99" spans="1:8" ht="34.5" customHeight="1">
      <c r="A99" s="6">
        <v>97</v>
      </c>
      <c r="B99" s="7" t="str">
        <f>"261020200912164103304"</f>
        <v>261020200912164103304</v>
      </c>
      <c r="C99" s="7" t="s">
        <v>10</v>
      </c>
      <c r="D99" s="7" t="str">
        <f>"王紫萍"</f>
        <v>王紫萍</v>
      </c>
      <c r="E99" s="7" t="str">
        <f aca="true" t="shared" si="30" ref="E99:E101">"女"</f>
        <v>女</v>
      </c>
      <c r="F99" s="7" t="str">
        <f>"1998-06-02"</f>
        <v>1998-06-02</v>
      </c>
      <c r="G99" s="7" t="str">
        <f t="shared" si="19"/>
        <v>本科</v>
      </c>
      <c r="H99" s="7" t="str">
        <f t="shared" si="27"/>
        <v>学士</v>
      </c>
    </row>
    <row r="100" spans="1:8" ht="34.5" customHeight="1">
      <c r="A100" s="6">
        <v>98</v>
      </c>
      <c r="B100" s="7" t="str">
        <f>"261020200913190346356"</f>
        <v>261020200913190346356</v>
      </c>
      <c r="C100" s="7" t="s">
        <v>10</v>
      </c>
      <c r="D100" s="7" t="str">
        <f>"曾石凤"</f>
        <v>曾石凤</v>
      </c>
      <c r="E100" s="7" t="str">
        <f t="shared" si="30"/>
        <v>女</v>
      </c>
      <c r="F100" s="7" t="str">
        <f>"1997-09-16"</f>
        <v>1997-09-16</v>
      </c>
      <c r="G100" s="7" t="str">
        <f t="shared" si="19"/>
        <v>本科</v>
      </c>
      <c r="H100" s="7" t="str">
        <f t="shared" si="27"/>
        <v>学士</v>
      </c>
    </row>
    <row r="101" spans="1:8" ht="34.5" customHeight="1">
      <c r="A101" s="6">
        <v>99</v>
      </c>
      <c r="B101" s="7" t="str">
        <f>"261020200913204527362"</f>
        <v>261020200913204527362</v>
      </c>
      <c r="C101" s="7" t="s">
        <v>10</v>
      </c>
      <c r="D101" s="7" t="str">
        <f>"羊引花"</f>
        <v>羊引花</v>
      </c>
      <c r="E101" s="7" t="str">
        <f t="shared" si="30"/>
        <v>女</v>
      </c>
      <c r="F101" s="7" t="str">
        <f>"1996-03-03"</f>
        <v>1996-03-03</v>
      </c>
      <c r="G101" s="7" t="str">
        <f t="shared" si="19"/>
        <v>本科</v>
      </c>
      <c r="H101" s="7" t="str">
        <f t="shared" si="27"/>
        <v>学士</v>
      </c>
    </row>
    <row r="102" spans="1:8" ht="34.5" customHeight="1">
      <c r="A102" s="6">
        <v>100</v>
      </c>
      <c r="B102" s="7" t="str">
        <f>"261020200913223628368"</f>
        <v>261020200913223628368</v>
      </c>
      <c r="C102" s="7" t="s">
        <v>10</v>
      </c>
      <c r="D102" s="7" t="str">
        <f>"钟浩东"</f>
        <v>钟浩东</v>
      </c>
      <c r="E102" s="7" t="str">
        <f t="shared" si="29"/>
        <v>男</v>
      </c>
      <c r="F102" s="7" t="str">
        <f>"1997-03-15"</f>
        <v>1997-03-15</v>
      </c>
      <c r="G102" s="7" t="str">
        <f t="shared" si="19"/>
        <v>本科</v>
      </c>
      <c r="H102" s="7" t="str">
        <f t="shared" si="27"/>
        <v>学士</v>
      </c>
    </row>
    <row r="103" spans="1:8" ht="34.5" customHeight="1">
      <c r="A103" s="6">
        <v>101</v>
      </c>
      <c r="B103" s="7" t="str">
        <f>"261020200914004734373"</f>
        <v>261020200914004734373</v>
      </c>
      <c r="C103" s="7" t="s">
        <v>10</v>
      </c>
      <c r="D103" s="7" t="str">
        <f>"朱彩花"</f>
        <v>朱彩花</v>
      </c>
      <c r="E103" s="7" t="str">
        <f aca="true" t="shared" si="31" ref="E103:E105">"女"</f>
        <v>女</v>
      </c>
      <c r="F103" s="7" t="str">
        <f>"1996-03-06"</f>
        <v>1996-03-06</v>
      </c>
      <c r="G103" s="7" t="str">
        <f t="shared" si="19"/>
        <v>本科</v>
      </c>
      <c r="H103" s="7" t="str">
        <f t="shared" si="27"/>
        <v>学士</v>
      </c>
    </row>
    <row r="104" spans="1:8" ht="34.5" customHeight="1">
      <c r="A104" s="6">
        <v>102</v>
      </c>
      <c r="B104" s="7" t="str">
        <f>"261020200914091823384"</f>
        <v>261020200914091823384</v>
      </c>
      <c r="C104" s="7" t="s">
        <v>10</v>
      </c>
      <c r="D104" s="7" t="str">
        <f>"薛小女"</f>
        <v>薛小女</v>
      </c>
      <c r="E104" s="7" t="str">
        <f t="shared" si="31"/>
        <v>女</v>
      </c>
      <c r="F104" s="7" t="str">
        <f>"1995-11-08"</f>
        <v>1995-11-08</v>
      </c>
      <c r="G104" s="7" t="str">
        <f t="shared" si="19"/>
        <v>本科</v>
      </c>
      <c r="H104" s="7" t="str">
        <f t="shared" si="27"/>
        <v>学士</v>
      </c>
    </row>
    <row r="105" spans="1:8" ht="34.5" customHeight="1">
      <c r="A105" s="6">
        <v>103</v>
      </c>
      <c r="B105" s="7" t="str">
        <f>"261020200914114637401"</f>
        <v>261020200914114637401</v>
      </c>
      <c r="C105" s="7" t="s">
        <v>10</v>
      </c>
      <c r="D105" s="7" t="str">
        <f>"黄红云"</f>
        <v>黄红云</v>
      </c>
      <c r="E105" s="7" t="str">
        <f t="shared" si="31"/>
        <v>女</v>
      </c>
      <c r="F105" s="7" t="str">
        <f>"1998-06-06"</f>
        <v>1998-06-06</v>
      </c>
      <c r="G105" s="7" t="str">
        <f t="shared" si="19"/>
        <v>本科</v>
      </c>
      <c r="H105" s="7" t="str">
        <f t="shared" si="27"/>
        <v>学士</v>
      </c>
    </row>
    <row r="106" spans="1:8" ht="34.5" customHeight="1">
      <c r="A106" s="6">
        <v>104</v>
      </c>
      <c r="B106" s="7" t="str">
        <f>"261020200914124252403"</f>
        <v>261020200914124252403</v>
      </c>
      <c r="C106" s="7" t="s">
        <v>10</v>
      </c>
      <c r="D106" s="7" t="str">
        <f>"金超华"</f>
        <v>金超华</v>
      </c>
      <c r="E106" s="7" t="str">
        <f>"男"</f>
        <v>男</v>
      </c>
      <c r="F106" s="7" t="str">
        <f>"1997-01-21"</f>
        <v>1997-01-21</v>
      </c>
      <c r="G106" s="7" t="str">
        <f t="shared" si="19"/>
        <v>本科</v>
      </c>
      <c r="H106" s="7" t="str">
        <f aca="true" t="shared" si="32" ref="H106:H122">"学士"</f>
        <v>学士</v>
      </c>
    </row>
    <row r="107" spans="1:8" ht="34.5" customHeight="1">
      <c r="A107" s="6">
        <v>105</v>
      </c>
      <c r="B107" s="7" t="str">
        <f>"261020200914153158419"</f>
        <v>261020200914153158419</v>
      </c>
      <c r="C107" s="7" t="s">
        <v>10</v>
      </c>
      <c r="D107" s="7" t="str">
        <f>"赵茂书"</f>
        <v>赵茂书</v>
      </c>
      <c r="E107" s="7" t="str">
        <f>"女"</f>
        <v>女</v>
      </c>
      <c r="F107" s="7" t="str">
        <f>"1997-11-14"</f>
        <v>1997-11-14</v>
      </c>
      <c r="G107" s="7" t="str">
        <f t="shared" si="19"/>
        <v>本科</v>
      </c>
      <c r="H107" s="7" t="str">
        <f t="shared" si="32"/>
        <v>学士</v>
      </c>
    </row>
    <row r="108" spans="1:8" ht="34.5" customHeight="1">
      <c r="A108" s="6">
        <v>106</v>
      </c>
      <c r="B108" s="7" t="str">
        <f>"261020200914171522435"</f>
        <v>261020200914171522435</v>
      </c>
      <c r="C108" s="7" t="s">
        <v>10</v>
      </c>
      <c r="D108" s="7" t="str">
        <f>"彭昌海"</f>
        <v>彭昌海</v>
      </c>
      <c r="E108" s="7" t="str">
        <f>"男"</f>
        <v>男</v>
      </c>
      <c r="F108" s="7" t="str">
        <f>"1997-02-22"</f>
        <v>1997-02-22</v>
      </c>
      <c r="G108" s="7" t="str">
        <f t="shared" si="19"/>
        <v>本科</v>
      </c>
      <c r="H108" s="7" t="str">
        <f t="shared" si="32"/>
        <v>学士</v>
      </c>
    </row>
    <row r="109" spans="1:8" ht="34.5" customHeight="1">
      <c r="A109" s="6">
        <v>107</v>
      </c>
      <c r="B109" s="7" t="str">
        <f>"261020200914222342458"</f>
        <v>261020200914222342458</v>
      </c>
      <c r="C109" s="7" t="s">
        <v>10</v>
      </c>
      <c r="D109" s="7" t="str">
        <f>"张琰"</f>
        <v>张琰</v>
      </c>
      <c r="E109" s="7" t="str">
        <f aca="true" t="shared" si="33" ref="E109:E115">"女"</f>
        <v>女</v>
      </c>
      <c r="F109" s="7" t="str">
        <f>"1998-09-13"</f>
        <v>1998-09-13</v>
      </c>
      <c r="G109" s="7" t="str">
        <f t="shared" si="19"/>
        <v>本科</v>
      </c>
      <c r="H109" s="7" t="str">
        <f t="shared" si="32"/>
        <v>学士</v>
      </c>
    </row>
    <row r="110" spans="1:8" ht="34.5" customHeight="1">
      <c r="A110" s="6">
        <v>108</v>
      </c>
      <c r="B110" s="7" t="str">
        <f>"261020200915132225474"</f>
        <v>261020200915132225474</v>
      </c>
      <c r="C110" s="7" t="s">
        <v>10</v>
      </c>
      <c r="D110" s="7" t="str">
        <f>"马丽少"</f>
        <v>马丽少</v>
      </c>
      <c r="E110" s="7" t="str">
        <f t="shared" si="33"/>
        <v>女</v>
      </c>
      <c r="F110" s="7" t="str">
        <f>"1995-02-12"</f>
        <v>1995-02-12</v>
      </c>
      <c r="G110" s="7" t="str">
        <f t="shared" si="19"/>
        <v>本科</v>
      </c>
      <c r="H110" s="7" t="str">
        <f t="shared" si="32"/>
        <v>学士</v>
      </c>
    </row>
    <row r="111" spans="1:8" ht="34.5" customHeight="1">
      <c r="A111" s="6">
        <v>109</v>
      </c>
      <c r="B111" s="7" t="str">
        <f>"261020200915191220520"</f>
        <v>261020200915191220520</v>
      </c>
      <c r="C111" s="7" t="s">
        <v>10</v>
      </c>
      <c r="D111" s="7" t="str">
        <f>"何金菊"</f>
        <v>何金菊</v>
      </c>
      <c r="E111" s="7" t="str">
        <f t="shared" si="33"/>
        <v>女</v>
      </c>
      <c r="F111" s="7" t="str">
        <f>"1997-06-13"</f>
        <v>1997-06-13</v>
      </c>
      <c r="G111" s="7" t="str">
        <f t="shared" si="19"/>
        <v>本科</v>
      </c>
      <c r="H111" s="7" t="str">
        <f t="shared" si="32"/>
        <v>学士</v>
      </c>
    </row>
    <row r="112" spans="1:8" ht="34.5" customHeight="1">
      <c r="A112" s="6">
        <v>110</v>
      </c>
      <c r="B112" s="7" t="str">
        <f>"261020200915200744527"</f>
        <v>261020200915200744527</v>
      </c>
      <c r="C112" s="7" t="s">
        <v>10</v>
      </c>
      <c r="D112" s="7" t="str">
        <f>"薛婆香"</f>
        <v>薛婆香</v>
      </c>
      <c r="E112" s="7" t="str">
        <f t="shared" si="33"/>
        <v>女</v>
      </c>
      <c r="F112" s="7" t="str">
        <f>"1995-11-12"</f>
        <v>1995-11-12</v>
      </c>
      <c r="G112" s="7" t="str">
        <f t="shared" si="19"/>
        <v>本科</v>
      </c>
      <c r="H112" s="7" t="str">
        <f t="shared" si="32"/>
        <v>学士</v>
      </c>
    </row>
    <row r="113" spans="1:8" ht="34.5" customHeight="1">
      <c r="A113" s="6">
        <v>111</v>
      </c>
      <c r="B113" s="7" t="str">
        <f>"261020200915222640543"</f>
        <v>261020200915222640543</v>
      </c>
      <c r="C113" s="7" t="s">
        <v>10</v>
      </c>
      <c r="D113" s="7" t="str">
        <f>"莫明玉"</f>
        <v>莫明玉</v>
      </c>
      <c r="E113" s="7" t="str">
        <f t="shared" si="33"/>
        <v>女</v>
      </c>
      <c r="F113" s="7" t="str">
        <f>"1997-07-10"</f>
        <v>1997-07-10</v>
      </c>
      <c r="G113" s="7" t="str">
        <f t="shared" si="19"/>
        <v>本科</v>
      </c>
      <c r="H113" s="7" t="str">
        <f t="shared" si="32"/>
        <v>学士</v>
      </c>
    </row>
    <row r="114" spans="1:8" ht="34.5" customHeight="1">
      <c r="A114" s="6">
        <v>112</v>
      </c>
      <c r="B114" s="7" t="str">
        <f>"261020200915233847558"</f>
        <v>261020200915233847558</v>
      </c>
      <c r="C114" s="7" t="s">
        <v>10</v>
      </c>
      <c r="D114" s="7" t="str">
        <f>"王丽蓉"</f>
        <v>王丽蓉</v>
      </c>
      <c r="E114" s="7" t="str">
        <f t="shared" si="33"/>
        <v>女</v>
      </c>
      <c r="F114" s="7" t="str">
        <f>"1999-02-13"</f>
        <v>1999-02-13</v>
      </c>
      <c r="G114" s="7" t="str">
        <f t="shared" si="19"/>
        <v>本科</v>
      </c>
      <c r="H114" s="7" t="str">
        <f t="shared" si="32"/>
        <v>学士</v>
      </c>
    </row>
    <row r="115" spans="1:8" ht="34.5" customHeight="1">
      <c r="A115" s="6">
        <v>113</v>
      </c>
      <c r="B115" s="7" t="str">
        <f>"2610202009100905405"</f>
        <v>2610202009100905405</v>
      </c>
      <c r="C115" s="7" t="s">
        <v>11</v>
      </c>
      <c r="D115" s="7" t="str">
        <f>"温雅"</f>
        <v>温雅</v>
      </c>
      <c r="E115" s="7" t="str">
        <f t="shared" si="33"/>
        <v>女</v>
      </c>
      <c r="F115" s="7" t="str">
        <f>"1999-12-24"</f>
        <v>1999-12-24</v>
      </c>
      <c r="G115" s="7" t="str">
        <f t="shared" si="19"/>
        <v>本科</v>
      </c>
      <c r="H115" s="7" t="str">
        <f t="shared" si="32"/>
        <v>学士</v>
      </c>
    </row>
    <row r="116" spans="1:8" ht="34.5" customHeight="1">
      <c r="A116" s="6">
        <v>114</v>
      </c>
      <c r="B116" s="7" t="str">
        <f>"2610202009100913008"</f>
        <v>2610202009100913008</v>
      </c>
      <c r="C116" s="7" t="s">
        <v>11</v>
      </c>
      <c r="D116" s="7" t="str">
        <f>"丁永宇"</f>
        <v>丁永宇</v>
      </c>
      <c r="E116" s="7" t="str">
        <f aca="true" t="shared" si="34" ref="E116:E119">"男"</f>
        <v>男</v>
      </c>
      <c r="F116" s="7" t="str">
        <f>"1994-12-05"</f>
        <v>1994-12-05</v>
      </c>
      <c r="G116" s="7" t="str">
        <f t="shared" si="19"/>
        <v>本科</v>
      </c>
      <c r="H116" s="7" t="str">
        <f t="shared" si="32"/>
        <v>学士</v>
      </c>
    </row>
    <row r="117" spans="1:8" ht="34.5" customHeight="1">
      <c r="A117" s="6">
        <v>115</v>
      </c>
      <c r="B117" s="7" t="str">
        <f>"26102020091009144310"</f>
        <v>26102020091009144310</v>
      </c>
      <c r="C117" s="7" t="s">
        <v>11</v>
      </c>
      <c r="D117" s="7" t="str">
        <f>"姜鹏"</f>
        <v>姜鹏</v>
      </c>
      <c r="E117" s="7" t="str">
        <f>"女"</f>
        <v>女</v>
      </c>
      <c r="F117" s="7" t="str">
        <f>"1998-06-07"</f>
        <v>1998-06-07</v>
      </c>
      <c r="G117" s="7" t="str">
        <f aca="true" t="shared" si="35" ref="G117:G139">"本科"</f>
        <v>本科</v>
      </c>
      <c r="H117" s="7" t="str">
        <f t="shared" si="32"/>
        <v>学士</v>
      </c>
    </row>
    <row r="118" spans="1:8" ht="34.5" customHeight="1">
      <c r="A118" s="6">
        <v>116</v>
      </c>
      <c r="B118" s="7" t="str">
        <f>"26102020091009184714"</f>
        <v>26102020091009184714</v>
      </c>
      <c r="C118" s="7" t="s">
        <v>11</v>
      </c>
      <c r="D118" s="7" t="str">
        <f>"许声扬"</f>
        <v>许声扬</v>
      </c>
      <c r="E118" s="7" t="str">
        <f t="shared" si="34"/>
        <v>男</v>
      </c>
      <c r="F118" s="7" t="str">
        <f>"1995-04-17"</f>
        <v>1995-04-17</v>
      </c>
      <c r="G118" s="7" t="str">
        <f t="shared" si="35"/>
        <v>本科</v>
      </c>
      <c r="H118" s="7" t="str">
        <f t="shared" si="32"/>
        <v>学士</v>
      </c>
    </row>
    <row r="119" spans="1:8" ht="34.5" customHeight="1">
      <c r="A119" s="6">
        <v>117</v>
      </c>
      <c r="B119" s="7" t="str">
        <f>"26102020091009233117"</f>
        <v>26102020091009233117</v>
      </c>
      <c r="C119" s="7" t="s">
        <v>11</v>
      </c>
      <c r="D119" s="7" t="str">
        <f>"宋凯"</f>
        <v>宋凯</v>
      </c>
      <c r="E119" s="7" t="str">
        <f t="shared" si="34"/>
        <v>男</v>
      </c>
      <c r="F119" s="7" t="str">
        <f>"1996-05-11"</f>
        <v>1996-05-11</v>
      </c>
      <c r="G119" s="7" t="str">
        <f t="shared" si="35"/>
        <v>本科</v>
      </c>
      <c r="H119" s="7" t="str">
        <f t="shared" si="32"/>
        <v>学士</v>
      </c>
    </row>
    <row r="120" spans="1:8" ht="34.5" customHeight="1">
      <c r="A120" s="6">
        <v>118</v>
      </c>
      <c r="B120" s="7" t="str">
        <f>"26102020091009330721"</f>
        <v>26102020091009330721</v>
      </c>
      <c r="C120" s="7" t="s">
        <v>11</v>
      </c>
      <c r="D120" s="7" t="str">
        <f>"王珺霆"</f>
        <v>王珺霆</v>
      </c>
      <c r="E120" s="7" t="str">
        <f>"女"</f>
        <v>女</v>
      </c>
      <c r="F120" s="7" t="str">
        <f>"1999-05-20"</f>
        <v>1999-05-20</v>
      </c>
      <c r="G120" s="7" t="str">
        <f t="shared" si="35"/>
        <v>本科</v>
      </c>
      <c r="H120" s="7" t="str">
        <f t="shared" si="32"/>
        <v>学士</v>
      </c>
    </row>
    <row r="121" spans="1:8" ht="34.5" customHeight="1">
      <c r="A121" s="6">
        <v>119</v>
      </c>
      <c r="B121" s="7" t="str">
        <f>"26102020091009385922"</f>
        <v>26102020091009385922</v>
      </c>
      <c r="C121" s="7" t="s">
        <v>11</v>
      </c>
      <c r="D121" s="7" t="str">
        <f>"陈川佳"</f>
        <v>陈川佳</v>
      </c>
      <c r="E121" s="7" t="str">
        <f>"男"</f>
        <v>男</v>
      </c>
      <c r="F121" s="7" t="str">
        <f>"1996-03-05"</f>
        <v>1996-03-05</v>
      </c>
      <c r="G121" s="7" t="str">
        <f t="shared" si="35"/>
        <v>本科</v>
      </c>
      <c r="H121" s="7" t="str">
        <f t="shared" si="32"/>
        <v>学士</v>
      </c>
    </row>
    <row r="122" spans="1:8" ht="34.5" customHeight="1">
      <c r="A122" s="6">
        <v>120</v>
      </c>
      <c r="B122" s="7" t="str">
        <f>"26102020091009593828"</f>
        <v>26102020091009593828</v>
      </c>
      <c r="C122" s="7" t="s">
        <v>11</v>
      </c>
      <c r="D122" s="7" t="str">
        <f>"林宣杉"</f>
        <v>林宣杉</v>
      </c>
      <c r="E122" s="7" t="str">
        <f aca="true" t="shared" si="36" ref="E122:E131">"女"</f>
        <v>女</v>
      </c>
      <c r="F122" s="7" t="str">
        <f>"1997-08-12"</f>
        <v>1997-08-12</v>
      </c>
      <c r="G122" s="7" t="str">
        <f t="shared" si="35"/>
        <v>本科</v>
      </c>
      <c r="H122" s="7" t="str">
        <f t="shared" si="32"/>
        <v>学士</v>
      </c>
    </row>
    <row r="123" spans="1:8" ht="34.5" customHeight="1">
      <c r="A123" s="6">
        <v>121</v>
      </c>
      <c r="B123" s="7" t="str">
        <f>"26102020091010000130"</f>
        <v>26102020091010000130</v>
      </c>
      <c r="C123" s="7" t="s">
        <v>11</v>
      </c>
      <c r="D123" s="7" t="str">
        <f>"何秋淳"</f>
        <v>何秋淳</v>
      </c>
      <c r="E123" s="7" t="str">
        <f t="shared" si="36"/>
        <v>女</v>
      </c>
      <c r="F123" s="7" t="str">
        <f>"1997-12-11"</f>
        <v>1997-12-11</v>
      </c>
      <c r="G123" s="7" t="str">
        <f t="shared" si="35"/>
        <v>本科</v>
      </c>
      <c r="H123" s="7" t="str">
        <f aca="true" t="shared" si="37" ref="H123:H139">"学士"</f>
        <v>学士</v>
      </c>
    </row>
    <row r="124" spans="1:8" ht="34.5" customHeight="1">
      <c r="A124" s="6">
        <v>122</v>
      </c>
      <c r="B124" s="7" t="str">
        <f>"26102020091010040432"</f>
        <v>26102020091010040432</v>
      </c>
      <c r="C124" s="7" t="s">
        <v>11</v>
      </c>
      <c r="D124" s="7" t="str">
        <f>"黄钰婷"</f>
        <v>黄钰婷</v>
      </c>
      <c r="E124" s="7" t="str">
        <f t="shared" si="36"/>
        <v>女</v>
      </c>
      <c r="F124" s="7" t="str">
        <f>"1999-01-30"</f>
        <v>1999-01-30</v>
      </c>
      <c r="G124" s="7" t="str">
        <f t="shared" si="35"/>
        <v>本科</v>
      </c>
      <c r="H124" s="7" t="str">
        <f t="shared" si="37"/>
        <v>学士</v>
      </c>
    </row>
    <row r="125" spans="1:8" ht="34.5" customHeight="1">
      <c r="A125" s="6">
        <v>123</v>
      </c>
      <c r="B125" s="7" t="str">
        <f>"26102020091010071733"</f>
        <v>26102020091010071733</v>
      </c>
      <c r="C125" s="7" t="s">
        <v>11</v>
      </c>
      <c r="D125" s="7" t="str">
        <f>"林玉珠"</f>
        <v>林玉珠</v>
      </c>
      <c r="E125" s="7" t="str">
        <f t="shared" si="36"/>
        <v>女</v>
      </c>
      <c r="F125" s="7" t="str">
        <f>"1998-08-04"</f>
        <v>1998-08-04</v>
      </c>
      <c r="G125" s="7" t="str">
        <f t="shared" si="35"/>
        <v>本科</v>
      </c>
      <c r="H125" s="7" t="str">
        <f t="shared" si="37"/>
        <v>学士</v>
      </c>
    </row>
    <row r="126" spans="1:8" ht="34.5" customHeight="1">
      <c r="A126" s="6">
        <v>124</v>
      </c>
      <c r="B126" s="7" t="str">
        <f>"26102020091010151638"</f>
        <v>26102020091010151638</v>
      </c>
      <c r="C126" s="7" t="s">
        <v>11</v>
      </c>
      <c r="D126" s="7" t="str">
        <f>"曾海娟"</f>
        <v>曾海娟</v>
      </c>
      <c r="E126" s="7" t="str">
        <f t="shared" si="36"/>
        <v>女</v>
      </c>
      <c r="F126" s="7" t="str">
        <f>"1996-09-06"</f>
        <v>1996-09-06</v>
      </c>
      <c r="G126" s="7" t="str">
        <f t="shared" si="35"/>
        <v>本科</v>
      </c>
      <c r="H126" s="7" t="str">
        <f t="shared" si="37"/>
        <v>学士</v>
      </c>
    </row>
    <row r="127" spans="1:8" ht="34.5" customHeight="1">
      <c r="A127" s="6">
        <v>125</v>
      </c>
      <c r="B127" s="7" t="str">
        <f>"26102020091010214339"</f>
        <v>26102020091010214339</v>
      </c>
      <c r="C127" s="7" t="s">
        <v>11</v>
      </c>
      <c r="D127" s="7" t="str">
        <f>"苏雨"</f>
        <v>苏雨</v>
      </c>
      <c r="E127" s="7" t="str">
        <f t="shared" si="36"/>
        <v>女</v>
      </c>
      <c r="F127" s="7" t="str">
        <f>"1998-11-20"</f>
        <v>1998-11-20</v>
      </c>
      <c r="G127" s="7" t="str">
        <f t="shared" si="35"/>
        <v>本科</v>
      </c>
      <c r="H127" s="7" t="str">
        <f t="shared" si="37"/>
        <v>学士</v>
      </c>
    </row>
    <row r="128" spans="1:8" ht="34.5" customHeight="1">
      <c r="A128" s="6">
        <v>126</v>
      </c>
      <c r="B128" s="7" t="str">
        <f>"26102020091010235040"</f>
        <v>26102020091010235040</v>
      </c>
      <c r="C128" s="7" t="s">
        <v>11</v>
      </c>
      <c r="D128" s="7" t="str">
        <f>"林书琴"</f>
        <v>林书琴</v>
      </c>
      <c r="E128" s="7" t="str">
        <f t="shared" si="36"/>
        <v>女</v>
      </c>
      <c r="F128" s="7" t="str">
        <f>"1997-10-14"</f>
        <v>1997-10-14</v>
      </c>
      <c r="G128" s="7" t="str">
        <f t="shared" si="35"/>
        <v>本科</v>
      </c>
      <c r="H128" s="7" t="str">
        <f t="shared" si="37"/>
        <v>学士</v>
      </c>
    </row>
    <row r="129" spans="1:8" ht="34.5" customHeight="1">
      <c r="A129" s="6">
        <v>127</v>
      </c>
      <c r="B129" s="7" t="str">
        <f>"26102020091010431147"</f>
        <v>26102020091010431147</v>
      </c>
      <c r="C129" s="7" t="s">
        <v>11</v>
      </c>
      <c r="D129" s="7" t="str">
        <f>"杨文丽"</f>
        <v>杨文丽</v>
      </c>
      <c r="E129" s="7" t="str">
        <f t="shared" si="36"/>
        <v>女</v>
      </c>
      <c r="F129" s="7" t="str">
        <f>"1996-02-04"</f>
        <v>1996-02-04</v>
      </c>
      <c r="G129" s="7" t="str">
        <f t="shared" si="35"/>
        <v>本科</v>
      </c>
      <c r="H129" s="7" t="str">
        <f t="shared" si="37"/>
        <v>学士</v>
      </c>
    </row>
    <row r="130" spans="1:8" ht="34.5" customHeight="1">
      <c r="A130" s="6">
        <v>128</v>
      </c>
      <c r="B130" s="7" t="str">
        <f>"26102020091010502649"</f>
        <v>26102020091010502649</v>
      </c>
      <c r="C130" s="7" t="s">
        <v>11</v>
      </c>
      <c r="D130" s="7" t="str">
        <f>"柯孜娟"</f>
        <v>柯孜娟</v>
      </c>
      <c r="E130" s="7" t="str">
        <f t="shared" si="36"/>
        <v>女</v>
      </c>
      <c r="F130" s="7" t="str">
        <f>"1997-06-10"</f>
        <v>1997-06-10</v>
      </c>
      <c r="G130" s="7" t="str">
        <f t="shared" si="35"/>
        <v>本科</v>
      </c>
      <c r="H130" s="7" t="str">
        <f t="shared" si="37"/>
        <v>学士</v>
      </c>
    </row>
    <row r="131" spans="1:8" ht="34.5" customHeight="1">
      <c r="A131" s="6">
        <v>129</v>
      </c>
      <c r="B131" s="7" t="str">
        <f>"26102020091010505550"</f>
        <v>26102020091010505550</v>
      </c>
      <c r="C131" s="7" t="s">
        <v>11</v>
      </c>
      <c r="D131" s="7" t="str">
        <f>"何奕颖"</f>
        <v>何奕颖</v>
      </c>
      <c r="E131" s="7" t="str">
        <f t="shared" si="36"/>
        <v>女</v>
      </c>
      <c r="F131" s="7" t="str">
        <f>"1998-03-27"</f>
        <v>1998-03-27</v>
      </c>
      <c r="G131" s="7" t="str">
        <f t="shared" si="35"/>
        <v>本科</v>
      </c>
      <c r="H131" s="7" t="str">
        <f t="shared" si="37"/>
        <v>学士</v>
      </c>
    </row>
    <row r="132" spans="1:8" ht="34.5" customHeight="1">
      <c r="A132" s="6">
        <v>130</v>
      </c>
      <c r="B132" s="7" t="str">
        <f>"26102020091010533552"</f>
        <v>26102020091010533552</v>
      </c>
      <c r="C132" s="7" t="s">
        <v>11</v>
      </c>
      <c r="D132" s="7" t="str">
        <f>"王伟华"</f>
        <v>王伟华</v>
      </c>
      <c r="E132" s="7" t="str">
        <f aca="true" t="shared" si="38" ref="E132:E137">"男"</f>
        <v>男</v>
      </c>
      <c r="F132" s="7" t="str">
        <f>"1996-09-18"</f>
        <v>1996-09-18</v>
      </c>
      <c r="G132" s="7" t="str">
        <f t="shared" si="35"/>
        <v>本科</v>
      </c>
      <c r="H132" s="7" t="str">
        <f t="shared" si="37"/>
        <v>学士</v>
      </c>
    </row>
    <row r="133" spans="1:8" ht="34.5" customHeight="1">
      <c r="A133" s="6">
        <v>131</v>
      </c>
      <c r="B133" s="7" t="str">
        <f>"26102020091010570353"</f>
        <v>26102020091010570353</v>
      </c>
      <c r="C133" s="7" t="s">
        <v>11</v>
      </c>
      <c r="D133" s="7" t="str">
        <f>"吴彩云"</f>
        <v>吴彩云</v>
      </c>
      <c r="E133" s="7" t="str">
        <f aca="true" t="shared" si="39" ref="E133:E136">"女"</f>
        <v>女</v>
      </c>
      <c r="F133" s="7" t="str">
        <f>"1998-02-05"</f>
        <v>1998-02-05</v>
      </c>
      <c r="G133" s="7" t="str">
        <f t="shared" si="35"/>
        <v>本科</v>
      </c>
      <c r="H133" s="7" t="str">
        <f t="shared" si="37"/>
        <v>学士</v>
      </c>
    </row>
    <row r="134" spans="1:8" ht="34.5" customHeight="1">
      <c r="A134" s="6">
        <v>132</v>
      </c>
      <c r="B134" s="7" t="str">
        <f>"26102020091011033454"</f>
        <v>26102020091011033454</v>
      </c>
      <c r="C134" s="7" t="s">
        <v>11</v>
      </c>
      <c r="D134" s="7" t="str">
        <f>"覃绘霏"</f>
        <v>覃绘霏</v>
      </c>
      <c r="E134" s="7" t="str">
        <f t="shared" si="39"/>
        <v>女</v>
      </c>
      <c r="F134" s="7" t="str">
        <f>"1998-02-16"</f>
        <v>1998-02-16</v>
      </c>
      <c r="G134" s="7" t="str">
        <f t="shared" si="35"/>
        <v>本科</v>
      </c>
      <c r="H134" s="7" t="str">
        <f t="shared" si="37"/>
        <v>学士</v>
      </c>
    </row>
    <row r="135" spans="1:8" ht="34.5" customHeight="1">
      <c r="A135" s="6">
        <v>133</v>
      </c>
      <c r="B135" s="7" t="str">
        <f>"26102020091011051555"</f>
        <v>26102020091011051555</v>
      </c>
      <c r="C135" s="7" t="s">
        <v>11</v>
      </c>
      <c r="D135" s="7" t="str">
        <f>"钟孙杰"</f>
        <v>钟孙杰</v>
      </c>
      <c r="E135" s="7" t="str">
        <f t="shared" si="38"/>
        <v>男</v>
      </c>
      <c r="F135" s="7" t="str">
        <f>"1998-09-18"</f>
        <v>1998-09-18</v>
      </c>
      <c r="G135" s="7" t="str">
        <f t="shared" si="35"/>
        <v>本科</v>
      </c>
      <c r="H135" s="7" t="str">
        <f t="shared" si="37"/>
        <v>学士</v>
      </c>
    </row>
    <row r="136" spans="1:8" ht="34.5" customHeight="1">
      <c r="A136" s="6">
        <v>134</v>
      </c>
      <c r="B136" s="7" t="str">
        <f>"26102020091011115358"</f>
        <v>26102020091011115358</v>
      </c>
      <c r="C136" s="7" t="s">
        <v>11</v>
      </c>
      <c r="D136" s="7" t="str">
        <f>"李笑滢"</f>
        <v>李笑滢</v>
      </c>
      <c r="E136" s="7" t="str">
        <f t="shared" si="39"/>
        <v>女</v>
      </c>
      <c r="F136" s="7" t="str">
        <f>"1996-05-06"</f>
        <v>1996-05-06</v>
      </c>
      <c r="G136" s="7" t="str">
        <f t="shared" si="35"/>
        <v>本科</v>
      </c>
      <c r="H136" s="7" t="str">
        <f t="shared" si="37"/>
        <v>学士</v>
      </c>
    </row>
    <row r="137" spans="1:8" ht="34.5" customHeight="1">
      <c r="A137" s="6">
        <v>135</v>
      </c>
      <c r="B137" s="7" t="str">
        <f>"26102020091011135059"</f>
        <v>26102020091011135059</v>
      </c>
      <c r="C137" s="7" t="s">
        <v>11</v>
      </c>
      <c r="D137" s="7" t="str">
        <f>"邢维纲"</f>
        <v>邢维纲</v>
      </c>
      <c r="E137" s="7" t="str">
        <f t="shared" si="38"/>
        <v>男</v>
      </c>
      <c r="F137" s="7" t="str">
        <f>"1995-04-27"</f>
        <v>1995-04-27</v>
      </c>
      <c r="G137" s="7" t="str">
        <f t="shared" si="35"/>
        <v>本科</v>
      </c>
      <c r="H137" s="7" t="str">
        <f t="shared" si="37"/>
        <v>学士</v>
      </c>
    </row>
    <row r="138" spans="1:8" ht="34.5" customHeight="1">
      <c r="A138" s="6">
        <v>136</v>
      </c>
      <c r="B138" s="7" t="str">
        <f>"26102020091011185261"</f>
        <v>26102020091011185261</v>
      </c>
      <c r="C138" s="7" t="s">
        <v>11</v>
      </c>
      <c r="D138" s="7" t="str">
        <f>"陈玲"</f>
        <v>陈玲</v>
      </c>
      <c r="E138" s="7" t="str">
        <f aca="true" t="shared" si="40" ref="E138:E140">"女"</f>
        <v>女</v>
      </c>
      <c r="F138" s="7" t="str">
        <f>"1994-12-16"</f>
        <v>1994-12-16</v>
      </c>
      <c r="G138" s="7" t="str">
        <f t="shared" si="35"/>
        <v>本科</v>
      </c>
      <c r="H138" s="7" t="str">
        <f t="shared" si="37"/>
        <v>学士</v>
      </c>
    </row>
    <row r="139" spans="1:8" ht="34.5" customHeight="1">
      <c r="A139" s="6">
        <v>137</v>
      </c>
      <c r="B139" s="7" t="str">
        <f>"26102020091011210762"</f>
        <v>26102020091011210762</v>
      </c>
      <c r="C139" s="7" t="s">
        <v>11</v>
      </c>
      <c r="D139" s="7" t="str">
        <f>"罗娜"</f>
        <v>罗娜</v>
      </c>
      <c r="E139" s="7" t="str">
        <f t="shared" si="40"/>
        <v>女</v>
      </c>
      <c r="F139" s="7" t="str">
        <f>"1996-06-06"</f>
        <v>1996-06-06</v>
      </c>
      <c r="G139" s="7" t="str">
        <f t="shared" si="35"/>
        <v>本科</v>
      </c>
      <c r="H139" s="7" t="str">
        <f t="shared" si="37"/>
        <v>学士</v>
      </c>
    </row>
    <row r="140" spans="1:8" ht="34.5" customHeight="1">
      <c r="A140" s="6">
        <v>138</v>
      </c>
      <c r="B140" s="7" t="str">
        <f>"26102020091011350368"</f>
        <v>26102020091011350368</v>
      </c>
      <c r="C140" s="7" t="s">
        <v>11</v>
      </c>
      <c r="D140" s="7" t="str">
        <f>"孙婷婷"</f>
        <v>孙婷婷</v>
      </c>
      <c r="E140" s="7" t="str">
        <f t="shared" si="40"/>
        <v>女</v>
      </c>
      <c r="F140" s="7" t="str">
        <f>"1990-01-15"</f>
        <v>1990-01-15</v>
      </c>
      <c r="G140" s="7" t="str">
        <f>"研究生"</f>
        <v>研究生</v>
      </c>
      <c r="H140" s="7" t="str">
        <f>"硕士"</f>
        <v>硕士</v>
      </c>
    </row>
    <row r="141" spans="1:8" ht="34.5" customHeight="1">
      <c r="A141" s="6">
        <v>139</v>
      </c>
      <c r="B141" s="7" t="str">
        <f>"26102020091011352869"</f>
        <v>26102020091011352869</v>
      </c>
      <c r="C141" s="7" t="s">
        <v>11</v>
      </c>
      <c r="D141" s="7" t="str">
        <f>"陈兴祥"</f>
        <v>陈兴祥</v>
      </c>
      <c r="E141" s="7" t="str">
        <f aca="true" t="shared" si="41" ref="E141:E146">"男"</f>
        <v>男</v>
      </c>
      <c r="F141" s="7" t="str">
        <f>"1997-10-12"</f>
        <v>1997-10-12</v>
      </c>
      <c r="G141" s="7" t="str">
        <f aca="true" t="shared" si="42" ref="G141:G193">"本科"</f>
        <v>本科</v>
      </c>
      <c r="H141" s="7" t="str">
        <f aca="true" t="shared" si="43" ref="H141:H193">"学士"</f>
        <v>学士</v>
      </c>
    </row>
    <row r="142" spans="1:8" ht="34.5" customHeight="1">
      <c r="A142" s="6">
        <v>140</v>
      </c>
      <c r="B142" s="7" t="str">
        <f>"26102020091011405272"</f>
        <v>26102020091011405272</v>
      </c>
      <c r="C142" s="7" t="s">
        <v>11</v>
      </c>
      <c r="D142" s="7" t="str">
        <f>"石松"</f>
        <v>石松</v>
      </c>
      <c r="E142" s="7" t="str">
        <f t="shared" si="41"/>
        <v>男</v>
      </c>
      <c r="F142" s="7" t="str">
        <f>"1998-01-26"</f>
        <v>1998-01-26</v>
      </c>
      <c r="G142" s="7" t="str">
        <f t="shared" si="42"/>
        <v>本科</v>
      </c>
      <c r="H142" s="7" t="str">
        <f t="shared" si="43"/>
        <v>学士</v>
      </c>
    </row>
    <row r="143" spans="1:8" ht="34.5" customHeight="1">
      <c r="A143" s="6">
        <v>141</v>
      </c>
      <c r="B143" s="7" t="str">
        <f>"26102020091012441882"</f>
        <v>26102020091012441882</v>
      </c>
      <c r="C143" s="7" t="s">
        <v>11</v>
      </c>
      <c r="D143" s="7" t="str">
        <f>"杨如月"</f>
        <v>杨如月</v>
      </c>
      <c r="E143" s="7" t="str">
        <f aca="true" t="shared" si="44" ref="E143:E145">"女"</f>
        <v>女</v>
      </c>
      <c r="F143" s="7" t="str">
        <f>"1995-11-23"</f>
        <v>1995-11-23</v>
      </c>
      <c r="G143" s="7" t="str">
        <f t="shared" si="42"/>
        <v>本科</v>
      </c>
      <c r="H143" s="7" t="str">
        <f t="shared" si="43"/>
        <v>学士</v>
      </c>
    </row>
    <row r="144" spans="1:8" ht="34.5" customHeight="1">
      <c r="A144" s="6">
        <v>142</v>
      </c>
      <c r="B144" s="7" t="str">
        <f>"26102020091012594483"</f>
        <v>26102020091012594483</v>
      </c>
      <c r="C144" s="7" t="s">
        <v>11</v>
      </c>
      <c r="D144" s="7" t="str">
        <f>"陈柳蓉"</f>
        <v>陈柳蓉</v>
      </c>
      <c r="E144" s="7" t="str">
        <f t="shared" si="44"/>
        <v>女</v>
      </c>
      <c r="F144" s="7" t="str">
        <f>"1998-01-21"</f>
        <v>1998-01-21</v>
      </c>
      <c r="G144" s="7" t="str">
        <f t="shared" si="42"/>
        <v>本科</v>
      </c>
      <c r="H144" s="7" t="str">
        <f t="shared" si="43"/>
        <v>学士</v>
      </c>
    </row>
    <row r="145" spans="1:8" ht="34.5" customHeight="1">
      <c r="A145" s="6">
        <v>143</v>
      </c>
      <c r="B145" s="7" t="str">
        <f>"26102020091013013884"</f>
        <v>26102020091013013884</v>
      </c>
      <c r="C145" s="7" t="s">
        <v>11</v>
      </c>
      <c r="D145" s="7" t="str">
        <f>"符秋果"</f>
        <v>符秋果</v>
      </c>
      <c r="E145" s="7" t="str">
        <f t="shared" si="44"/>
        <v>女</v>
      </c>
      <c r="F145" s="7" t="str">
        <f>"1998-08-19"</f>
        <v>1998-08-19</v>
      </c>
      <c r="G145" s="7" t="str">
        <f t="shared" si="42"/>
        <v>本科</v>
      </c>
      <c r="H145" s="7" t="str">
        <f t="shared" si="43"/>
        <v>学士</v>
      </c>
    </row>
    <row r="146" spans="1:8" ht="34.5" customHeight="1">
      <c r="A146" s="6">
        <v>144</v>
      </c>
      <c r="B146" s="7" t="str">
        <f>"26102020091013104485"</f>
        <v>26102020091013104485</v>
      </c>
      <c r="C146" s="7" t="s">
        <v>11</v>
      </c>
      <c r="D146" s="7" t="str">
        <f>"李汝健"</f>
        <v>李汝健</v>
      </c>
      <c r="E146" s="7" t="str">
        <f t="shared" si="41"/>
        <v>男</v>
      </c>
      <c r="F146" s="7" t="str">
        <f>"1996-11-06"</f>
        <v>1996-11-06</v>
      </c>
      <c r="G146" s="7" t="str">
        <f t="shared" si="42"/>
        <v>本科</v>
      </c>
      <c r="H146" s="7" t="str">
        <f t="shared" si="43"/>
        <v>学士</v>
      </c>
    </row>
    <row r="147" spans="1:8" ht="34.5" customHeight="1">
      <c r="A147" s="6">
        <v>145</v>
      </c>
      <c r="B147" s="7" t="str">
        <f>"26102020091013183887"</f>
        <v>26102020091013183887</v>
      </c>
      <c r="C147" s="7" t="s">
        <v>11</v>
      </c>
      <c r="D147" s="7" t="str">
        <f>"李学艳"</f>
        <v>李学艳</v>
      </c>
      <c r="E147" s="7" t="str">
        <f aca="true" t="shared" si="45" ref="E147:E156">"女"</f>
        <v>女</v>
      </c>
      <c r="F147" s="7" t="str">
        <f>"1995-01-17"</f>
        <v>1995-01-17</v>
      </c>
      <c r="G147" s="7" t="str">
        <f t="shared" si="42"/>
        <v>本科</v>
      </c>
      <c r="H147" s="7" t="str">
        <f t="shared" si="43"/>
        <v>学士</v>
      </c>
    </row>
    <row r="148" spans="1:8" ht="34.5" customHeight="1">
      <c r="A148" s="6">
        <v>146</v>
      </c>
      <c r="B148" s="7" t="str">
        <f>"26102020091013380888"</f>
        <v>26102020091013380888</v>
      </c>
      <c r="C148" s="7" t="s">
        <v>11</v>
      </c>
      <c r="D148" s="7" t="str">
        <f>"黄海珍"</f>
        <v>黄海珍</v>
      </c>
      <c r="E148" s="7" t="str">
        <f t="shared" si="45"/>
        <v>女</v>
      </c>
      <c r="F148" s="7" t="str">
        <f>"1998-06-10"</f>
        <v>1998-06-10</v>
      </c>
      <c r="G148" s="7" t="str">
        <f t="shared" si="42"/>
        <v>本科</v>
      </c>
      <c r="H148" s="7" t="str">
        <f t="shared" si="43"/>
        <v>学士</v>
      </c>
    </row>
    <row r="149" spans="1:8" ht="34.5" customHeight="1">
      <c r="A149" s="6">
        <v>147</v>
      </c>
      <c r="B149" s="7" t="str">
        <f>"26102020091013381489"</f>
        <v>26102020091013381489</v>
      </c>
      <c r="C149" s="7" t="s">
        <v>11</v>
      </c>
      <c r="D149" s="7" t="str">
        <f>"周洁"</f>
        <v>周洁</v>
      </c>
      <c r="E149" s="7" t="str">
        <f t="shared" si="45"/>
        <v>女</v>
      </c>
      <c r="F149" s="7" t="str">
        <f>"1999-04-03"</f>
        <v>1999-04-03</v>
      </c>
      <c r="G149" s="7" t="str">
        <f t="shared" si="42"/>
        <v>本科</v>
      </c>
      <c r="H149" s="7" t="str">
        <f t="shared" si="43"/>
        <v>学士</v>
      </c>
    </row>
    <row r="150" spans="1:8" ht="34.5" customHeight="1">
      <c r="A150" s="6">
        <v>148</v>
      </c>
      <c r="B150" s="7" t="str">
        <f>"26102020091013432090"</f>
        <v>26102020091013432090</v>
      </c>
      <c r="C150" s="7" t="s">
        <v>11</v>
      </c>
      <c r="D150" s="7" t="str">
        <f>"王琳"</f>
        <v>王琳</v>
      </c>
      <c r="E150" s="7" t="str">
        <f t="shared" si="45"/>
        <v>女</v>
      </c>
      <c r="F150" s="7" t="str">
        <f>"1998-07-04"</f>
        <v>1998-07-04</v>
      </c>
      <c r="G150" s="7" t="str">
        <f t="shared" si="42"/>
        <v>本科</v>
      </c>
      <c r="H150" s="7" t="str">
        <f t="shared" si="43"/>
        <v>学士</v>
      </c>
    </row>
    <row r="151" spans="1:8" ht="34.5" customHeight="1">
      <c r="A151" s="6">
        <v>149</v>
      </c>
      <c r="B151" s="7" t="str">
        <f>"26102020091013494391"</f>
        <v>26102020091013494391</v>
      </c>
      <c r="C151" s="7" t="s">
        <v>11</v>
      </c>
      <c r="D151" s="7" t="str">
        <f>"张莹"</f>
        <v>张莹</v>
      </c>
      <c r="E151" s="7" t="str">
        <f t="shared" si="45"/>
        <v>女</v>
      </c>
      <c r="F151" s="7" t="str">
        <f>"1997-09-12"</f>
        <v>1997-09-12</v>
      </c>
      <c r="G151" s="7" t="str">
        <f t="shared" si="42"/>
        <v>本科</v>
      </c>
      <c r="H151" s="7" t="str">
        <f t="shared" si="43"/>
        <v>学士</v>
      </c>
    </row>
    <row r="152" spans="1:8" ht="34.5" customHeight="1">
      <c r="A152" s="6">
        <v>150</v>
      </c>
      <c r="B152" s="7" t="str">
        <f>"26102020091013502992"</f>
        <v>26102020091013502992</v>
      </c>
      <c r="C152" s="7" t="s">
        <v>11</v>
      </c>
      <c r="D152" s="7" t="str">
        <f>"钟婷"</f>
        <v>钟婷</v>
      </c>
      <c r="E152" s="7" t="str">
        <f t="shared" si="45"/>
        <v>女</v>
      </c>
      <c r="F152" s="7" t="str">
        <f>"1996-12-14"</f>
        <v>1996-12-14</v>
      </c>
      <c r="G152" s="7" t="str">
        <f t="shared" si="42"/>
        <v>本科</v>
      </c>
      <c r="H152" s="7" t="str">
        <f t="shared" si="43"/>
        <v>学士</v>
      </c>
    </row>
    <row r="153" spans="1:8" ht="34.5" customHeight="1">
      <c r="A153" s="6">
        <v>151</v>
      </c>
      <c r="B153" s="7" t="str">
        <f>"26102020091013572893"</f>
        <v>26102020091013572893</v>
      </c>
      <c r="C153" s="7" t="s">
        <v>11</v>
      </c>
      <c r="D153" s="7" t="str">
        <f>"钟海花 "</f>
        <v>钟海花 </v>
      </c>
      <c r="E153" s="7" t="str">
        <f t="shared" si="45"/>
        <v>女</v>
      </c>
      <c r="F153" s="7" t="str">
        <f>"1998-07-02"</f>
        <v>1998-07-02</v>
      </c>
      <c r="G153" s="7" t="str">
        <f t="shared" si="42"/>
        <v>本科</v>
      </c>
      <c r="H153" s="7" t="str">
        <f t="shared" si="43"/>
        <v>学士</v>
      </c>
    </row>
    <row r="154" spans="1:8" ht="34.5" customHeight="1">
      <c r="A154" s="6">
        <v>152</v>
      </c>
      <c r="B154" s="7" t="str">
        <f>"26102020091014214395"</f>
        <v>26102020091014214395</v>
      </c>
      <c r="C154" s="7" t="s">
        <v>11</v>
      </c>
      <c r="D154" s="7" t="str">
        <f>"兰逸溦"</f>
        <v>兰逸溦</v>
      </c>
      <c r="E154" s="7" t="str">
        <f t="shared" si="45"/>
        <v>女</v>
      </c>
      <c r="F154" s="7" t="str">
        <f>"1998-10-15"</f>
        <v>1998-10-15</v>
      </c>
      <c r="G154" s="7" t="str">
        <f t="shared" si="42"/>
        <v>本科</v>
      </c>
      <c r="H154" s="7" t="str">
        <f t="shared" si="43"/>
        <v>学士</v>
      </c>
    </row>
    <row r="155" spans="1:8" ht="34.5" customHeight="1">
      <c r="A155" s="6">
        <v>153</v>
      </c>
      <c r="B155" s="7" t="str">
        <f>"261020200910151643102"</f>
        <v>261020200910151643102</v>
      </c>
      <c r="C155" s="7" t="s">
        <v>11</v>
      </c>
      <c r="D155" s="7" t="str">
        <f>"王芳雪"</f>
        <v>王芳雪</v>
      </c>
      <c r="E155" s="7" t="str">
        <f t="shared" si="45"/>
        <v>女</v>
      </c>
      <c r="F155" s="7" t="str">
        <f>"1996-04-15"</f>
        <v>1996-04-15</v>
      </c>
      <c r="G155" s="7" t="str">
        <f t="shared" si="42"/>
        <v>本科</v>
      </c>
      <c r="H155" s="7" t="str">
        <f t="shared" si="43"/>
        <v>学士</v>
      </c>
    </row>
    <row r="156" spans="1:8" ht="34.5" customHeight="1">
      <c r="A156" s="6">
        <v>154</v>
      </c>
      <c r="B156" s="7" t="str">
        <f>"261020200910155038109"</f>
        <v>261020200910155038109</v>
      </c>
      <c r="C156" s="7" t="s">
        <v>11</v>
      </c>
      <c r="D156" s="7" t="str">
        <f>"谢佳汶"</f>
        <v>谢佳汶</v>
      </c>
      <c r="E156" s="7" t="str">
        <f t="shared" si="45"/>
        <v>女</v>
      </c>
      <c r="F156" s="7" t="str">
        <f>"1998-06-24"</f>
        <v>1998-06-24</v>
      </c>
      <c r="G156" s="7" t="str">
        <f t="shared" si="42"/>
        <v>本科</v>
      </c>
      <c r="H156" s="7" t="str">
        <f t="shared" si="43"/>
        <v>学士</v>
      </c>
    </row>
    <row r="157" spans="1:8" ht="34.5" customHeight="1">
      <c r="A157" s="6">
        <v>155</v>
      </c>
      <c r="B157" s="7" t="str">
        <f>"261020200910160647115"</f>
        <v>261020200910160647115</v>
      </c>
      <c r="C157" s="7" t="s">
        <v>11</v>
      </c>
      <c r="D157" s="7" t="str">
        <f>"周度胜"</f>
        <v>周度胜</v>
      </c>
      <c r="E157" s="7" t="str">
        <f aca="true" t="shared" si="46" ref="E157:E162">"男"</f>
        <v>男</v>
      </c>
      <c r="F157" s="7" t="str">
        <f>"1996-12-22"</f>
        <v>1996-12-22</v>
      </c>
      <c r="G157" s="7" t="str">
        <f t="shared" si="42"/>
        <v>本科</v>
      </c>
      <c r="H157" s="7" t="str">
        <f t="shared" si="43"/>
        <v>学士</v>
      </c>
    </row>
    <row r="158" spans="1:8" ht="34.5" customHeight="1">
      <c r="A158" s="6">
        <v>156</v>
      </c>
      <c r="B158" s="7" t="str">
        <f>"261020200910170829123"</f>
        <v>261020200910170829123</v>
      </c>
      <c r="C158" s="7" t="s">
        <v>11</v>
      </c>
      <c r="D158" s="7" t="str">
        <f>"唐闻仙"</f>
        <v>唐闻仙</v>
      </c>
      <c r="E158" s="7" t="str">
        <f>"女"</f>
        <v>女</v>
      </c>
      <c r="F158" s="7" t="str">
        <f>"1997-05-19"</f>
        <v>1997-05-19</v>
      </c>
      <c r="G158" s="7" t="str">
        <f t="shared" si="42"/>
        <v>本科</v>
      </c>
      <c r="H158" s="7" t="str">
        <f t="shared" si="43"/>
        <v>学士</v>
      </c>
    </row>
    <row r="159" spans="1:8" ht="34.5" customHeight="1">
      <c r="A159" s="6">
        <v>157</v>
      </c>
      <c r="B159" s="7" t="str">
        <f>"261020200910172254126"</f>
        <v>261020200910172254126</v>
      </c>
      <c r="C159" s="7" t="s">
        <v>11</v>
      </c>
      <c r="D159" s="7" t="str">
        <f>"陈永帅"</f>
        <v>陈永帅</v>
      </c>
      <c r="E159" s="7" t="str">
        <f t="shared" si="46"/>
        <v>男</v>
      </c>
      <c r="F159" s="7" t="str">
        <f>"1996-04-05"</f>
        <v>1996-04-05</v>
      </c>
      <c r="G159" s="7" t="str">
        <f t="shared" si="42"/>
        <v>本科</v>
      </c>
      <c r="H159" s="7" t="str">
        <f t="shared" si="43"/>
        <v>学士</v>
      </c>
    </row>
    <row r="160" spans="1:8" ht="34.5" customHeight="1">
      <c r="A160" s="6">
        <v>158</v>
      </c>
      <c r="B160" s="7" t="str">
        <f>"261020200910172929127"</f>
        <v>261020200910172929127</v>
      </c>
      <c r="C160" s="7" t="s">
        <v>11</v>
      </c>
      <c r="D160" s="7" t="str">
        <f>"陈棣楚"</f>
        <v>陈棣楚</v>
      </c>
      <c r="E160" s="7" t="str">
        <f t="shared" si="46"/>
        <v>男</v>
      </c>
      <c r="F160" s="7" t="str">
        <f>"1996-08-05"</f>
        <v>1996-08-05</v>
      </c>
      <c r="G160" s="7" t="str">
        <f t="shared" si="42"/>
        <v>本科</v>
      </c>
      <c r="H160" s="7" t="str">
        <f t="shared" si="43"/>
        <v>学士</v>
      </c>
    </row>
    <row r="161" spans="1:8" ht="34.5" customHeight="1">
      <c r="A161" s="6">
        <v>159</v>
      </c>
      <c r="B161" s="7" t="str">
        <f>"261020200910173127129"</f>
        <v>261020200910173127129</v>
      </c>
      <c r="C161" s="7" t="s">
        <v>11</v>
      </c>
      <c r="D161" s="7" t="str">
        <f>"李枕威"</f>
        <v>李枕威</v>
      </c>
      <c r="E161" s="7" t="str">
        <f t="shared" si="46"/>
        <v>男</v>
      </c>
      <c r="F161" s="7" t="str">
        <f>"1995-05-06"</f>
        <v>1995-05-06</v>
      </c>
      <c r="G161" s="7" t="str">
        <f t="shared" si="42"/>
        <v>本科</v>
      </c>
      <c r="H161" s="7" t="str">
        <f t="shared" si="43"/>
        <v>学士</v>
      </c>
    </row>
    <row r="162" spans="1:8" ht="34.5" customHeight="1">
      <c r="A162" s="6">
        <v>160</v>
      </c>
      <c r="B162" s="7" t="str">
        <f>"261020200910173351131"</f>
        <v>261020200910173351131</v>
      </c>
      <c r="C162" s="7" t="s">
        <v>11</v>
      </c>
      <c r="D162" s="7" t="str">
        <f>"李智渊"</f>
        <v>李智渊</v>
      </c>
      <c r="E162" s="7" t="str">
        <f t="shared" si="46"/>
        <v>男</v>
      </c>
      <c r="F162" s="7" t="str">
        <f>"1998-07-07"</f>
        <v>1998-07-07</v>
      </c>
      <c r="G162" s="7" t="str">
        <f t="shared" si="42"/>
        <v>本科</v>
      </c>
      <c r="H162" s="7" t="str">
        <f t="shared" si="43"/>
        <v>学士</v>
      </c>
    </row>
    <row r="163" spans="1:8" ht="34.5" customHeight="1">
      <c r="A163" s="6">
        <v>161</v>
      </c>
      <c r="B163" s="7" t="str">
        <f>"261020200910174237132"</f>
        <v>261020200910174237132</v>
      </c>
      <c r="C163" s="7" t="s">
        <v>11</v>
      </c>
      <c r="D163" s="7" t="str">
        <f>"王静"</f>
        <v>王静</v>
      </c>
      <c r="E163" s="7" t="str">
        <f aca="true" t="shared" si="47" ref="E163:E165">"女"</f>
        <v>女</v>
      </c>
      <c r="F163" s="7" t="str">
        <f>"1997-09-24"</f>
        <v>1997-09-24</v>
      </c>
      <c r="G163" s="7" t="str">
        <f t="shared" si="42"/>
        <v>本科</v>
      </c>
      <c r="H163" s="7" t="str">
        <f t="shared" si="43"/>
        <v>学士</v>
      </c>
    </row>
    <row r="164" spans="1:8" ht="34.5" customHeight="1">
      <c r="A164" s="6">
        <v>162</v>
      </c>
      <c r="B164" s="7" t="str">
        <f>"261020200910175031134"</f>
        <v>261020200910175031134</v>
      </c>
      <c r="C164" s="7" t="s">
        <v>11</v>
      </c>
      <c r="D164" s="7" t="str">
        <f>"邓小倩"</f>
        <v>邓小倩</v>
      </c>
      <c r="E164" s="7" t="str">
        <f t="shared" si="47"/>
        <v>女</v>
      </c>
      <c r="F164" s="7" t="str">
        <f>"1996-11-27"</f>
        <v>1996-11-27</v>
      </c>
      <c r="G164" s="7" t="str">
        <f t="shared" si="42"/>
        <v>本科</v>
      </c>
      <c r="H164" s="7" t="str">
        <f t="shared" si="43"/>
        <v>学士</v>
      </c>
    </row>
    <row r="165" spans="1:8" ht="34.5" customHeight="1">
      <c r="A165" s="6">
        <v>163</v>
      </c>
      <c r="B165" s="7" t="str">
        <f>"261020200910180143136"</f>
        <v>261020200910180143136</v>
      </c>
      <c r="C165" s="7" t="s">
        <v>11</v>
      </c>
      <c r="D165" s="7" t="str">
        <f>"何佳"</f>
        <v>何佳</v>
      </c>
      <c r="E165" s="7" t="str">
        <f t="shared" si="47"/>
        <v>女</v>
      </c>
      <c r="F165" s="7" t="str">
        <f>"1999-02-13"</f>
        <v>1999-02-13</v>
      </c>
      <c r="G165" s="7" t="str">
        <f t="shared" si="42"/>
        <v>本科</v>
      </c>
      <c r="H165" s="7" t="str">
        <f t="shared" si="43"/>
        <v>学士</v>
      </c>
    </row>
    <row r="166" spans="1:8" ht="34.5" customHeight="1">
      <c r="A166" s="6">
        <v>164</v>
      </c>
      <c r="B166" s="7" t="str">
        <f>"261020200910181628137"</f>
        <v>261020200910181628137</v>
      </c>
      <c r="C166" s="7" t="s">
        <v>11</v>
      </c>
      <c r="D166" s="7" t="str">
        <f>"王斌"</f>
        <v>王斌</v>
      </c>
      <c r="E166" s="7" t="str">
        <f>"男"</f>
        <v>男</v>
      </c>
      <c r="F166" s="7" t="str">
        <f>"1995-06-13"</f>
        <v>1995-06-13</v>
      </c>
      <c r="G166" s="7" t="str">
        <f t="shared" si="42"/>
        <v>本科</v>
      </c>
      <c r="H166" s="7" t="str">
        <f t="shared" si="43"/>
        <v>学士</v>
      </c>
    </row>
    <row r="167" spans="1:8" ht="34.5" customHeight="1">
      <c r="A167" s="6">
        <v>165</v>
      </c>
      <c r="B167" s="7" t="str">
        <f>"261020200910195434142"</f>
        <v>261020200910195434142</v>
      </c>
      <c r="C167" s="7" t="s">
        <v>11</v>
      </c>
      <c r="D167" s="7" t="str">
        <f>"王于清"</f>
        <v>王于清</v>
      </c>
      <c r="E167" s="7" t="str">
        <f aca="true" t="shared" si="48" ref="E167:E173">"女"</f>
        <v>女</v>
      </c>
      <c r="F167" s="7" t="str">
        <f>"1998-02-11"</f>
        <v>1998-02-11</v>
      </c>
      <c r="G167" s="7" t="str">
        <f t="shared" si="42"/>
        <v>本科</v>
      </c>
      <c r="H167" s="7" t="str">
        <f t="shared" si="43"/>
        <v>学士</v>
      </c>
    </row>
    <row r="168" spans="1:8" ht="34.5" customHeight="1">
      <c r="A168" s="6">
        <v>166</v>
      </c>
      <c r="B168" s="7" t="str">
        <f>"261020200910195834143"</f>
        <v>261020200910195834143</v>
      </c>
      <c r="C168" s="7" t="s">
        <v>11</v>
      </c>
      <c r="D168" s="7" t="str">
        <f>"陈奕蘅"</f>
        <v>陈奕蘅</v>
      </c>
      <c r="E168" s="7" t="str">
        <f t="shared" si="48"/>
        <v>女</v>
      </c>
      <c r="F168" s="7" t="str">
        <f>"1998-04-16"</f>
        <v>1998-04-16</v>
      </c>
      <c r="G168" s="7" t="str">
        <f t="shared" si="42"/>
        <v>本科</v>
      </c>
      <c r="H168" s="7" t="str">
        <f t="shared" si="43"/>
        <v>学士</v>
      </c>
    </row>
    <row r="169" spans="1:8" ht="34.5" customHeight="1">
      <c r="A169" s="6">
        <v>167</v>
      </c>
      <c r="B169" s="7" t="str">
        <f>"261020200910220403154"</f>
        <v>261020200910220403154</v>
      </c>
      <c r="C169" s="7" t="s">
        <v>11</v>
      </c>
      <c r="D169" s="7" t="str">
        <f>"何欣雨"</f>
        <v>何欣雨</v>
      </c>
      <c r="E169" s="7" t="str">
        <f t="shared" si="48"/>
        <v>女</v>
      </c>
      <c r="F169" s="7" t="str">
        <f>"1997-02-10"</f>
        <v>1997-02-10</v>
      </c>
      <c r="G169" s="7" t="str">
        <f t="shared" si="42"/>
        <v>本科</v>
      </c>
      <c r="H169" s="7" t="str">
        <f t="shared" si="43"/>
        <v>学士</v>
      </c>
    </row>
    <row r="170" spans="1:8" ht="34.5" customHeight="1">
      <c r="A170" s="6">
        <v>168</v>
      </c>
      <c r="B170" s="7" t="str">
        <f>"261020200910220812155"</f>
        <v>261020200910220812155</v>
      </c>
      <c r="C170" s="7" t="s">
        <v>11</v>
      </c>
      <c r="D170" s="7" t="str">
        <f>"陈坤秀"</f>
        <v>陈坤秀</v>
      </c>
      <c r="E170" s="7" t="str">
        <f t="shared" si="48"/>
        <v>女</v>
      </c>
      <c r="F170" s="7" t="str">
        <f>"1997-12-27"</f>
        <v>1997-12-27</v>
      </c>
      <c r="G170" s="7" t="str">
        <f t="shared" si="42"/>
        <v>本科</v>
      </c>
      <c r="H170" s="7" t="str">
        <f t="shared" si="43"/>
        <v>学士</v>
      </c>
    </row>
    <row r="171" spans="1:8" ht="34.5" customHeight="1">
      <c r="A171" s="6">
        <v>169</v>
      </c>
      <c r="B171" s="7" t="str">
        <f>"261020200910232626167"</f>
        <v>261020200910232626167</v>
      </c>
      <c r="C171" s="7" t="s">
        <v>11</v>
      </c>
      <c r="D171" s="7" t="str">
        <f>"王一钦"</f>
        <v>王一钦</v>
      </c>
      <c r="E171" s="7" t="str">
        <f t="shared" si="48"/>
        <v>女</v>
      </c>
      <c r="F171" s="7" t="str">
        <f>"1997-12-05"</f>
        <v>1997-12-05</v>
      </c>
      <c r="G171" s="7" t="str">
        <f t="shared" si="42"/>
        <v>本科</v>
      </c>
      <c r="H171" s="7" t="str">
        <f t="shared" si="43"/>
        <v>学士</v>
      </c>
    </row>
    <row r="172" spans="1:8" ht="34.5" customHeight="1">
      <c r="A172" s="6">
        <v>170</v>
      </c>
      <c r="B172" s="7" t="str">
        <f>"261020200911090453179"</f>
        <v>261020200911090453179</v>
      </c>
      <c r="C172" s="7" t="s">
        <v>11</v>
      </c>
      <c r="D172" s="7" t="str">
        <f>"蔡汝静"</f>
        <v>蔡汝静</v>
      </c>
      <c r="E172" s="7" t="str">
        <f t="shared" si="48"/>
        <v>女</v>
      </c>
      <c r="F172" s="7" t="str">
        <f>"1997-01-10"</f>
        <v>1997-01-10</v>
      </c>
      <c r="G172" s="7" t="str">
        <f t="shared" si="42"/>
        <v>本科</v>
      </c>
      <c r="H172" s="7" t="str">
        <f t="shared" si="43"/>
        <v>学士</v>
      </c>
    </row>
    <row r="173" spans="1:8" ht="34.5" customHeight="1">
      <c r="A173" s="6">
        <v>171</v>
      </c>
      <c r="B173" s="7" t="str">
        <f>"261020200911090959180"</f>
        <v>261020200911090959180</v>
      </c>
      <c r="C173" s="7" t="s">
        <v>11</v>
      </c>
      <c r="D173" s="7" t="str">
        <f>"刘小娜"</f>
        <v>刘小娜</v>
      </c>
      <c r="E173" s="7" t="str">
        <f t="shared" si="48"/>
        <v>女</v>
      </c>
      <c r="F173" s="7" t="str">
        <f>"1996-07-13"</f>
        <v>1996-07-13</v>
      </c>
      <c r="G173" s="7" t="str">
        <f t="shared" si="42"/>
        <v>本科</v>
      </c>
      <c r="H173" s="7" t="str">
        <f t="shared" si="43"/>
        <v>学士</v>
      </c>
    </row>
    <row r="174" spans="1:8" ht="34.5" customHeight="1">
      <c r="A174" s="6">
        <v>172</v>
      </c>
      <c r="B174" s="7" t="str">
        <f>"261020200911093936187"</f>
        <v>261020200911093936187</v>
      </c>
      <c r="C174" s="7" t="s">
        <v>11</v>
      </c>
      <c r="D174" s="7" t="str">
        <f>"吴昌钊"</f>
        <v>吴昌钊</v>
      </c>
      <c r="E174" s="7" t="str">
        <f aca="true" t="shared" si="49" ref="E174:E179">"男"</f>
        <v>男</v>
      </c>
      <c r="F174" s="7" t="str">
        <f>"1998-08-16"</f>
        <v>1998-08-16</v>
      </c>
      <c r="G174" s="7" t="str">
        <f t="shared" si="42"/>
        <v>本科</v>
      </c>
      <c r="H174" s="7" t="str">
        <f t="shared" si="43"/>
        <v>学士</v>
      </c>
    </row>
    <row r="175" spans="1:8" ht="34.5" customHeight="1">
      <c r="A175" s="6">
        <v>173</v>
      </c>
      <c r="B175" s="7" t="str">
        <f>"261020200911105614189"</f>
        <v>261020200911105614189</v>
      </c>
      <c r="C175" s="7" t="s">
        <v>11</v>
      </c>
      <c r="D175" s="7" t="str">
        <f>"文万祝"</f>
        <v>文万祝</v>
      </c>
      <c r="E175" s="7" t="str">
        <f t="shared" si="49"/>
        <v>男</v>
      </c>
      <c r="F175" s="7" t="str">
        <f>"1998-04-28"</f>
        <v>1998-04-28</v>
      </c>
      <c r="G175" s="7" t="str">
        <f t="shared" si="42"/>
        <v>本科</v>
      </c>
      <c r="H175" s="7" t="str">
        <f t="shared" si="43"/>
        <v>学士</v>
      </c>
    </row>
    <row r="176" spans="1:8" ht="34.5" customHeight="1">
      <c r="A176" s="6">
        <v>174</v>
      </c>
      <c r="B176" s="7" t="str">
        <f>"261020200911113938196"</f>
        <v>261020200911113938196</v>
      </c>
      <c r="C176" s="7" t="s">
        <v>11</v>
      </c>
      <c r="D176" s="7" t="str">
        <f>"陈禾苗"</f>
        <v>陈禾苗</v>
      </c>
      <c r="E176" s="7" t="str">
        <f>"女"</f>
        <v>女</v>
      </c>
      <c r="F176" s="7" t="str">
        <f>"1997-04-02"</f>
        <v>1997-04-02</v>
      </c>
      <c r="G176" s="7" t="str">
        <f t="shared" si="42"/>
        <v>本科</v>
      </c>
      <c r="H176" s="7" t="str">
        <f t="shared" si="43"/>
        <v>学士</v>
      </c>
    </row>
    <row r="177" spans="1:8" ht="34.5" customHeight="1">
      <c r="A177" s="6">
        <v>175</v>
      </c>
      <c r="B177" s="7" t="str">
        <f>"261020200911130410202"</f>
        <v>261020200911130410202</v>
      </c>
      <c r="C177" s="7" t="s">
        <v>11</v>
      </c>
      <c r="D177" s="7" t="str">
        <f>"廖小咪"</f>
        <v>廖小咪</v>
      </c>
      <c r="E177" s="7" t="str">
        <f>"女"</f>
        <v>女</v>
      </c>
      <c r="F177" s="7" t="str">
        <f>"1996-09-19"</f>
        <v>1996-09-19</v>
      </c>
      <c r="G177" s="7" t="str">
        <f t="shared" si="42"/>
        <v>本科</v>
      </c>
      <c r="H177" s="7" t="str">
        <f t="shared" si="43"/>
        <v>学士</v>
      </c>
    </row>
    <row r="178" spans="1:8" ht="34.5" customHeight="1">
      <c r="A178" s="6">
        <v>176</v>
      </c>
      <c r="B178" s="7" t="str">
        <f>"261020200911140918207"</f>
        <v>261020200911140918207</v>
      </c>
      <c r="C178" s="7" t="s">
        <v>11</v>
      </c>
      <c r="D178" s="7" t="str">
        <f>"吴英湖"</f>
        <v>吴英湖</v>
      </c>
      <c r="E178" s="7" t="str">
        <f t="shared" si="49"/>
        <v>男</v>
      </c>
      <c r="F178" s="7" t="str">
        <f>"1994-11-04"</f>
        <v>1994-11-04</v>
      </c>
      <c r="G178" s="7" t="str">
        <f t="shared" si="42"/>
        <v>本科</v>
      </c>
      <c r="H178" s="7" t="str">
        <f t="shared" si="43"/>
        <v>学士</v>
      </c>
    </row>
    <row r="179" spans="1:8" ht="34.5" customHeight="1">
      <c r="A179" s="6">
        <v>177</v>
      </c>
      <c r="B179" s="7" t="str">
        <f>"261020200911141143208"</f>
        <v>261020200911141143208</v>
      </c>
      <c r="C179" s="7" t="s">
        <v>11</v>
      </c>
      <c r="D179" s="7" t="str">
        <f>"杜德睿"</f>
        <v>杜德睿</v>
      </c>
      <c r="E179" s="7" t="str">
        <f t="shared" si="49"/>
        <v>男</v>
      </c>
      <c r="F179" s="7" t="str">
        <f>"1995-01-26"</f>
        <v>1995-01-26</v>
      </c>
      <c r="G179" s="7" t="str">
        <f t="shared" si="42"/>
        <v>本科</v>
      </c>
      <c r="H179" s="7" t="str">
        <f t="shared" si="43"/>
        <v>学士</v>
      </c>
    </row>
    <row r="180" spans="1:8" ht="34.5" customHeight="1">
      <c r="A180" s="6">
        <v>178</v>
      </c>
      <c r="B180" s="7" t="str">
        <f>"261020200911144603209"</f>
        <v>261020200911144603209</v>
      </c>
      <c r="C180" s="7" t="s">
        <v>11</v>
      </c>
      <c r="D180" s="7" t="str">
        <f>"郑翠群"</f>
        <v>郑翠群</v>
      </c>
      <c r="E180" s="7" t="str">
        <f aca="true" t="shared" si="50" ref="E180:E187">"女"</f>
        <v>女</v>
      </c>
      <c r="F180" s="7" t="str">
        <f>"1997-12-07"</f>
        <v>1997-12-07</v>
      </c>
      <c r="G180" s="7" t="str">
        <f t="shared" si="42"/>
        <v>本科</v>
      </c>
      <c r="H180" s="7" t="str">
        <f t="shared" si="43"/>
        <v>学士</v>
      </c>
    </row>
    <row r="181" spans="1:8" ht="34.5" customHeight="1">
      <c r="A181" s="6">
        <v>179</v>
      </c>
      <c r="B181" s="7" t="str">
        <f>"261020200911152722213"</f>
        <v>261020200911152722213</v>
      </c>
      <c r="C181" s="7" t="s">
        <v>11</v>
      </c>
      <c r="D181" s="7" t="str">
        <f>"陈德群"</f>
        <v>陈德群</v>
      </c>
      <c r="E181" s="7" t="str">
        <f t="shared" si="50"/>
        <v>女</v>
      </c>
      <c r="F181" s="7" t="str">
        <f>"1998-08-19"</f>
        <v>1998-08-19</v>
      </c>
      <c r="G181" s="7" t="str">
        <f t="shared" si="42"/>
        <v>本科</v>
      </c>
      <c r="H181" s="7" t="str">
        <f t="shared" si="43"/>
        <v>学士</v>
      </c>
    </row>
    <row r="182" spans="1:8" ht="34.5" customHeight="1">
      <c r="A182" s="6">
        <v>180</v>
      </c>
      <c r="B182" s="7" t="str">
        <f>"261020200911164136222"</f>
        <v>261020200911164136222</v>
      </c>
      <c r="C182" s="7" t="s">
        <v>11</v>
      </c>
      <c r="D182" s="7" t="str">
        <f>"赵思婕"</f>
        <v>赵思婕</v>
      </c>
      <c r="E182" s="7" t="str">
        <f t="shared" si="50"/>
        <v>女</v>
      </c>
      <c r="F182" s="7" t="str">
        <f>"1997-04-06"</f>
        <v>1997-04-06</v>
      </c>
      <c r="G182" s="7" t="str">
        <f t="shared" si="42"/>
        <v>本科</v>
      </c>
      <c r="H182" s="7" t="str">
        <f t="shared" si="43"/>
        <v>学士</v>
      </c>
    </row>
    <row r="183" spans="1:8" ht="34.5" customHeight="1">
      <c r="A183" s="6">
        <v>181</v>
      </c>
      <c r="B183" s="7" t="str">
        <f>"261020200911165412224"</f>
        <v>261020200911165412224</v>
      </c>
      <c r="C183" s="7" t="s">
        <v>11</v>
      </c>
      <c r="D183" s="7" t="str">
        <f>"李文静"</f>
        <v>李文静</v>
      </c>
      <c r="E183" s="7" t="str">
        <f t="shared" si="50"/>
        <v>女</v>
      </c>
      <c r="F183" s="7" t="str">
        <f>"1998-01-14"</f>
        <v>1998-01-14</v>
      </c>
      <c r="G183" s="7" t="str">
        <f t="shared" si="42"/>
        <v>本科</v>
      </c>
      <c r="H183" s="7" t="str">
        <f t="shared" si="43"/>
        <v>学士</v>
      </c>
    </row>
    <row r="184" spans="1:8" ht="34.5" customHeight="1">
      <c r="A184" s="6">
        <v>182</v>
      </c>
      <c r="B184" s="7" t="str">
        <f>"261020200911181259228"</f>
        <v>261020200911181259228</v>
      </c>
      <c r="C184" s="7" t="s">
        <v>11</v>
      </c>
      <c r="D184" s="7" t="str">
        <f>"苏裕森"</f>
        <v>苏裕森</v>
      </c>
      <c r="E184" s="7" t="str">
        <f t="shared" si="50"/>
        <v>女</v>
      </c>
      <c r="F184" s="7" t="str">
        <f>"1999-01-09"</f>
        <v>1999-01-09</v>
      </c>
      <c r="G184" s="7" t="str">
        <f t="shared" si="42"/>
        <v>本科</v>
      </c>
      <c r="H184" s="7" t="str">
        <f t="shared" si="43"/>
        <v>学士</v>
      </c>
    </row>
    <row r="185" spans="1:8" ht="34.5" customHeight="1">
      <c r="A185" s="6">
        <v>183</v>
      </c>
      <c r="B185" s="7" t="str">
        <f>"261020200911181403229"</f>
        <v>261020200911181403229</v>
      </c>
      <c r="C185" s="7" t="s">
        <v>11</v>
      </c>
      <c r="D185" s="7" t="str">
        <f>"白婧"</f>
        <v>白婧</v>
      </c>
      <c r="E185" s="7" t="str">
        <f t="shared" si="50"/>
        <v>女</v>
      </c>
      <c r="F185" s="7" t="str">
        <f>"1996-08-08"</f>
        <v>1996-08-08</v>
      </c>
      <c r="G185" s="7" t="str">
        <f t="shared" si="42"/>
        <v>本科</v>
      </c>
      <c r="H185" s="7" t="str">
        <f t="shared" si="43"/>
        <v>学士</v>
      </c>
    </row>
    <row r="186" spans="1:8" ht="34.5" customHeight="1">
      <c r="A186" s="6">
        <v>184</v>
      </c>
      <c r="B186" s="7" t="str">
        <f>"261020200911182651230"</f>
        <v>261020200911182651230</v>
      </c>
      <c r="C186" s="7" t="s">
        <v>11</v>
      </c>
      <c r="D186" s="7" t="str">
        <f>"刘惠"</f>
        <v>刘惠</v>
      </c>
      <c r="E186" s="7" t="str">
        <f t="shared" si="50"/>
        <v>女</v>
      </c>
      <c r="F186" s="7" t="str">
        <f>"1998-03-25"</f>
        <v>1998-03-25</v>
      </c>
      <c r="G186" s="7" t="str">
        <f t="shared" si="42"/>
        <v>本科</v>
      </c>
      <c r="H186" s="7" t="str">
        <f t="shared" si="43"/>
        <v>学士</v>
      </c>
    </row>
    <row r="187" spans="1:8" ht="34.5" customHeight="1">
      <c r="A187" s="6">
        <v>185</v>
      </c>
      <c r="B187" s="7" t="str">
        <f>"261020200911194222235"</f>
        <v>261020200911194222235</v>
      </c>
      <c r="C187" s="7" t="s">
        <v>11</v>
      </c>
      <c r="D187" s="7" t="str">
        <f>"谢润雨"</f>
        <v>谢润雨</v>
      </c>
      <c r="E187" s="7" t="str">
        <f t="shared" si="50"/>
        <v>女</v>
      </c>
      <c r="F187" s="7" t="str">
        <f>"1997-08-02"</f>
        <v>1997-08-02</v>
      </c>
      <c r="G187" s="7" t="str">
        <f t="shared" si="42"/>
        <v>本科</v>
      </c>
      <c r="H187" s="7" t="str">
        <f t="shared" si="43"/>
        <v>学士</v>
      </c>
    </row>
    <row r="188" spans="1:8" ht="34.5" customHeight="1">
      <c r="A188" s="6">
        <v>186</v>
      </c>
      <c r="B188" s="7" t="str">
        <f>"261020200911200007236"</f>
        <v>261020200911200007236</v>
      </c>
      <c r="C188" s="7" t="s">
        <v>11</v>
      </c>
      <c r="D188" s="7" t="str">
        <f>"周潇宇"</f>
        <v>周潇宇</v>
      </c>
      <c r="E188" s="7" t="str">
        <f>"男"</f>
        <v>男</v>
      </c>
      <c r="F188" s="7" t="str">
        <f>"1997-04-29"</f>
        <v>1997-04-29</v>
      </c>
      <c r="G188" s="7" t="str">
        <f t="shared" si="42"/>
        <v>本科</v>
      </c>
      <c r="H188" s="7" t="str">
        <f t="shared" si="43"/>
        <v>学士</v>
      </c>
    </row>
    <row r="189" spans="1:8" ht="34.5" customHeight="1">
      <c r="A189" s="6">
        <v>187</v>
      </c>
      <c r="B189" s="7" t="str">
        <f>"261020200911203245239"</f>
        <v>261020200911203245239</v>
      </c>
      <c r="C189" s="7" t="s">
        <v>11</v>
      </c>
      <c r="D189" s="7" t="str">
        <f>"林德泽"</f>
        <v>林德泽</v>
      </c>
      <c r="E189" s="7" t="str">
        <f aca="true" t="shared" si="51" ref="E189:E193">"女"</f>
        <v>女</v>
      </c>
      <c r="F189" s="7" t="str">
        <f>"1997-02-02"</f>
        <v>1997-02-02</v>
      </c>
      <c r="G189" s="7" t="str">
        <f t="shared" si="42"/>
        <v>本科</v>
      </c>
      <c r="H189" s="7" t="str">
        <f t="shared" si="43"/>
        <v>学士</v>
      </c>
    </row>
    <row r="190" spans="1:8" ht="34.5" customHeight="1">
      <c r="A190" s="6">
        <v>188</v>
      </c>
      <c r="B190" s="7" t="str">
        <f>"261020200911210313242"</f>
        <v>261020200911210313242</v>
      </c>
      <c r="C190" s="7" t="s">
        <v>11</v>
      </c>
      <c r="D190" s="7" t="str">
        <f>"黄慧鑫"</f>
        <v>黄慧鑫</v>
      </c>
      <c r="E190" s="7" t="str">
        <f t="shared" si="51"/>
        <v>女</v>
      </c>
      <c r="F190" s="7" t="str">
        <f>"1998-04-10"</f>
        <v>1998-04-10</v>
      </c>
      <c r="G190" s="7" t="str">
        <f t="shared" si="42"/>
        <v>本科</v>
      </c>
      <c r="H190" s="7" t="str">
        <f t="shared" si="43"/>
        <v>学士</v>
      </c>
    </row>
    <row r="191" spans="1:8" ht="34.5" customHeight="1">
      <c r="A191" s="6">
        <v>189</v>
      </c>
      <c r="B191" s="7" t="str">
        <f>"261020200911230613252"</f>
        <v>261020200911230613252</v>
      </c>
      <c r="C191" s="7" t="s">
        <v>11</v>
      </c>
      <c r="D191" s="7" t="str">
        <f>"何庆罴"</f>
        <v>何庆罴</v>
      </c>
      <c r="E191" s="7" t="str">
        <f t="shared" si="51"/>
        <v>女</v>
      </c>
      <c r="F191" s="7" t="str">
        <f>"1997-12-02"</f>
        <v>1997-12-02</v>
      </c>
      <c r="G191" s="7" t="str">
        <f t="shared" si="42"/>
        <v>本科</v>
      </c>
      <c r="H191" s="7" t="str">
        <f t="shared" si="43"/>
        <v>学士</v>
      </c>
    </row>
    <row r="192" spans="1:8" ht="34.5" customHeight="1">
      <c r="A192" s="6">
        <v>190</v>
      </c>
      <c r="B192" s="7" t="str">
        <f>"261020200912010021259"</f>
        <v>261020200912010021259</v>
      </c>
      <c r="C192" s="7" t="s">
        <v>11</v>
      </c>
      <c r="D192" s="7" t="str">
        <f>"夏欣"</f>
        <v>夏欣</v>
      </c>
      <c r="E192" s="7" t="str">
        <f t="shared" si="51"/>
        <v>女</v>
      </c>
      <c r="F192" s="7" t="str">
        <f>"1997-12-21"</f>
        <v>1997-12-21</v>
      </c>
      <c r="G192" s="7" t="str">
        <f t="shared" si="42"/>
        <v>本科</v>
      </c>
      <c r="H192" s="7" t="str">
        <f t="shared" si="43"/>
        <v>学士</v>
      </c>
    </row>
    <row r="193" spans="1:8" ht="34.5" customHeight="1">
      <c r="A193" s="6">
        <v>191</v>
      </c>
      <c r="B193" s="7" t="str">
        <f>"261020200912014446260"</f>
        <v>261020200912014446260</v>
      </c>
      <c r="C193" s="7" t="s">
        <v>11</v>
      </c>
      <c r="D193" s="7" t="str">
        <f>"林仁玲"</f>
        <v>林仁玲</v>
      </c>
      <c r="E193" s="7" t="str">
        <f t="shared" si="51"/>
        <v>女</v>
      </c>
      <c r="F193" s="7" t="str">
        <f>"1996-07-02"</f>
        <v>1996-07-02</v>
      </c>
      <c r="G193" s="7" t="str">
        <f t="shared" si="42"/>
        <v>本科</v>
      </c>
      <c r="H193" s="7" t="str">
        <f t="shared" si="43"/>
        <v>学士</v>
      </c>
    </row>
    <row r="194" spans="1:8" ht="34.5" customHeight="1">
      <c r="A194" s="6">
        <v>192</v>
      </c>
      <c r="B194" s="7" t="str">
        <f>"261020200912082458261"</f>
        <v>261020200912082458261</v>
      </c>
      <c r="C194" s="7" t="s">
        <v>11</v>
      </c>
      <c r="D194" s="7" t="str">
        <f>"杨宸"</f>
        <v>杨宸</v>
      </c>
      <c r="E194" s="7" t="str">
        <f aca="true" t="shared" si="52" ref="E194:E196">"男"</f>
        <v>男</v>
      </c>
      <c r="F194" s="7" t="str">
        <f>"1993-03-08"</f>
        <v>1993-03-08</v>
      </c>
      <c r="G194" s="7" t="str">
        <f>"研究生"</f>
        <v>研究生</v>
      </c>
      <c r="H194" s="7" t="str">
        <f>"硕士"</f>
        <v>硕士</v>
      </c>
    </row>
    <row r="195" spans="1:8" ht="34.5" customHeight="1">
      <c r="A195" s="6">
        <v>193</v>
      </c>
      <c r="B195" s="7" t="str">
        <f>"261020200912111723279"</f>
        <v>261020200912111723279</v>
      </c>
      <c r="C195" s="7" t="s">
        <v>11</v>
      </c>
      <c r="D195" s="7" t="str">
        <f>"王奋"</f>
        <v>王奋</v>
      </c>
      <c r="E195" s="7" t="str">
        <f t="shared" si="52"/>
        <v>男</v>
      </c>
      <c r="F195" s="7" t="str">
        <f>"1996-02-20"</f>
        <v>1996-02-20</v>
      </c>
      <c r="G195" s="7" t="str">
        <f aca="true" t="shared" si="53" ref="G195:G232">"本科"</f>
        <v>本科</v>
      </c>
      <c r="H195" s="7" t="str">
        <f aca="true" t="shared" si="54" ref="H195:H224">"学士"</f>
        <v>学士</v>
      </c>
    </row>
    <row r="196" spans="1:8" ht="34.5" customHeight="1">
      <c r="A196" s="6">
        <v>194</v>
      </c>
      <c r="B196" s="7" t="str">
        <f>"261020200912113640282"</f>
        <v>261020200912113640282</v>
      </c>
      <c r="C196" s="7" t="s">
        <v>11</v>
      </c>
      <c r="D196" s="7" t="str">
        <f>"曾祖谕"</f>
        <v>曾祖谕</v>
      </c>
      <c r="E196" s="7" t="str">
        <f t="shared" si="52"/>
        <v>男</v>
      </c>
      <c r="F196" s="7" t="str">
        <f>"1999-08-26"</f>
        <v>1999-08-26</v>
      </c>
      <c r="G196" s="7" t="str">
        <f t="shared" si="53"/>
        <v>本科</v>
      </c>
      <c r="H196" s="7" t="str">
        <f t="shared" si="54"/>
        <v>学士</v>
      </c>
    </row>
    <row r="197" spans="1:8" ht="34.5" customHeight="1">
      <c r="A197" s="6">
        <v>195</v>
      </c>
      <c r="B197" s="7" t="str">
        <f>"261020200912133255291"</f>
        <v>261020200912133255291</v>
      </c>
      <c r="C197" s="7" t="s">
        <v>11</v>
      </c>
      <c r="D197" s="7" t="str">
        <f>"林欣"</f>
        <v>林欣</v>
      </c>
      <c r="E197" s="7" t="str">
        <f aca="true" t="shared" si="55" ref="E197:E199">"女"</f>
        <v>女</v>
      </c>
      <c r="F197" s="7" t="str">
        <f>"1997-02-05"</f>
        <v>1997-02-05</v>
      </c>
      <c r="G197" s="7" t="str">
        <f t="shared" si="53"/>
        <v>本科</v>
      </c>
      <c r="H197" s="7" t="str">
        <f t="shared" si="54"/>
        <v>学士</v>
      </c>
    </row>
    <row r="198" spans="1:8" ht="34.5" customHeight="1">
      <c r="A198" s="6">
        <v>196</v>
      </c>
      <c r="B198" s="7" t="str">
        <f>"261020200912151632299"</f>
        <v>261020200912151632299</v>
      </c>
      <c r="C198" s="7" t="s">
        <v>11</v>
      </c>
      <c r="D198" s="7" t="str">
        <f>"杜煜"</f>
        <v>杜煜</v>
      </c>
      <c r="E198" s="7" t="str">
        <f t="shared" si="55"/>
        <v>女</v>
      </c>
      <c r="F198" s="7" t="str">
        <f>"1998-02-20"</f>
        <v>1998-02-20</v>
      </c>
      <c r="G198" s="7" t="str">
        <f t="shared" si="53"/>
        <v>本科</v>
      </c>
      <c r="H198" s="7" t="str">
        <f t="shared" si="54"/>
        <v>学士</v>
      </c>
    </row>
    <row r="199" spans="1:8" ht="34.5" customHeight="1">
      <c r="A199" s="6">
        <v>197</v>
      </c>
      <c r="B199" s="7" t="str">
        <f>"261020200912170823305"</f>
        <v>261020200912170823305</v>
      </c>
      <c r="C199" s="7" t="s">
        <v>11</v>
      </c>
      <c r="D199" s="7" t="str">
        <f>"杨泽丽"</f>
        <v>杨泽丽</v>
      </c>
      <c r="E199" s="7" t="str">
        <f t="shared" si="55"/>
        <v>女</v>
      </c>
      <c r="F199" s="7" t="str">
        <f>"1999-01-28"</f>
        <v>1999-01-28</v>
      </c>
      <c r="G199" s="7" t="str">
        <f t="shared" si="53"/>
        <v>本科</v>
      </c>
      <c r="H199" s="7" t="str">
        <f t="shared" si="54"/>
        <v>学士</v>
      </c>
    </row>
    <row r="200" spans="1:8" ht="34.5" customHeight="1">
      <c r="A200" s="6">
        <v>198</v>
      </c>
      <c r="B200" s="7" t="str">
        <f>"261020200912171920307"</f>
        <v>261020200912171920307</v>
      </c>
      <c r="C200" s="7" t="s">
        <v>11</v>
      </c>
      <c r="D200" s="7" t="str">
        <f>"杨国良"</f>
        <v>杨国良</v>
      </c>
      <c r="E200" s="7" t="str">
        <f>"男"</f>
        <v>男</v>
      </c>
      <c r="F200" s="7" t="str">
        <f>"1997-12-13"</f>
        <v>1997-12-13</v>
      </c>
      <c r="G200" s="7" t="str">
        <f t="shared" si="53"/>
        <v>本科</v>
      </c>
      <c r="H200" s="7" t="str">
        <f t="shared" si="54"/>
        <v>学士</v>
      </c>
    </row>
    <row r="201" spans="1:8" ht="34.5" customHeight="1">
      <c r="A201" s="6">
        <v>199</v>
      </c>
      <c r="B201" s="7" t="str">
        <f>"261020200912172442308"</f>
        <v>261020200912172442308</v>
      </c>
      <c r="C201" s="7" t="s">
        <v>11</v>
      </c>
      <c r="D201" s="7" t="str">
        <f>"文惠"</f>
        <v>文惠</v>
      </c>
      <c r="E201" s="7" t="str">
        <f aca="true" t="shared" si="56" ref="E201:E206">"女"</f>
        <v>女</v>
      </c>
      <c r="F201" s="7" t="str">
        <f>"1999-10-12"</f>
        <v>1999-10-12</v>
      </c>
      <c r="G201" s="7" t="str">
        <f t="shared" si="53"/>
        <v>本科</v>
      </c>
      <c r="H201" s="7" t="str">
        <f t="shared" si="54"/>
        <v>学士</v>
      </c>
    </row>
    <row r="202" spans="1:8" ht="34.5" customHeight="1">
      <c r="A202" s="6">
        <v>200</v>
      </c>
      <c r="B202" s="7" t="str">
        <f>"261020200912173244310"</f>
        <v>261020200912173244310</v>
      </c>
      <c r="C202" s="7" t="s">
        <v>11</v>
      </c>
      <c r="D202" s="7" t="str">
        <f>"陈立武"</f>
        <v>陈立武</v>
      </c>
      <c r="E202" s="7" t="str">
        <f>"男"</f>
        <v>男</v>
      </c>
      <c r="F202" s="7" t="str">
        <f>"1997-07-06"</f>
        <v>1997-07-06</v>
      </c>
      <c r="G202" s="7" t="str">
        <f t="shared" si="53"/>
        <v>本科</v>
      </c>
      <c r="H202" s="7" t="str">
        <f t="shared" si="54"/>
        <v>学士</v>
      </c>
    </row>
    <row r="203" spans="1:8" ht="34.5" customHeight="1">
      <c r="A203" s="6">
        <v>201</v>
      </c>
      <c r="B203" s="7" t="str">
        <f>"261020200912174516311"</f>
        <v>261020200912174516311</v>
      </c>
      <c r="C203" s="7" t="s">
        <v>11</v>
      </c>
      <c r="D203" s="7" t="str">
        <f>"方玉莹"</f>
        <v>方玉莹</v>
      </c>
      <c r="E203" s="7" t="str">
        <f t="shared" si="56"/>
        <v>女</v>
      </c>
      <c r="F203" s="7" t="str">
        <f>"1997-05-05"</f>
        <v>1997-05-05</v>
      </c>
      <c r="G203" s="7" t="str">
        <f t="shared" si="53"/>
        <v>本科</v>
      </c>
      <c r="H203" s="7" t="str">
        <f t="shared" si="54"/>
        <v>学士</v>
      </c>
    </row>
    <row r="204" spans="1:8" ht="34.5" customHeight="1">
      <c r="A204" s="6">
        <v>202</v>
      </c>
      <c r="B204" s="7" t="str">
        <f>"261020200912181519313"</f>
        <v>261020200912181519313</v>
      </c>
      <c r="C204" s="7" t="s">
        <v>11</v>
      </c>
      <c r="D204" s="7" t="str">
        <f>"高秀桂"</f>
        <v>高秀桂</v>
      </c>
      <c r="E204" s="7" t="str">
        <f t="shared" si="56"/>
        <v>女</v>
      </c>
      <c r="F204" s="7" t="str">
        <f>"1996-06-29"</f>
        <v>1996-06-29</v>
      </c>
      <c r="G204" s="7" t="str">
        <f t="shared" si="53"/>
        <v>本科</v>
      </c>
      <c r="H204" s="7" t="str">
        <f t="shared" si="54"/>
        <v>学士</v>
      </c>
    </row>
    <row r="205" spans="1:8" ht="34.5" customHeight="1">
      <c r="A205" s="6">
        <v>203</v>
      </c>
      <c r="B205" s="7" t="str">
        <f>"261020200912222101318"</f>
        <v>261020200912222101318</v>
      </c>
      <c r="C205" s="7" t="s">
        <v>11</v>
      </c>
      <c r="D205" s="7" t="str">
        <f>"闫语"</f>
        <v>闫语</v>
      </c>
      <c r="E205" s="7" t="str">
        <f t="shared" si="56"/>
        <v>女</v>
      </c>
      <c r="F205" s="7" t="str">
        <f>"1998-05-18"</f>
        <v>1998-05-18</v>
      </c>
      <c r="G205" s="7" t="str">
        <f t="shared" si="53"/>
        <v>本科</v>
      </c>
      <c r="H205" s="7" t="str">
        <f t="shared" si="54"/>
        <v>学士</v>
      </c>
    </row>
    <row r="206" spans="1:8" ht="34.5" customHeight="1">
      <c r="A206" s="6">
        <v>204</v>
      </c>
      <c r="B206" s="7" t="str">
        <f>"261020200912224741319"</f>
        <v>261020200912224741319</v>
      </c>
      <c r="C206" s="7" t="s">
        <v>11</v>
      </c>
      <c r="D206" s="7" t="str">
        <f>"利柳青"</f>
        <v>利柳青</v>
      </c>
      <c r="E206" s="7" t="str">
        <f t="shared" si="56"/>
        <v>女</v>
      </c>
      <c r="F206" s="7" t="str">
        <f>"1996-08-10"</f>
        <v>1996-08-10</v>
      </c>
      <c r="G206" s="7" t="str">
        <f t="shared" si="53"/>
        <v>本科</v>
      </c>
      <c r="H206" s="7" t="str">
        <f t="shared" si="54"/>
        <v>学士</v>
      </c>
    </row>
    <row r="207" spans="1:8" ht="34.5" customHeight="1">
      <c r="A207" s="6">
        <v>205</v>
      </c>
      <c r="B207" s="7" t="str">
        <f>"261020200913105604327"</f>
        <v>261020200913105604327</v>
      </c>
      <c r="C207" s="7" t="s">
        <v>11</v>
      </c>
      <c r="D207" s="7" t="str">
        <f>"熊章胜"</f>
        <v>熊章胜</v>
      </c>
      <c r="E207" s="7" t="str">
        <f aca="true" t="shared" si="57" ref="E207:E213">"男"</f>
        <v>男</v>
      </c>
      <c r="F207" s="7" t="str">
        <f>"1996-03-10"</f>
        <v>1996-03-10</v>
      </c>
      <c r="G207" s="7" t="str">
        <f t="shared" si="53"/>
        <v>本科</v>
      </c>
      <c r="H207" s="7" t="str">
        <f t="shared" si="54"/>
        <v>学士</v>
      </c>
    </row>
    <row r="208" spans="1:8" ht="34.5" customHeight="1">
      <c r="A208" s="6">
        <v>206</v>
      </c>
      <c r="B208" s="7" t="str">
        <f>"261020200913105632328"</f>
        <v>261020200913105632328</v>
      </c>
      <c r="C208" s="7" t="s">
        <v>11</v>
      </c>
      <c r="D208" s="7" t="str">
        <f>"唐庆洁"</f>
        <v>唐庆洁</v>
      </c>
      <c r="E208" s="7" t="str">
        <f aca="true" t="shared" si="58" ref="E208:E210">"女"</f>
        <v>女</v>
      </c>
      <c r="F208" s="7" t="str">
        <f>"1997-11-08"</f>
        <v>1997-11-08</v>
      </c>
      <c r="G208" s="7" t="str">
        <f t="shared" si="53"/>
        <v>本科</v>
      </c>
      <c r="H208" s="7" t="str">
        <f t="shared" si="54"/>
        <v>学士</v>
      </c>
    </row>
    <row r="209" spans="1:8" ht="34.5" customHeight="1">
      <c r="A209" s="6">
        <v>207</v>
      </c>
      <c r="B209" s="7" t="str">
        <f>"261020200913123534332"</f>
        <v>261020200913123534332</v>
      </c>
      <c r="C209" s="7" t="s">
        <v>11</v>
      </c>
      <c r="D209" s="7" t="str">
        <f>"徐义薇"</f>
        <v>徐义薇</v>
      </c>
      <c r="E209" s="7" t="str">
        <f t="shared" si="58"/>
        <v>女</v>
      </c>
      <c r="F209" s="7" t="str">
        <f>"1999-05-25"</f>
        <v>1999-05-25</v>
      </c>
      <c r="G209" s="7" t="str">
        <f t="shared" si="53"/>
        <v>本科</v>
      </c>
      <c r="H209" s="7" t="str">
        <f t="shared" si="54"/>
        <v>学士</v>
      </c>
    </row>
    <row r="210" spans="1:8" ht="34.5" customHeight="1">
      <c r="A210" s="6">
        <v>208</v>
      </c>
      <c r="B210" s="7" t="str">
        <f>"261020200913143928338"</f>
        <v>261020200913143928338</v>
      </c>
      <c r="C210" s="7" t="s">
        <v>11</v>
      </c>
      <c r="D210" s="7" t="str">
        <f>"翁焕春"</f>
        <v>翁焕春</v>
      </c>
      <c r="E210" s="7" t="str">
        <f t="shared" si="58"/>
        <v>女</v>
      </c>
      <c r="F210" s="7" t="str">
        <f>"1997-06-05"</f>
        <v>1997-06-05</v>
      </c>
      <c r="G210" s="7" t="str">
        <f t="shared" si="53"/>
        <v>本科</v>
      </c>
      <c r="H210" s="7" t="str">
        <f t="shared" si="54"/>
        <v>学士</v>
      </c>
    </row>
    <row r="211" spans="1:8" ht="34.5" customHeight="1">
      <c r="A211" s="6">
        <v>209</v>
      </c>
      <c r="B211" s="7" t="str">
        <f>"261020200913153145340"</f>
        <v>261020200913153145340</v>
      </c>
      <c r="C211" s="7" t="s">
        <v>11</v>
      </c>
      <c r="D211" s="7" t="str">
        <f>"端木维志"</f>
        <v>端木维志</v>
      </c>
      <c r="E211" s="7" t="str">
        <f t="shared" si="57"/>
        <v>男</v>
      </c>
      <c r="F211" s="7" t="str">
        <f>"1996-08-18"</f>
        <v>1996-08-18</v>
      </c>
      <c r="G211" s="7" t="str">
        <f t="shared" si="53"/>
        <v>本科</v>
      </c>
      <c r="H211" s="7" t="str">
        <f t="shared" si="54"/>
        <v>学士</v>
      </c>
    </row>
    <row r="212" spans="1:8" ht="34.5" customHeight="1">
      <c r="A212" s="6">
        <v>210</v>
      </c>
      <c r="B212" s="7" t="str">
        <f>"261020200913170101347"</f>
        <v>261020200913170101347</v>
      </c>
      <c r="C212" s="7" t="s">
        <v>11</v>
      </c>
      <c r="D212" s="7" t="str">
        <f>"王准"</f>
        <v>王准</v>
      </c>
      <c r="E212" s="7" t="str">
        <f t="shared" si="57"/>
        <v>男</v>
      </c>
      <c r="F212" s="7" t="str">
        <f>"1996-03-31"</f>
        <v>1996-03-31</v>
      </c>
      <c r="G212" s="7" t="str">
        <f t="shared" si="53"/>
        <v>本科</v>
      </c>
      <c r="H212" s="7" t="str">
        <f t="shared" si="54"/>
        <v>学士</v>
      </c>
    </row>
    <row r="213" spans="1:8" ht="34.5" customHeight="1">
      <c r="A213" s="6">
        <v>211</v>
      </c>
      <c r="B213" s="7" t="str">
        <f>"261020200913171719349"</f>
        <v>261020200913171719349</v>
      </c>
      <c r="C213" s="7" t="s">
        <v>11</v>
      </c>
      <c r="D213" s="7" t="str">
        <f>"王子弘"</f>
        <v>王子弘</v>
      </c>
      <c r="E213" s="7" t="str">
        <f t="shared" si="57"/>
        <v>男</v>
      </c>
      <c r="F213" s="7" t="str">
        <f>"1997-09-20"</f>
        <v>1997-09-20</v>
      </c>
      <c r="G213" s="7" t="str">
        <f t="shared" si="53"/>
        <v>本科</v>
      </c>
      <c r="H213" s="7" t="str">
        <f t="shared" si="54"/>
        <v>学士</v>
      </c>
    </row>
    <row r="214" spans="1:8" ht="34.5" customHeight="1">
      <c r="A214" s="6">
        <v>212</v>
      </c>
      <c r="B214" s="7" t="str">
        <f>"261020200913172235350"</f>
        <v>261020200913172235350</v>
      </c>
      <c r="C214" s="7" t="s">
        <v>11</v>
      </c>
      <c r="D214" s="7" t="str">
        <f>"林琳琅"</f>
        <v>林琳琅</v>
      </c>
      <c r="E214" s="7" t="str">
        <f aca="true" t="shared" si="59" ref="E214:E218">"女"</f>
        <v>女</v>
      </c>
      <c r="F214" s="7" t="str">
        <f>"1997-06-15"</f>
        <v>1997-06-15</v>
      </c>
      <c r="G214" s="7" t="str">
        <f t="shared" si="53"/>
        <v>本科</v>
      </c>
      <c r="H214" s="7" t="str">
        <f t="shared" si="54"/>
        <v>学士</v>
      </c>
    </row>
    <row r="215" spans="1:8" ht="34.5" customHeight="1">
      <c r="A215" s="6">
        <v>213</v>
      </c>
      <c r="B215" s="7" t="str">
        <f>"261020200913173916352"</f>
        <v>261020200913173916352</v>
      </c>
      <c r="C215" s="7" t="s">
        <v>11</v>
      </c>
      <c r="D215" s="7" t="str">
        <f>"李小荟"</f>
        <v>李小荟</v>
      </c>
      <c r="E215" s="7" t="str">
        <f t="shared" si="59"/>
        <v>女</v>
      </c>
      <c r="F215" s="7" t="str">
        <f>"1997-12-24"</f>
        <v>1997-12-24</v>
      </c>
      <c r="G215" s="7" t="str">
        <f t="shared" si="53"/>
        <v>本科</v>
      </c>
      <c r="H215" s="7" t="str">
        <f t="shared" si="54"/>
        <v>学士</v>
      </c>
    </row>
    <row r="216" spans="1:8" ht="34.5" customHeight="1">
      <c r="A216" s="6">
        <v>214</v>
      </c>
      <c r="B216" s="7" t="str">
        <f>"261020200913175356354"</f>
        <v>261020200913175356354</v>
      </c>
      <c r="C216" s="7" t="s">
        <v>11</v>
      </c>
      <c r="D216" s="7" t="str">
        <f>"杜尚汝"</f>
        <v>杜尚汝</v>
      </c>
      <c r="E216" s="7" t="str">
        <f t="shared" si="59"/>
        <v>女</v>
      </c>
      <c r="F216" s="7" t="str">
        <f>"1997-04-10"</f>
        <v>1997-04-10</v>
      </c>
      <c r="G216" s="7" t="str">
        <f t="shared" si="53"/>
        <v>本科</v>
      </c>
      <c r="H216" s="7" t="str">
        <f t="shared" si="54"/>
        <v>学士</v>
      </c>
    </row>
    <row r="217" spans="1:8" ht="34.5" customHeight="1">
      <c r="A217" s="6">
        <v>215</v>
      </c>
      <c r="B217" s="7" t="str">
        <f>"261020200913201239357"</f>
        <v>261020200913201239357</v>
      </c>
      <c r="C217" s="7" t="s">
        <v>11</v>
      </c>
      <c r="D217" s="7" t="str">
        <f>"付泽倩"</f>
        <v>付泽倩</v>
      </c>
      <c r="E217" s="7" t="str">
        <f t="shared" si="59"/>
        <v>女</v>
      </c>
      <c r="F217" s="7" t="str">
        <f>"1995-08-21"</f>
        <v>1995-08-21</v>
      </c>
      <c r="G217" s="7" t="str">
        <f t="shared" si="53"/>
        <v>本科</v>
      </c>
      <c r="H217" s="7" t="str">
        <f t="shared" si="54"/>
        <v>学士</v>
      </c>
    </row>
    <row r="218" spans="1:8" ht="34.5" customHeight="1">
      <c r="A218" s="6">
        <v>216</v>
      </c>
      <c r="B218" s="7" t="str">
        <f>"261020200913204217360"</f>
        <v>261020200913204217360</v>
      </c>
      <c r="C218" s="7" t="s">
        <v>11</v>
      </c>
      <c r="D218" s="7" t="str">
        <f>"陈贤池"</f>
        <v>陈贤池</v>
      </c>
      <c r="E218" s="7" t="str">
        <f t="shared" si="59"/>
        <v>女</v>
      </c>
      <c r="F218" s="7" t="str">
        <f>"1997-02-07"</f>
        <v>1997-02-07</v>
      </c>
      <c r="G218" s="7" t="str">
        <f t="shared" si="53"/>
        <v>本科</v>
      </c>
      <c r="H218" s="7" t="str">
        <f t="shared" si="54"/>
        <v>学士</v>
      </c>
    </row>
    <row r="219" spans="1:8" ht="34.5" customHeight="1">
      <c r="A219" s="6">
        <v>217</v>
      </c>
      <c r="B219" s="7" t="str">
        <f>"261020200913204436361"</f>
        <v>261020200913204436361</v>
      </c>
      <c r="C219" s="7" t="s">
        <v>11</v>
      </c>
      <c r="D219" s="7" t="str">
        <f>"杨云清"</f>
        <v>杨云清</v>
      </c>
      <c r="E219" s="7" t="str">
        <f aca="true" t="shared" si="60" ref="E219:E224">"男"</f>
        <v>男</v>
      </c>
      <c r="F219" s="7" t="str">
        <f>"1997-01-24"</f>
        <v>1997-01-24</v>
      </c>
      <c r="G219" s="7" t="str">
        <f t="shared" si="53"/>
        <v>本科</v>
      </c>
      <c r="H219" s="7" t="str">
        <f t="shared" si="54"/>
        <v>学士</v>
      </c>
    </row>
    <row r="220" spans="1:8" ht="34.5" customHeight="1">
      <c r="A220" s="6">
        <v>218</v>
      </c>
      <c r="B220" s="7" t="str">
        <f>"261020200914000918371"</f>
        <v>261020200914000918371</v>
      </c>
      <c r="C220" s="7" t="s">
        <v>11</v>
      </c>
      <c r="D220" s="7" t="str">
        <f>"胡娇丹"</f>
        <v>胡娇丹</v>
      </c>
      <c r="E220" s="7" t="str">
        <f aca="true" t="shared" si="61" ref="E220:E223">"女"</f>
        <v>女</v>
      </c>
      <c r="F220" s="7" t="str">
        <f>"1997-10-15"</f>
        <v>1997-10-15</v>
      </c>
      <c r="G220" s="7" t="str">
        <f t="shared" si="53"/>
        <v>本科</v>
      </c>
      <c r="H220" s="7" t="str">
        <f t="shared" si="54"/>
        <v>学士</v>
      </c>
    </row>
    <row r="221" spans="1:8" ht="34.5" customHeight="1">
      <c r="A221" s="6">
        <v>219</v>
      </c>
      <c r="B221" s="7" t="str">
        <f>"261020200914011350374"</f>
        <v>261020200914011350374</v>
      </c>
      <c r="C221" s="7" t="s">
        <v>11</v>
      </c>
      <c r="D221" s="7" t="str">
        <f>"罗张培"</f>
        <v>罗张培</v>
      </c>
      <c r="E221" s="7" t="str">
        <f t="shared" si="60"/>
        <v>男</v>
      </c>
      <c r="F221" s="7" t="str">
        <f>"1998-12-06"</f>
        <v>1998-12-06</v>
      </c>
      <c r="G221" s="7" t="str">
        <f t="shared" si="53"/>
        <v>本科</v>
      </c>
      <c r="H221" s="7" t="str">
        <f t="shared" si="54"/>
        <v>学士</v>
      </c>
    </row>
    <row r="222" spans="1:8" ht="34.5" customHeight="1">
      <c r="A222" s="6">
        <v>220</v>
      </c>
      <c r="B222" s="7" t="str">
        <f>"261020200914081342377"</f>
        <v>261020200914081342377</v>
      </c>
      <c r="C222" s="7" t="s">
        <v>11</v>
      </c>
      <c r="D222" s="7" t="str">
        <f>"符策彤"</f>
        <v>符策彤</v>
      </c>
      <c r="E222" s="7" t="str">
        <f t="shared" si="61"/>
        <v>女</v>
      </c>
      <c r="F222" s="7" t="str">
        <f>"1996-02-24"</f>
        <v>1996-02-24</v>
      </c>
      <c r="G222" s="7" t="str">
        <f t="shared" si="53"/>
        <v>本科</v>
      </c>
      <c r="H222" s="7" t="str">
        <f t="shared" si="54"/>
        <v>学士</v>
      </c>
    </row>
    <row r="223" spans="1:8" ht="34.5" customHeight="1">
      <c r="A223" s="6">
        <v>221</v>
      </c>
      <c r="B223" s="7" t="str">
        <f>"261020200914094146387"</f>
        <v>261020200914094146387</v>
      </c>
      <c r="C223" s="7" t="s">
        <v>11</v>
      </c>
      <c r="D223" s="7" t="str">
        <f>"吉俐憬"</f>
        <v>吉俐憬</v>
      </c>
      <c r="E223" s="7" t="str">
        <f t="shared" si="61"/>
        <v>女</v>
      </c>
      <c r="F223" s="7" t="str">
        <f>"1998-10-18"</f>
        <v>1998-10-18</v>
      </c>
      <c r="G223" s="7" t="str">
        <f t="shared" si="53"/>
        <v>本科</v>
      </c>
      <c r="H223" s="7" t="str">
        <f t="shared" si="54"/>
        <v>学士</v>
      </c>
    </row>
    <row r="224" spans="1:8" ht="34.5" customHeight="1">
      <c r="A224" s="6">
        <v>222</v>
      </c>
      <c r="B224" s="7" t="str">
        <f>"261020200914100158388"</f>
        <v>261020200914100158388</v>
      </c>
      <c r="C224" s="7" t="s">
        <v>11</v>
      </c>
      <c r="D224" s="7" t="str">
        <f>"吴有亮"</f>
        <v>吴有亮</v>
      </c>
      <c r="E224" s="7" t="str">
        <f t="shared" si="60"/>
        <v>男</v>
      </c>
      <c r="F224" s="7" t="str">
        <f>"1999-11-05"</f>
        <v>1999-11-05</v>
      </c>
      <c r="G224" s="7" t="str">
        <f t="shared" si="53"/>
        <v>本科</v>
      </c>
      <c r="H224" s="7" t="str">
        <f t="shared" si="54"/>
        <v>学士</v>
      </c>
    </row>
    <row r="225" spans="1:8" ht="34.5" customHeight="1">
      <c r="A225" s="6">
        <v>223</v>
      </c>
      <c r="B225" s="7" t="str">
        <f>"261020200914103101391"</f>
        <v>261020200914103101391</v>
      </c>
      <c r="C225" s="7" t="s">
        <v>11</v>
      </c>
      <c r="D225" s="7" t="str">
        <f>"范宇婷"</f>
        <v>范宇婷</v>
      </c>
      <c r="E225" s="7" t="str">
        <f aca="true" t="shared" si="62" ref="E225:E229">"女"</f>
        <v>女</v>
      </c>
      <c r="F225" s="7" t="str">
        <f>"1996-12-20"</f>
        <v>1996-12-20</v>
      </c>
      <c r="G225" s="7" t="str">
        <f t="shared" si="53"/>
        <v>本科</v>
      </c>
      <c r="H225" s="7" t="str">
        <f aca="true" t="shared" si="63" ref="H225:H232">"学士"</f>
        <v>学士</v>
      </c>
    </row>
    <row r="226" spans="1:8" ht="34.5" customHeight="1">
      <c r="A226" s="6">
        <v>224</v>
      </c>
      <c r="B226" s="7" t="str">
        <f>"261020200914104710394"</f>
        <v>261020200914104710394</v>
      </c>
      <c r="C226" s="7" t="s">
        <v>11</v>
      </c>
      <c r="D226" s="7" t="str">
        <f>"吴慧莲"</f>
        <v>吴慧莲</v>
      </c>
      <c r="E226" s="7" t="str">
        <f t="shared" si="62"/>
        <v>女</v>
      </c>
      <c r="F226" s="7" t="str">
        <f>"1996-05-02"</f>
        <v>1996-05-02</v>
      </c>
      <c r="G226" s="7" t="str">
        <f t="shared" si="53"/>
        <v>本科</v>
      </c>
      <c r="H226" s="7" t="str">
        <f t="shared" si="63"/>
        <v>学士</v>
      </c>
    </row>
    <row r="227" spans="1:8" ht="34.5" customHeight="1">
      <c r="A227" s="6">
        <v>225</v>
      </c>
      <c r="B227" s="7" t="str">
        <f>"261020200914114306400"</f>
        <v>261020200914114306400</v>
      </c>
      <c r="C227" s="7" t="s">
        <v>11</v>
      </c>
      <c r="D227" s="7" t="str">
        <f>"梁温雨"</f>
        <v>梁温雨</v>
      </c>
      <c r="E227" s="7" t="str">
        <f t="shared" si="62"/>
        <v>女</v>
      </c>
      <c r="F227" s="7" t="str">
        <f>"1998-05-15"</f>
        <v>1998-05-15</v>
      </c>
      <c r="G227" s="7" t="str">
        <f t="shared" si="53"/>
        <v>本科</v>
      </c>
      <c r="H227" s="7" t="str">
        <f t="shared" si="63"/>
        <v>学士</v>
      </c>
    </row>
    <row r="228" spans="1:8" ht="34.5" customHeight="1">
      <c r="A228" s="6">
        <v>226</v>
      </c>
      <c r="B228" s="7" t="str">
        <f>"261020200914133810407"</f>
        <v>261020200914133810407</v>
      </c>
      <c r="C228" s="7" t="s">
        <v>11</v>
      </c>
      <c r="D228" s="7" t="str">
        <f>"何柳盈"</f>
        <v>何柳盈</v>
      </c>
      <c r="E228" s="7" t="str">
        <f t="shared" si="62"/>
        <v>女</v>
      </c>
      <c r="F228" s="7" t="str">
        <f>"1998-01-11"</f>
        <v>1998-01-11</v>
      </c>
      <c r="G228" s="7" t="str">
        <f t="shared" si="53"/>
        <v>本科</v>
      </c>
      <c r="H228" s="7" t="str">
        <f t="shared" si="63"/>
        <v>学士</v>
      </c>
    </row>
    <row r="229" spans="1:8" ht="34.5" customHeight="1">
      <c r="A229" s="6">
        <v>227</v>
      </c>
      <c r="B229" s="7" t="str">
        <f>"261020200914135851410"</f>
        <v>261020200914135851410</v>
      </c>
      <c r="C229" s="7" t="s">
        <v>11</v>
      </c>
      <c r="D229" s="7" t="str">
        <f>"符金燕"</f>
        <v>符金燕</v>
      </c>
      <c r="E229" s="7" t="str">
        <f t="shared" si="62"/>
        <v>女</v>
      </c>
      <c r="F229" s="7" t="str">
        <f>"1996-08-15"</f>
        <v>1996-08-15</v>
      </c>
      <c r="G229" s="7" t="str">
        <f t="shared" si="53"/>
        <v>本科</v>
      </c>
      <c r="H229" s="7" t="str">
        <f t="shared" si="63"/>
        <v>学士</v>
      </c>
    </row>
    <row r="230" spans="1:8" ht="34.5" customHeight="1">
      <c r="A230" s="6">
        <v>228</v>
      </c>
      <c r="B230" s="7" t="str">
        <f>"261020200914140652412"</f>
        <v>261020200914140652412</v>
      </c>
      <c r="C230" s="7" t="s">
        <v>11</v>
      </c>
      <c r="D230" s="7" t="str">
        <f>"陈开胜"</f>
        <v>陈开胜</v>
      </c>
      <c r="E230" s="7" t="str">
        <f>"男"</f>
        <v>男</v>
      </c>
      <c r="F230" s="7" t="str">
        <f>"1997-03-02"</f>
        <v>1997-03-02</v>
      </c>
      <c r="G230" s="7" t="str">
        <f t="shared" si="53"/>
        <v>本科</v>
      </c>
      <c r="H230" s="7" t="str">
        <f t="shared" si="63"/>
        <v>学士</v>
      </c>
    </row>
    <row r="231" spans="1:8" ht="34.5" customHeight="1">
      <c r="A231" s="6">
        <v>229</v>
      </c>
      <c r="B231" s="7" t="str">
        <f>"261020200914143047413"</f>
        <v>261020200914143047413</v>
      </c>
      <c r="C231" s="7" t="s">
        <v>11</v>
      </c>
      <c r="D231" s="7" t="str">
        <f>"王妹"</f>
        <v>王妹</v>
      </c>
      <c r="E231" s="7" t="str">
        <f aca="true" t="shared" si="64" ref="E231:E233">"女"</f>
        <v>女</v>
      </c>
      <c r="F231" s="7" t="str">
        <f>"1997-09-12"</f>
        <v>1997-09-12</v>
      </c>
      <c r="G231" s="7" t="str">
        <f t="shared" si="53"/>
        <v>本科</v>
      </c>
      <c r="H231" s="7" t="str">
        <f t="shared" si="63"/>
        <v>学士</v>
      </c>
    </row>
    <row r="232" spans="1:8" ht="34.5" customHeight="1">
      <c r="A232" s="6">
        <v>230</v>
      </c>
      <c r="B232" s="7" t="str">
        <f>"261020200914143409415"</f>
        <v>261020200914143409415</v>
      </c>
      <c r="C232" s="7" t="s">
        <v>11</v>
      </c>
      <c r="D232" s="7" t="str">
        <f>"王瑞桢"</f>
        <v>王瑞桢</v>
      </c>
      <c r="E232" s="7" t="str">
        <f t="shared" si="64"/>
        <v>女</v>
      </c>
      <c r="F232" s="7" t="str">
        <f>"1998-10-06"</f>
        <v>1998-10-06</v>
      </c>
      <c r="G232" s="7" t="str">
        <f t="shared" si="53"/>
        <v>本科</v>
      </c>
      <c r="H232" s="7" t="str">
        <f t="shared" si="63"/>
        <v>学士</v>
      </c>
    </row>
    <row r="233" spans="1:8" ht="34.5" customHeight="1">
      <c r="A233" s="6">
        <v>231</v>
      </c>
      <c r="B233" s="7" t="str">
        <f>"261020200914144118416"</f>
        <v>261020200914144118416</v>
      </c>
      <c r="C233" s="7" t="s">
        <v>11</v>
      </c>
      <c r="D233" s="7" t="str">
        <f>"符夏爽"</f>
        <v>符夏爽</v>
      </c>
      <c r="E233" s="7" t="str">
        <f t="shared" si="64"/>
        <v>女</v>
      </c>
      <c r="F233" s="7" t="str">
        <f>"1997-05-05"</f>
        <v>1997-05-05</v>
      </c>
      <c r="G233" s="7" t="str">
        <f>"研究生"</f>
        <v>研究生</v>
      </c>
      <c r="H233" s="7" t="str">
        <f>"硕士"</f>
        <v>硕士</v>
      </c>
    </row>
    <row r="234" spans="1:8" ht="34.5" customHeight="1">
      <c r="A234" s="6">
        <v>232</v>
      </c>
      <c r="B234" s="7" t="str">
        <f>"261020200914150233417"</f>
        <v>261020200914150233417</v>
      </c>
      <c r="C234" s="7" t="s">
        <v>11</v>
      </c>
      <c r="D234" s="7" t="str">
        <f>"陈福榕"</f>
        <v>陈福榕</v>
      </c>
      <c r="E234" s="7" t="str">
        <f>"男"</f>
        <v>男</v>
      </c>
      <c r="F234" s="7" t="str">
        <f>"1996-08-01"</f>
        <v>1996-08-01</v>
      </c>
      <c r="G234" s="7" t="str">
        <f aca="true" t="shared" si="65" ref="G234:G289">"本科"</f>
        <v>本科</v>
      </c>
      <c r="H234" s="7" t="str">
        <f aca="true" t="shared" si="66" ref="H234:H243">"学士"</f>
        <v>学士</v>
      </c>
    </row>
    <row r="235" spans="1:8" ht="34.5" customHeight="1">
      <c r="A235" s="6">
        <v>233</v>
      </c>
      <c r="B235" s="7" t="str">
        <f>"261020200914152211418"</f>
        <v>261020200914152211418</v>
      </c>
      <c r="C235" s="7" t="s">
        <v>11</v>
      </c>
      <c r="D235" s="7" t="str">
        <f>"吴小叶"</f>
        <v>吴小叶</v>
      </c>
      <c r="E235" s="7" t="str">
        <f aca="true" t="shared" si="67" ref="E235:E240">"女"</f>
        <v>女</v>
      </c>
      <c r="F235" s="7" t="str">
        <f>"1995-11-07"</f>
        <v>1995-11-07</v>
      </c>
      <c r="G235" s="7" t="str">
        <f t="shared" si="65"/>
        <v>本科</v>
      </c>
      <c r="H235" s="7" t="str">
        <f t="shared" si="66"/>
        <v>学士</v>
      </c>
    </row>
    <row r="236" spans="1:8" ht="34.5" customHeight="1">
      <c r="A236" s="6">
        <v>234</v>
      </c>
      <c r="B236" s="7" t="str">
        <f>"261020200914162110427"</f>
        <v>261020200914162110427</v>
      </c>
      <c r="C236" s="7" t="s">
        <v>11</v>
      </c>
      <c r="D236" s="7" t="str">
        <f>"王苒"</f>
        <v>王苒</v>
      </c>
      <c r="E236" s="7" t="str">
        <f t="shared" si="67"/>
        <v>女</v>
      </c>
      <c r="F236" s="7" t="str">
        <f>"1996-08-14"</f>
        <v>1996-08-14</v>
      </c>
      <c r="G236" s="7" t="str">
        <f t="shared" si="65"/>
        <v>本科</v>
      </c>
      <c r="H236" s="7" t="str">
        <f t="shared" si="66"/>
        <v>学士</v>
      </c>
    </row>
    <row r="237" spans="1:8" ht="34.5" customHeight="1">
      <c r="A237" s="6">
        <v>235</v>
      </c>
      <c r="B237" s="7" t="str">
        <f>"261020200914162203428"</f>
        <v>261020200914162203428</v>
      </c>
      <c r="C237" s="7" t="s">
        <v>11</v>
      </c>
      <c r="D237" s="7" t="str">
        <f>"吴霄群"</f>
        <v>吴霄群</v>
      </c>
      <c r="E237" s="7" t="str">
        <f t="shared" si="67"/>
        <v>女</v>
      </c>
      <c r="F237" s="7" t="str">
        <f>"1995-08-25"</f>
        <v>1995-08-25</v>
      </c>
      <c r="G237" s="7" t="str">
        <f t="shared" si="65"/>
        <v>本科</v>
      </c>
      <c r="H237" s="7" t="str">
        <f t="shared" si="66"/>
        <v>学士</v>
      </c>
    </row>
    <row r="238" spans="1:8" ht="34.5" customHeight="1">
      <c r="A238" s="6">
        <v>236</v>
      </c>
      <c r="B238" s="7" t="str">
        <f>"261020200914172010436"</f>
        <v>261020200914172010436</v>
      </c>
      <c r="C238" s="7" t="s">
        <v>11</v>
      </c>
      <c r="D238" s="7" t="str">
        <f>"何思颖"</f>
        <v>何思颖</v>
      </c>
      <c r="E238" s="7" t="str">
        <f t="shared" si="67"/>
        <v>女</v>
      </c>
      <c r="F238" s="7" t="str">
        <f>"1997-01-24"</f>
        <v>1997-01-24</v>
      </c>
      <c r="G238" s="7" t="str">
        <f t="shared" si="65"/>
        <v>本科</v>
      </c>
      <c r="H238" s="7" t="str">
        <f t="shared" si="66"/>
        <v>学士</v>
      </c>
    </row>
    <row r="239" spans="1:8" ht="34.5" customHeight="1">
      <c r="A239" s="6">
        <v>237</v>
      </c>
      <c r="B239" s="7" t="str">
        <f>"261020200914172544437"</f>
        <v>261020200914172544437</v>
      </c>
      <c r="C239" s="7" t="s">
        <v>11</v>
      </c>
      <c r="D239" s="7" t="str">
        <f>"潘美林"</f>
        <v>潘美林</v>
      </c>
      <c r="E239" s="7" t="str">
        <f t="shared" si="67"/>
        <v>女</v>
      </c>
      <c r="F239" s="7" t="str">
        <f>"1997-01-31"</f>
        <v>1997-01-31</v>
      </c>
      <c r="G239" s="7" t="str">
        <f t="shared" si="65"/>
        <v>本科</v>
      </c>
      <c r="H239" s="7" t="str">
        <f t="shared" si="66"/>
        <v>学士</v>
      </c>
    </row>
    <row r="240" spans="1:8" ht="34.5" customHeight="1">
      <c r="A240" s="6">
        <v>238</v>
      </c>
      <c r="B240" s="7" t="str">
        <f>"261020200914173514438"</f>
        <v>261020200914173514438</v>
      </c>
      <c r="C240" s="7" t="s">
        <v>11</v>
      </c>
      <c r="D240" s="7" t="str">
        <f>"吴晓慧"</f>
        <v>吴晓慧</v>
      </c>
      <c r="E240" s="7" t="str">
        <f t="shared" si="67"/>
        <v>女</v>
      </c>
      <c r="F240" s="7" t="str">
        <f>"1998-06-23"</f>
        <v>1998-06-23</v>
      </c>
      <c r="G240" s="7" t="str">
        <f t="shared" si="65"/>
        <v>本科</v>
      </c>
      <c r="H240" s="7" t="str">
        <f t="shared" si="66"/>
        <v>学士</v>
      </c>
    </row>
    <row r="241" spans="1:8" ht="34.5" customHeight="1">
      <c r="A241" s="6">
        <v>239</v>
      </c>
      <c r="B241" s="7" t="str">
        <f>"261020200914174358441"</f>
        <v>261020200914174358441</v>
      </c>
      <c r="C241" s="7" t="s">
        <v>11</v>
      </c>
      <c r="D241" s="7" t="str">
        <f>"杜定囿"</f>
        <v>杜定囿</v>
      </c>
      <c r="E241" s="7" t="str">
        <f aca="true" t="shared" si="68" ref="E241:E245">"男"</f>
        <v>男</v>
      </c>
      <c r="F241" s="7" t="str">
        <f>"1996-03-08"</f>
        <v>1996-03-08</v>
      </c>
      <c r="G241" s="7" t="str">
        <f t="shared" si="65"/>
        <v>本科</v>
      </c>
      <c r="H241" s="7" t="str">
        <f t="shared" si="66"/>
        <v>学士</v>
      </c>
    </row>
    <row r="242" spans="1:8" ht="34.5" customHeight="1">
      <c r="A242" s="6">
        <v>240</v>
      </c>
      <c r="B242" s="7" t="str">
        <f>"261020200914181111444"</f>
        <v>261020200914181111444</v>
      </c>
      <c r="C242" s="7" t="s">
        <v>11</v>
      </c>
      <c r="D242" s="7" t="str">
        <f>"庄雍钰"</f>
        <v>庄雍钰</v>
      </c>
      <c r="E242" s="7" t="str">
        <f aca="true" t="shared" si="69" ref="E242:E246">"女"</f>
        <v>女</v>
      </c>
      <c r="F242" s="7" t="str">
        <f>"1999-03-31"</f>
        <v>1999-03-31</v>
      </c>
      <c r="G242" s="7" t="str">
        <f t="shared" si="65"/>
        <v>本科</v>
      </c>
      <c r="H242" s="7" t="str">
        <f t="shared" si="66"/>
        <v>学士</v>
      </c>
    </row>
    <row r="243" spans="1:8" ht="34.5" customHeight="1">
      <c r="A243" s="6">
        <v>241</v>
      </c>
      <c r="B243" s="7" t="str">
        <f>"261020200914190506448"</f>
        <v>261020200914190506448</v>
      </c>
      <c r="C243" s="7" t="s">
        <v>11</v>
      </c>
      <c r="D243" s="7" t="str">
        <f>"李晓悦"</f>
        <v>李晓悦</v>
      </c>
      <c r="E243" s="7" t="str">
        <f t="shared" si="69"/>
        <v>女</v>
      </c>
      <c r="F243" s="7" t="str">
        <f>"1996-07-08"</f>
        <v>1996-07-08</v>
      </c>
      <c r="G243" s="7" t="str">
        <f t="shared" si="65"/>
        <v>本科</v>
      </c>
      <c r="H243" s="7" t="str">
        <f t="shared" si="66"/>
        <v>学士</v>
      </c>
    </row>
    <row r="244" spans="1:8" ht="34.5" customHeight="1">
      <c r="A244" s="6">
        <v>242</v>
      </c>
      <c r="B244" s="7" t="str">
        <f>"261020200914215336455"</f>
        <v>261020200914215336455</v>
      </c>
      <c r="C244" s="7" t="s">
        <v>11</v>
      </c>
      <c r="D244" s="7" t="str">
        <f>"吴静琪"</f>
        <v>吴静琪</v>
      </c>
      <c r="E244" s="7" t="str">
        <f t="shared" si="68"/>
        <v>男</v>
      </c>
      <c r="F244" s="7" t="str">
        <f>"1999-02-15"</f>
        <v>1999-02-15</v>
      </c>
      <c r="G244" s="7" t="str">
        <f t="shared" si="65"/>
        <v>本科</v>
      </c>
      <c r="H244" s="7" t="str">
        <f aca="true" t="shared" si="70" ref="H244:H251">"学士"</f>
        <v>学士</v>
      </c>
    </row>
    <row r="245" spans="1:8" ht="34.5" customHeight="1">
      <c r="A245" s="6">
        <v>243</v>
      </c>
      <c r="B245" s="7" t="str">
        <f>"261020200914221329457"</f>
        <v>261020200914221329457</v>
      </c>
      <c r="C245" s="7" t="s">
        <v>11</v>
      </c>
      <c r="D245" s="7" t="str">
        <f>"李怀杰"</f>
        <v>李怀杰</v>
      </c>
      <c r="E245" s="7" t="str">
        <f t="shared" si="68"/>
        <v>男</v>
      </c>
      <c r="F245" s="7" t="str">
        <f>"1998-07-22"</f>
        <v>1998-07-22</v>
      </c>
      <c r="G245" s="7" t="str">
        <f t="shared" si="65"/>
        <v>本科</v>
      </c>
      <c r="H245" s="7" t="str">
        <f t="shared" si="70"/>
        <v>学士</v>
      </c>
    </row>
    <row r="246" spans="1:8" ht="34.5" customHeight="1">
      <c r="A246" s="6">
        <v>244</v>
      </c>
      <c r="B246" s="7" t="str">
        <f>"261020200914234112460"</f>
        <v>261020200914234112460</v>
      </c>
      <c r="C246" s="7" t="s">
        <v>11</v>
      </c>
      <c r="D246" s="7" t="str">
        <f>"林颀颀"</f>
        <v>林颀颀</v>
      </c>
      <c r="E246" s="7" t="str">
        <f t="shared" si="69"/>
        <v>女</v>
      </c>
      <c r="F246" s="7" t="str">
        <f>"1998-01-15"</f>
        <v>1998-01-15</v>
      </c>
      <c r="G246" s="7" t="str">
        <f t="shared" si="65"/>
        <v>本科</v>
      </c>
      <c r="H246" s="7" t="str">
        <f t="shared" si="70"/>
        <v>学士</v>
      </c>
    </row>
    <row r="247" spans="1:8" ht="34.5" customHeight="1">
      <c r="A247" s="6">
        <v>245</v>
      </c>
      <c r="B247" s="7" t="str">
        <f>"261020200914235135462"</f>
        <v>261020200914235135462</v>
      </c>
      <c r="C247" s="7" t="s">
        <v>11</v>
      </c>
      <c r="D247" s="7" t="str">
        <f>"张胄"</f>
        <v>张胄</v>
      </c>
      <c r="E247" s="7" t="str">
        <f>"男"</f>
        <v>男</v>
      </c>
      <c r="F247" s="7" t="str">
        <f>"1997-04-21"</f>
        <v>1997-04-21</v>
      </c>
      <c r="G247" s="7" t="str">
        <f t="shared" si="65"/>
        <v>本科</v>
      </c>
      <c r="H247" s="7" t="str">
        <f t="shared" si="70"/>
        <v>学士</v>
      </c>
    </row>
    <row r="248" spans="1:8" ht="34.5" customHeight="1">
      <c r="A248" s="6">
        <v>246</v>
      </c>
      <c r="B248" s="7" t="str">
        <f>"261020200915072147463"</f>
        <v>261020200915072147463</v>
      </c>
      <c r="C248" s="7" t="s">
        <v>11</v>
      </c>
      <c r="D248" s="7" t="str">
        <f>"符树磊"</f>
        <v>符树磊</v>
      </c>
      <c r="E248" s="7" t="str">
        <f aca="true" t="shared" si="71" ref="E248:E258">"女"</f>
        <v>女</v>
      </c>
      <c r="F248" s="7" t="str">
        <f>"1998-12-11"</f>
        <v>1998-12-11</v>
      </c>
      <c r="G248" s="7" t="str">
        <f t="shared" si="65"/>
        <v>本科</v>
      </c>
      <c r="H248" s="7" t="str">
        <f t="shared" si="70"/>
        <v>学士</v>
      </c>
    </row>
    <row r="249" spans="1:8" ht="34.5" customHeight="1">
      <c r="A249" s="6">
        <v>247</v>
      </c>
      <c r="B249" s="7" t="str">
        <f>"261020200915110156468"</f>
        <v>261020200915110156468</v>
      </c>
      <c r="C249" s="7" t="s">
        <v>11</v>
      </c>
      <c r="D249" s="7" t="str">
        <f>"赖小茹"</f>
        <v>赖小茹</v>
      </c>
      <c r="E249" s="7" t="str">
        <f t="shared" si="71"/>
        <v>女</v>
      </c>
      <c r="F249" s="7" t="str">
        <f>"1997-09-30"</f>
        <v>1997-09-30</v>
      </c>
      <c r="G249" s="7" t="str">
        <f t="shared" si="65"/>
        <v>本科</v>
      </c>
      <c r="H249" s="7" t="str">
        <f t="shared" si="70"/>
        <v>学士</v>
      </c>
    </row>
    <row r="250" spans="1:8" ht="34.5" customHeight="1">
      <c r="A250" s="6">
        <v>248</v>
      </c>
      <c r="B250" s="7" t="str">
        <f>"261020200915112701471"</f>
        <v>261020200915112701471</v>
      </c>
      <c r="C250" s="7" t="s">
        <v>11</v>
      </c>
      <c r="D250" s="7" t="str">
        <f>"张宇熙"</f>
        <v>张宇熙</v>
      </c>
      <c r="E250" s="7" t="str">
        <f t="shared" si="71"/>
        <v>女</v>
      </c>
      <c r="F250" s="7" t="str">
        <f>"1998-05-13"</f>
        <v>1998-05-13</v>
      </c>
      <c r="G250" s="7" t="str">
        <f t="shared" si="65"/>
        <v>本科</v>
      </c>
      <c r="H250" s="7" t="str">
        <f t="shared" si="70"/>
        <v>学士</v>
      </c>
    </row>
    <row r="251" spans="1:8" ht="34.5" customHeight="1">
      <c r="A251" s="6">
        <v>249</v>
      </c>
      <c r="B251" s="7" t="str">
        <f>"261020200915132539475"</f>
        <v>261020200915132539475</v>
      </c>
      <c r="C251" s="7" t="s">
        <v>11</v>
      </c>
      <c r="D251" s="7" t="str">
        <f>"唐惠玲"</f>
        <v>唐惠玲</v>
      </c>
      <c r="E251" s="7" t="str">
        <f t="shared" si="71"/>
        <v>女</v>
      </c>
      <c r="F251" s="7" t="str">
        <f>"1997-08-01"</f>
        <v>1997-08-01</v>
      </c>
      <c r="G251" s="7" t="str">
        <f t="shared" si="65"/>
        <v>本科</v>
      </c>
      <c r="H251" s="7" t="str">
        <f t="shared" si="70"/>
        <v>学士</v>
      </c>
    </row>
    <row r="252" spans="1:8" ht="34.5" customHeight="1">
      <c r="A252" s="6">
        <v>250</v>
      </c>
      <c r="B252" s="7" t="str">
        <f>"261020200915135945477"</f>
        <v>261020200915135945477</v>
      </c>
      <c r="C252" s="7" t="s">
        <v>11</v>
      </c>
      <c r="D252" s="7" t="str">
        <f>"黎栖栖"</f>
        <v>黎栖栖</v>
      </c>
      <c r="E252" s="7" t="str">
        <f t="shared" si="71"/>
        <v>女</v>
      </c>
      <c r="F252" s="7" t="str">
        <f>"1997-09-05"</f>
        <v>1997-09-05</v>
      </c>
      <c r="G252" s="7" t="str">
        <f t="shared" si="65"/>
        <v>本科</v>
      </c>
      <c r="H252" s="7" t="str">
        <f aca="true" t="shared" si="72" ref="H252:H257">"学士"</f>
        <v>学士</v>
      </c>
    </row>
    <row r="253" spans="1:8" ht="34.5" customHeight="1">
      <c r="A253" s="6">
        <v>251</v>
      </c>
      <c r="B253" s="7" t="str">
        <f>"261020200915144520479"</f>
        <v>261020200915144520479</v>
      </c>
      <c r="C253" s="7" t="s">
        <v>11</v>
      </c>
      <c r="D253" s="7" t="str">
        <f>"郑秋琴"</f>
        <v>郑秋琴</v>
      </c>
      <c r="E253" s="7" t="str">
        <f t="shared" si="71"/>
        <v>女</v>
      </c>
      <c r="F253" s="7" t="str">
        <f>"1998-10-10"</f>
        <v>1998-10-10</v>
      </c>
      <c r="G253" s="7" t="str">
        <f t="shared" si="65"/>
        <v>本科</v>
      </c>
      <c r="H253" s="7" t="str">
        <f t="shared" si="72"/>
        <v>学士</v>
      </c>
    </row>
    <row r="254" spans="1:8" ht="34.5" customHeight="1">
      <c r="A254" s="6">
        <v>252</v>
      </c>
      <c r="B254" s="7" t="str">
        <f>"261020200915152935481"</f>
        <v>261020200915152935481</v>
      </c>
      <c r="C254" s="7" t="s">
        <v>11</v>
      </c>
      <c r="D254" s="7" t="str">
        <f>"钱志娇"</f>
        <v>钱志娇</v>
      </c>
      <c r="E254" s="7" t="str">
        <f t="shared" si="71"/>
        <v>女</v>
      </c>
      <c r="F254" s="7" t="str">
        <f>"1996-08-14"</f>
        <v>1996-08-14</v>
      </c>
      <c r="G254" s="7" t="str">
        <f t="shared" si="65"/>
        <v>本科</v>
      </c>
      <c r="H254" s="7" t="str">
        <f t="shared" si="72"/>
        <v>学士</v>
      </c>
    </row>
    <row r="255" spans="1:8" ht="34.5" customHeight="1">
      <c r="A255" s="6">
        <v>253</v>
      </c>
      <c r="B255" s="7" t="str">
        <f>"261020200915154606484"</f>
        <v>261020200915154606484</v>
      </c>
      <c r="C255" s="7" t="s">
        <v>11</v>
      </c>
      <c r="D255" s="7" t="str">
        <f>"王乙曼"</f>
        <v>王乙曼</v>
      </c>
      <c r="E255" s="7" t="str">
        <f t="shared" si="71"/>
        <v>女</v>
      </c>
      <c r="F255" s="7" t="str">
        <f>"1998-07-19"</f>
        <v>1998-07-19</v>
      </c>
      <c r="G255" s="7" t="str">
        <f t="shared" si="65"/>
        <v>本科</v>
      </c>
      <c r="H255" s="7" t="str">
        <f t="shared" si="72"/>
        <v>学士</v>
      </c>
    </row>
    <row r="256" spans="1:8" ht="34.5" customHeight="1">
      <c r="A256" s="6">
        <v>254</v>
      </c>
      <c r="B256" s="7" t="str">
        <f>"261020200915155521485"</f>
        <v>261020200915155521485</v>
      </c>
      <c r="C256" s="7" t="s">
        <v>11</v>
      </c>
      <c r="D256" s="7" t="str">
        <f>"蔡依依"</f>
        <v>蔡依依</v>
      </c>
      <c r="E256" s="7" t="str">
        <f t="shared" si="71"/>
        <v>女</v>
      </c>
      <c r="F256" s="7" t="str">
        <f>"1998-02-20"</f>
        <v>1998-02-20</v>
      </c>
      <c r="G256" s="7" t="str">
        <f t="shared" si="65"/>
        <v>本科</v>
      </c>
      <c r="H256" s="7" t="str">
        <f t="shared" si="72"/>
        <v>学士</v>
      </c>
    </row>
    <row r="257" spans="1:8" ht="34.5" customHeight="1">
      <c r="A257" s="6">
        <v>255</v>
      </c>
      <c r="B257" s="7" t="str">
        <f>"261020200915163126491"</f>
        <v>261020200915163126491</v>
      </c>
      <c r="C257" s="7" t="s">
        <v>11</v>
      </c>
      <c r="D257" s="7" t="str">
        <f>"蒋桂娇"</f>
        <v>蒋桂娇</v>
      </c>
      <c r="E257" s="7" t="str">
        <f t="shared" si="71"/>
        <v>女</v>
      </c>
      <c r="F257" s="7" t="str">
        <f>"1997-03-24"</f>
        <v>1997-03-24</v>
      </c>
      <c r="G257" s="7" t="str">
        <f t="shared" si="65"/>
        <v>本科</v>
      </c>
      <c r="H257" s="7" t="str">
        <f t="shared" si="72"/>
        <v>学士</v>
      </c>
    </row>
    <row r="258" spans="1:8" ht="34.5" customHeight="1">
      <c r="A258" s="6">
        <v>256</v>
      </c>
      <c r="B258" s="7" t="str">
        <f>"261020200915165630496"</f>
        <v>261020200915165630496</v>
      </c>
      <c r="C258" s="7" t="s">
        <v>11</v>
      </c>
      <c r="D258" s="7" t="str">
        <f>"梁宇"</f>
        <v>梁宇</v>
      </c>
      <c r="E258" s="7" t="str">
        <f t="shared" si="71"/>
        <v>女</v>
      </c>
      <c r="F258" s="7" t="str">
        <f>"1997-10-17"</f>
        <v>1997-10-17</v>
      </c>
      <c r="G258" s="7" t="str">
        <f t="shared" si="65"/>
        <v>本科</v>
      </c>
      <c r="H258" s="7" t="str">
        <f aca="true" t="shared" si="73" ref="H258:H265">"学士"</f>
        <v>学士</v>
      </c>
    </row>
    <row r="259" spans="1:8" ht="34.5" customHeight="1">
      <c r="A259" s="6">
        <v>257</v>
      </c>
      <c r="B259" s="7" t="str">
        <f>"261020200915170812499"</f>
        <v>261020200915170812499</v>
      </c>
      <c r="C259" s="7" t="s">
        <v>11</v>
      </c>
      <c r="D259" s="7" t="str">
        <f>"曾恺"</f>
        <v>曾恺</v>
      </c>
      <c r="E259" s="7" t="str">
        <f>"男"</f>
        <v>男</v>
      </c>
      <c r="F259" s="7" t="str">
        <f>"1998-02-01"</f>
        <v>1998-02-01</v>
      </c>
      <c r="G259" s="7" t="str">
        <f t="shared" si="65"/>
        <v>本科</v>
      </c>
      <c r="H259" s="7" t="str">
        <f t="shared" si="73"/>
        <v>学士</v>
      </c>
    </row>
    <row r="260" spans="1:8" ht="34.5" customHeight="1">
      <c r="A260" s="6">
        <v>258</v>
      </c>
      <c r="B260" s="7" t="str">
        <f>"261020200915175945510"</f>
        <v>261020200915175945510</v>
      </c>
      <c r="C260" s="7" t="s">
        <v>11</v>
      </c>
      <c r="D260" s="7" t="str">
        <f>"周文"</f>
        <v>周文</v>
      </c>
      <c r="E260" s="7" t="str">
        <f aca="true" t="shared" si="74" ref="E260:E262">"女"</f>
        <v>女</v>
      </c>
      <c r="F260" s="7" t="str">
        <f>"1997-05-08"</f>
        <v>1997-05-08</v>
      </c>
      <c r="G260" s="7" t="str">
        <f t="shared" si="65"/>
        <v>本科</v>
      </c>
      <c r="H260" s="7" t="str">
        <f t="shared" si="73"/>
        <v>学士</v>
      </c>
    </row>
    <row r="261" spans="1:8" ht="34.5" customHeight="1">
      <c r="A261" s="6">
        <v>259</v>
      </c>
      <c r="B261" s="7" t="str">
        <f>"261020200915191033519"</f>
        <v>261020200915191033519</v>
      </c>
      <c r="C261" s="7" t="s">
        <v>11</v>
      </c>
      <c r="D261" s="7" t="str">
        <f>"陈妮"</f>
        <v>陈妮</v>
      </c>
      <c r="E261" s="7" t="str">
        <f t="shared" si="74"/>
        <v>女</v>
      </c>
      <c r="F261" s="7" t="str">
        <f>"1997-04-20"</f>
        <v>1997-04-20</v>
      </c>
      <c r="G261" s="7" t="str">
        <f t="shared" si="65"/>
        <v>本科</v>
      </c>
      <c r="H261" s="7" t="str">
        <f t="shared" si="73"/>
        <v>学士</v>
      </c>
    </row>
    <row r="262" spans="1:8" ht="34.5" customHeight="1">
      <c r="A262" s="6">
        <v>260</v>
      </c>
      <c r="B262" s="7" t="str">
        <f>"261020200915192425522"</f>
        <v>261020200915192425522</v>
      </c>
      <c r="C262" s="7" t="s">
        <v>11</v>
      </c>
      <c r="D262" s="7" t="str">
        <f>"王冰"</f>
        <v>王冰</v>
      </c>
      <c r="E262" s="7" t="str">
        <f t="shared" si="74"/>
        <v>女</v>
      </c>
      <c r="F262" s="7" t="str">
        <f>"1997-03-23"</f>
        <v>1997-03-23</v>
      </c>
      <c r="G262" s="7" t="str">
        <f t="shared" si="65"/>
        <v>本科</v>
      </c>
      <c r="H262" s="7" t="str">
        <f t="shared" si="73"/>
        <v>学士</v>
      </c>
    </row>
    <row r="263" spans="1:8" ht="34.5" customHeight="1">
      <c r="A263" s="6">
        <v>261</v>
      </c>
      <c r="B263" s="7" t="str">
        <f>"261020200915193206523"</f>
        <v>261020200915193206523</v>
      </c>
      <c r="C263" s="7" t="s">
        <v>11</v>
      </c>
      <c r="D263" s="7" t="str">
        <f>"吴加总"</f>
        <v>吴加总</v>
      </c>
      <c r="E263" s="7" t="str">
        <f>"男"</f>
        <v>男</v>
      </c>
      <c r="F263" s="7" t="str">
        <f>"1998-09-18"</f>
        <v>1998-09-18</v>
      </c>
      <c r="G263" s="7" t="str">
        <f t="shared" si="65"/>
        <v>本科</v>
      </c>
      <c r="H263" s="7" t="str">
        <f t="shared" si="73"/>
        <v>学士</v>
      </c>
    </row>
    <row r="264" spans="1:8" ht="34.5" customHeight="1">
      <c r="A264" s="6">
        <v>262</v>
      </c>
      <c r="B264" s="7" t="str">
        <f>"261020200915195430524"</f>
        <v>261020200915195430524</v>
      </c>
      <c r="C264" s="7" t="s">
        <v>11</v>
      </c>
      <c r="D264" s="7" t="str">
        <f>"符海霞"</f>
        <v>符海霞</v>
      </c>
      <c r="E264" s="7" t="str">
        <f>"女"</f>
        <v>女</v>
      </c>
      <c r="F264" s="7" t="str">
        <f>"1998-08-10"</f>
        <v>1998-08-10</v>
      </c>
      <c r="G264" s="7" t="str">
        <f t="shared" si="65"/>
        <v>本科</v>
      </c>
      <c r="H264" s="7" t="str">
        <f t="shared" si="73"/>
        <v>学士</v>
      </c>
    </row>
    <row r="265" spans="1:8" ht="34.5" customHeight="1">
      <c r="A265" s="6">
        <v>263</v>
      </c>
      <c r="B265" s="7" t="str">
        <f>"261020200915200403525"</f>
        <v>261020200915200403525</v>
      </c>
      <c r="C265" s="7" t="s">
        <v>11</v>
      </c>
      <c r="D265" s="7" t="str">
        <f>"王松龄"</f>
        <v>王松龄</v>
      </c>
      <c r="E265" s="7" t="str">
        <f>"男"</f>
        <v>男</v>
      </c>
      <c r="F265" s="7" t="str">
        <f>"1998-05-22"</f>
        <v>1998-05-22</v>
      </c>
      <c r="G265" s="7" t="str">
        <f t="shared" si="65"/>
        <v>本科</v>
      </c>
      <c r="H265" s="7" t="str">
        <f t="shared" si="73"/>
        <v>学士</v>
      </c>
    </row>
    <row r="266" spans="1:8" ht="34.5" customHeight="1">
      <c r="A266" s="6">
        <v>264</v>
      </c>
      <c r="B266" s="7" t="str">
        <f>"261020200915204330528"</f>
        <v>261020200915204330528</v>
      </c>
      <c r="C266" s="7" t="s">
        <v>11</v>
      </c>
      <c r="D266" s="7" t="str">
        <f>"黎启晓"</f>
        <v>黎启晓</v>
      </c>
      <c r="E266" s="7" t="str">
        <f aca="true" t="shared" si="75" ref="E266:E276">"女"</f>
        <v>女</v>
      </c>
      <c r="F266" s="7" t="str">
        <f>"1998-07-20"</f>
        <v>1998-07-20</v>
      </c>
      <c r="G266" s="7" t="str">
        <f t="shared" si="65"/>
        <v>本科</v>
      </c>
      <c r="H266" s="7" t="str">
        <f aca="true" t="shared" si="76" ref="H266:H289">"学士"</f>
        <v>学士</v>
      </c>
    </row>
    <row r="267" spans="1:8" ht="34.5" customHeight="1">
      <c r="A267" s="6">
        <v>265</v>
      </c>
      <c r="B267" s="7" t="str">
        <f>"261020200915212046534"</f>
        <v>261020200915212046534</v>
      </c>
      <c r="C267" s="7" t="s">
        <v>11</v>
      </c>
      <c r="D267" s="7" t="str">
        <f>"黄泓瑞"</f>
        <v>黄泓瑞</v>
      </c>
      <c r="E267" s="7" t="str">
        <f t="shared" si="75"/>
        <v>女</v>
      </c>
      <c r="F267" s="7" t="str">
        <f>"1997-07-15"</f>
        <v>1997-07-15</v>
      </c>
      <c r="G267" s="7" t="str">
        <f t="shared" si="65"/>
        <v>本科</v>
      </c>
      <c r="H267" s="7" t="str">
        <f t="shared" si="76"/>
        <v>学士</v>
      </c>
    </row>
    <row r="268" spans="1:8" ht="34.5" customHeight="1">
      <c r="A268" s="6">
        <v>266</v>
      </c>
      <c r="B268" s="7" t="str">
        <f>"261020200915212525537"</f>
        <v>261020200915212525537</v>
      </c>
      <c r="C268" s="7" t="s">
        <v>11</v>
      </c>
      <c r="D268" s="7" t="str">
        <f>"侯海燕"</f>
        <v>侯海燕</v>
      </c>
      <c r="E268" s="7" t="str">
        <f t="shared" si="75"/>
        <v>女</v>
      </c>
      <c r="F268" s="7" t="str">
        <f>"1997-07-10"</f>
        <v>1997-07-10</v>
      </c>
      <c r="G268" s="7" t="str">
        <f t="shared" si="65"/>
        <v>本科</v>
      </c>
      <c r="H268" s="7" t="str">
        <f t="shared" si="76"/>
        <v>学士</v>
      </c>
    </row>
    <row r="269" spans="1:8" ht="34.5" customHeight="1">
      <c r="A269" s="6">
        <v>267</v>
      </c>
      <c r="B269" s="7" t="str">
        <f>"261020200915213403538"</f>
        <v>261020200915213403538</v>
      </c>
      <c r="C269" s="7" t="s">
        <v>11</v>
      </c>
      <c r="D269" s="7" t="str">
        <f>"罗明绿"</f>
        <v>罗明绿</v>
      </c>
      <c r="E269" s="7" t="str">
        <f t="shared" si="75"/>
        <v>女</v>
      </c>
      <c r="F269" s="7" t="str">
        <f>"1996-08-09"</f>
        <v>1996-08-09</v>
      </c>
      <c r="G269" s="7" t="str">
        <f t="shared" si="65"/>
        <v>本科</v>
      </c>
      <c r="H269" s="7" t="str">
        <f t="shared" si="76"/>
        <v>学士</v>
      </c>
    </row>
    <row r="270" spans="1:8" ht="34.5" customHeight="1">
      <c r="A270" s="6">
        <v>268</v>
      </c>
      <c r="B270" s="7" t="str">
        <f>"261020200915222816544"</f>
        <v>261020200915222816544</v>
      </c>
      <c r="C270" s="7" t="s">
        <v>11</v>
      </c>
      <c r="D270" s="7" t="str">
        <f>"陈秋桦"</f>
        <v>陈秋桦</v>
      </c>
      <c r="E270" s="7" t="str">
        <f t="shared" si="75"/>
        <v>女</v>
      </c>
      <c r="F270" s="7" t="str">
        <f>"1998-10-06"</f>
        <v>1998-10-06</v>
      </c>
      <c r="G270" s="7" t="str">
        <f t="shared" si="65"/>
        <v>本科</v>
      </c>
      <c r="H270" s="7" t="str">
        <f t="shared" si="76"/>
        <v>学士</v>
      </c>
    </row>
    <row r="271" spans="1:8" ht="34.5" customHeight="1">
      <c r="A271" s="6">
        <v>269</v>
      </c>
      <c r="B271" s="7" t="str">
        <f>"261020200915222956545"</f>
        <v>261020200915222956545</v>
      </c>
      <c r="C271" s="7" t="s">
        <v>11</v>
      </c>
      <c r="D271" s="7" t="str">
        <f>"符式妃"</f>
        <v>符式妃</v>
      </c>
      <c r="E271" s="7" t="str">
        <f t="shared" si="75"/>
        <v>女</v>
      </c>
      <c r="F271" s="7" t="str">
        <f>"1997-11-17"</f>
        <v>1997-11-17</v>
      </c>
      <c r="G271" s="7" t="str">
        <f t="shared" si="65"/>
        <v>本科</v>
      </c>
      <c r="H271" s="7" t="str">
        <f t="shared" si="76"/>
        <v>学士</v>
      </c>
    </row>
    <row r="272" spans="1:8" ht="34.5" customHeight="1">
      <c r="A272" s="6">
        <v>270</v>
      </c>
      <c r="B272" s="7" t="str">
        <f>"261020200915223107546"</f>
        <v>261020200915223107546</v>
      </c>
      <c r="C272" s="7" t="s">
        <v>11</v>
      </c>
      <c r="D272" s="7" t="str">
        <f>"周琳琳"</f>
        <v>周琳琳</v>
      </c>
      <c r="E272" s="7" t="str">
        <f t="shared" si="75"/>
        <v>女</v>
      </c>
      <c r="F272" s="7" t="str">
        <f>"1997-07-06"</f>
        <v>1997-07-06</v>
      </c>
      <c r="G272" s="7" t="str">
        <f t="shared" si="65"/>
        <v>本科</v>
      </c>
      <c r="H272" s="7" t="str">
        <f t="shared" si="76"/>
        <v>学士</v>
      </c>
    </row>
    <row r="273" spans="1:8" ht="34.5" customHeight="1">
      <c r="A273" s="6">
        <v>271</v>
      </c>
      <c r="B273" s="7" t="str">
        <f>"261020200915223846547"</f>
        <v>261020200915223846547</v>
      </c>
      <c r="C273" s="7" t="s">
        <v>11</v>
      </c>
      <c r="D273" s="7" t="str">
        <f>"朱玲"</f>
        <v>朱玲</v>
      </c>
      <c r="E273" s="7" t="str">
        <f t="shared" si="75"/>
        <v>女</v>
      </c>
      <c r="F273" s="7" t="str">
        <f>"1998-01-13"</f>
        <v>1998-01-13</v>
      </c>
      <c r="G273" s="7" t="str">
        <f t="shared" si="65"/>
        <v>本科</v>
      </c>
      <c r="H273" s="7" t="str">
        <f t="shared" si="76"/>
        <v>学士</v>
      </c>
    </row>
    <row r="274" spans="1:8" ht="34.5" customHeight="1">
      <c r="A274" s="6">
        <v>272</v>
      </c>
      <c r="B274" s="7" t="str">
        <f>"261020200915224532549"</f>
        <v>261020200915224532549</v>
      </c>
      <c r="C274" s="7" t="s">
        <v>11</v>
      </c>
      <c r="D274" s="7" t="str">
        <f>"许陈媚洁"</f>
        <v>许陈媚洁</v>
      </c>
      <c r="E274" s="7" t="str">
        <f t="shared" si="75"/>
        <v>女</v>
      </c>
      <c r="F274" s="7" t="str">
        <f>"1998-03-24"</f>
        <v>1998-03-24</v>
      </c>
      <c r="G274" s="7" t="str">
        <f t="shared" si="65"/>
        <v>本科</v>
      </c>
      <c r="H274" s="7" t="str">
        <f t="shared" si="76"/>
        <v>学士</v>
      </c>
    </row>
    <row r="275" spans="1:8" ht="34.5" customHeight="1">
      <c r="A275" s="6">
        <v>273</v>
      </c>
      <c r="B275" s="7" t="str">
        <f>"261020200915224609550"</f>
        <v>261020200915224609550</v>
      </c>
      <c r="C275" s="7" t="s">
        <v>11</v>
      </c>
      <c r="D275" s="7" t="str">
        <f>"王向盈"</f>
        <v>王向盈</v>
      </c>
      <c r="E275" s="7" t="str">
        <f t="shared" si="75"/>
        <v>女</v>
      </c>
      <c r="F275" s="7" t="str">
        <f>"1997-07-06"</f>
        <v>1997-07-06</v>
      </c>
      <c r="G275" s="7" t="str">
        <f t="shared" si="65"/>
        <v>本科</v>
      </c>
      <c r="H275" s="7" t="str">
        <f t="shared" si="76"/>
        <v>学士</v>
      </c>
    </row>
    <row r="276" spans="1:8" ht="34.5" customHeight="1">
      <c r="A276" s="6">
        <v>274</v>
      </c>
      <c r="B276" s="7" t="str">
        <f>"261020200915231011554"</f>
        <v>261020200915231011554</v>
      </c>
      <c r="C276" s="7" t="s">
        <v>11</v>
      </c>
      <c r="D276" s="7" t="str">
        <f>"何方苗"</f>
        <v>何方苗</v>
      </c>
      <c r="E276" s="7" t="str">
        <f t="shared" si="75"/>
        <v>女</v>
      </c>
      <c r="F276" s="7" t="str">
        <f>"1996-10-02"</f>
        <v>1996-10-02</v>
      </c>
      <c r="G276" s="7" t="str">
        <f t="shared" si="65"/>
        <v>本科</v>
      </c>
      <c r="H276" s="7" t="str">
        <f t="shared" si="76"/>
        <v>学士</v>
      </c>
    </row>
    <row r="277" spans="1:8" ht="34.5" customHeight="1">
      <c r="A277" s="6">
        <v>275</v>
      </c>
      <c r="B277" s="7" t="str">
        <f>"261020200915232918556"</f>
        <v>261020200915232918556</v>
      </c>
      <c r="C277" s="7" t="s">
        <v>11</v>
      </c>
      <c r="D277" s="7" t="str">
        <f>"周世栋"</f>
        <v>周世栋</v>
      </c>
      <c r="E277" s="7" t="str">
        <f aca="true" t="shared" si="77" ref="E277:E281">"男"</f>
        <v>男</v>
      </c>
      <c r="F277" s="7" t="str">
        <f>"1997-01-07"</f>
        <v>1997-01-07</v>
      </c>
      <c r="G277" s="7" t="str">
        <f t="shared" si="65"/>
        <v>本科</v>
      </c>
      <c r="H277" s="7" t="str">
        <f t="shared" si="76"/>
        <v>学士</v>
      </c>
    </row>
    <row r="278" spans="1:8" ht="34.5" customHeight="1">
      <c r="A278" s="6">
        <v>276</v>
      </c>
      <c r="B278" s="7" t="str">
        <f>"261020200916001628560"</f>
        <v>261020200916001628560</v>
      </c>
      <c r="C278" s="7" t="s">
        <v>11</v>
      </c>
      <c r="D278" s="7" t="str">
        <f>"姚彦羽"</f>
        <v>姚彦羽</v>
      </c>
      <c r="E278" s="7" t="str">
        <f>"女"</f>
        <v>女</v>
      </c>
      <c r="F278" s="7" t="str">
        <f>"1998-05-25"</f>
        <v>1998-05-25</v>
      </c>
      <c r="G278" s="7" t="str">
        <f t="shared" si="65"/>
        <v>本科</v>
      </c>
      <c r="H278" s="7" t="str">
        <f t="shared" si="76"/>
        <v>学士</v>
      </c>
    </row>
    <row r="279" spans="1:8" ht="34.5" customHeight="1">
      <c r="A279" s="6">
        <v>277</v>
      </c>
      <c r="B279" s="7" t="str">
        <f>"261020200916001712562"</f>
        <v>261020200916001712562</v>
      </c>
      <c r="C279" s="7" t="s">
        <v>11</v>
      </c>
      <c r="D279" s="7" t="str">
        <f>"黄一镝"</f>
        <v>黄一镝</v>
      </c>
      <c r="E279" s="7" t="str">
        <f>"女"</f>
        <v>女</v>
      </c>
      <c r="F279" s="7" t="str">
        <f>"1998-01-04"</f>
        <v>1998-01-04</v>
      </c>
      <c r="G279" s="7" t="str">
        <f t="shared" si="65"/>
        <v>本科</v>
      </c>
      <c r="H279" s="7" t="str">
        <f t="shared" si="76"/>
        <v>学士</v>
      </c>
    </row>
    <row r="280" spans="1:8" ht="34.5" customHeight="1">
      <c r="A280" s="6">
        <v>278</v>
      </c>
      <c r="B280" s="7" t="str">
        <f>"261020200916034305565"</f>
        <v>261020200916034305565</v>
      </c>
      <c r="C280" s="7" t="s">
        <v>11</v>
      </c>
      <c r="D280" s="7" t="str">
        <f>"赵元鹏"</f>
        <v>赵元鹏</v>
      </c>
      <c r="E280" s="7" t="str">
        <f t="shared" si="77"/>
        <v>男</v>
      </c>
      <c r="F280" s="7" t="str">
        <f>"1996-08-08"</f>
        <v>1996-08-08</v>
      </c>
      <c r="G280" s="7" t="str">
        <f t="shared" si="65"/>
        <v>本科</v>
      </c>
      <c r="H280" s="7" t="str">
        <f t="shared" si="76"/>
        <v>学士</v>
      </c>
    </row>
    <row r="281" spans="1:8" ht="34.5" customHeight="1">
      <c r="A281" s="6">
        <v>279</v>
      </c>
      <c r="B281" s="7" t="str">
        <f>"261020200916083439568"</f>
        <v>261020200916083439568</v>
      </c>
      <c r="C281" s="7" t="s">
        <v>11</v>
      </c>
      <c r="D281" s="7" t="str">
        <f>"孙史珂"</f>
        <v>孙史珂</v>
      </c>
      <c r="E281" s="7" t="str">
        <f t="shared" si="77"/>
        <v>男</v>
      </c>
      <c r="F281" s="7" t="str">
        <f>"1995-01-26"</f>
        <v>1995-01-26</v>
      </c>
      <c r="G281" s="7" t="str">
        <f t="shared" si="65"/>
        <v>本科</v>
      </c>
      <c r="H281" s="7" t="str">
        <f t="shared" si="76"/>
        <v>学士</v>
      </c>
    </row>
    <row r="282" spans="1:8" ht="34.5" customHeight="1">
      <c r="A282" s="6">
        <v>280</v>
      </c>
      <c r="B282" s="7" t="str">
        <f>"261020200916093743572"</f>
        <v>261020200916093743572</v>
      </c>
      <c r="C282" s="7" t="s">
        <v>11</v>
      </c>
      <c r="D282" s="7" t="str">
        <f>"颜江帆"</f>
        <v>颜江帆</v>
      </c>
      <c r="E282" s="7" t="str">
        <f aca="true" t="shared" si="78" ref="E282:E288">"女"</f>
        <v>女</v>
      </c>
      <c r="F282" s="7" t="str">
        <f>"1996-09-20"</f>
        <v>1996-09-20</v>
      </c>
      <c r="G282" s="7" t="str">
        <f t="shared" si="65"/>
        <v>本科</v>
      </c>
      <c r="H282" s="7" t="str">
        <f t="shared" si="76"/>
        <v>学士</v>
      </c>
    </row>
    <row r="283" spans="1:8" ht="34.5" customHeight="1">
      <c r="A283" s="6">
        <v>281</v>
      </c>
      <c r="B283" s="7" t="str">
        <f>"261020200916110335574"</f>
        <v>261020200916110335574</v>
      </c>
      <c r="C283" s="7" t="s">
        <v>11</v>
      </c>
      <c r="D283" s="7" t="str">
        <f>"卓小娜"</f>
        <v>卓小娜</v>
      </c>
      <c r="E283" s="7" t="str">
        <f t="shared" si="78"/>
        <v>女</v>
      </c>
      <c r="F283" s="7" t="str">
        <f>"1993-10-21"</f>
        <v>1993-10-21</v>
      </c>
      <c r="G283" s="7" t="str">
        <f t="shared" si="65"/>
        <v>本科</v>
      </c>
      <c r="H283" s="7" t="str">
        <f t="shared" si="76"/>
        <v>学士</v>
      </c>
    </row>
    <row r="284" spans="1:8" ht="34.5" customHeight="1">
      <c r="A284" s="6">
        <v>282</v>
      </c>
      <c r="B284" s="7" t="str">
        <f>"261020200916112531577"</f>
        <v>261020200916112531577</v>
      </c>
      <c r="C284" s="7" t="s">
        <v>11</v>
      </c>
      <c r="D284" s="7" t="str">
        <f>"王海姑"</f>
        <v>王海姑</v>
      </c>
      <c r="E284" s="7" t="str">
        <f t="shared" si="78"/>
        <v>女</v>
      </c>
      <c r="F284" s="7" t="str">
        <f>"1996-05-15"</f>
        <v>1996-05-15</v>
      </c>
      <c r="G284" s="7" t="str">
        <f t="shared" si="65"/>
        <v>本科</v>
      </c>
      <c r="H284" s="7" t="str">
        <f t="shared" si="76"/>
        <v>学士</v>
      </c>
    </row>
    <row r="285" spans="1:8" ht="34.5" customHeight="1">
      <c r="A285" s="6">
        <v>283</v>
      </c>
      <c r="B285" s="7" t="str">
        <f>"261020200916112640578"</f>
        <v>261020200916112640578</v>
      </c>
      <c r="C285" s="7" t="s">
        <v>11</v>
      </c>
      <c r="D285" s="7" t="str">
        <f>"李汶蔚"</f>
        <v>李汶蔚</v>
      </c>
      <c r="E285" s="7" t="str">
        <f t="shared" si="78"/>
        <v>女</v>
      </c>
      <c r="F285" s="7" t="str">
        <f>"1997-08-01"</f>
        <v>1997-08-01</v>
      </c>
      <c r="G285" s="7" t="str">
        <f t="shared" si="65"/>
        <v>本科</v>
      </c>
      <c r="H285" s="7" t="str">
        <f t="shared" si="76"/>
        <v>学士</v>
      </c>
    </row>
    <row r="286" spans="1:8" ht="34.5" customHeight="1">
      <c r="A286" s="6">
        <v>284</v>
      </c>
      <c r="B286" s="7" t="str">
        <f>"261020200916114623580"</f>
        <v>261020200916114623580</v>
      </c>
      <c r="C286" s="7" t="s">
        <v>11</v>
      </c>
      <c r="D286" s="7" t="str">
        <f>"林欣欣"</f>
        <v>林欣欣</v>
      </c>
      <c r="E286" s="7" t="str">
        <f t="shared" si="78"/>
        <v>女</v>
      </c>
      <c r="F286" s="7" t="str">
        <f>"1999-02-07"</f>
        <v>1999-02-07</v>
      </c>
      <c r="G286" s="7" t="str">
        <f t="shared" si="65"/>
        <v>本科</v>
      </c>
      <c r="H286" s="7" t="str">
        <f t="shared" si="76"/>
        <v>学士</v>
      </c>
    </row>
    <row r="287" spans="1:8" ht="34.5" customHeight="1">
      <c r="A287" s="6">
        <v>285</v>
      </c>
      <c r="B287" s="7" t="str">
        <f>"261020200916120528582"</f>
        <v>261020200916120528582</v>
      </c>
      <c r="C287" s="7" t="s">
        <v>11</v>
      </c>
      <c r="D287" s="7" t="str">
        <f>"黎训飞"</f>
        <v>黎训飞</v>
      </c>
      <c r="E287" s="7" t="str">
        <f t="shared" si="78"/>
        <v>女</v>
      </c>
      <c r="F287" s="7" t="str">
        <f>"1998-04-01"</f>
        <v>1998-04-01</v>
      </c>
      <c r="G287" s="7" t="str">
        <f t="shared" si="65"/>
        <v>本科</v>
      </c>
      <c r="H287" s="7" t="str">
        <f t="shared" si="76"/>
        <v>学士</v>
      </c>
    </row>
    <row r="288" spans="1:8" ht="34.5" customHeight="1">
      <c r="A288" s="6">
        <v>286</v>
      </c>
      <c r="B288" s="7" t="str">
        <f>"261020200916131454587"</f>
        <v>261020200916131454587</v>
      </c>
      <c r="C288" s="7" t="s">
        <v>11</v>
      </c>
      <c r="D288" s="7" t="str">
        <f>"符方英"</f>
        <v>符方英</v>
      </c>
      <c r="E288" s="7" t="str">
        <f t="shared" si="78"/>
        <v>女</v>
      </c>
      <c r="F288" s="7" t="str">
        <f>"1996-11-07"</f>
        <v>1996-11-07</v>
      </c>
      <c r="G288" s="7" t="str">
        <f t="shared" si="65"/>
        <v>本科</v>
      </c>
      <c r="H288" s="7" t="str">
        <f t="shared" si="76"/>
        <v>学士</v>
      </c>
    </row>
    <row r="289" spans="1:8" ht="34.5" customHeight="1">
      <c r="A289" s="6">
        <v>287</v>
      </c>
      <c r="B289" s="7" t="str">
        <f>"261020200916134433590"</f>
        <v>261020200916134433590</v>
      </c>
      <c r="C289" s="7" t="s">
        <v>11</v>
      </c>
      <c r="D289" s="7" t="str">
        <f>"吉贝"</f>
        <v>吉贝</v>
      </c>
      <c r="E289" s="7" t="str">
        <f>"男"</f>
        <v>男</v>
      </c>
      <c r="F289" s="7" t="str">
        <f>"1996-03-10"</f>
        <v>1996-03-10</v>
      </c>
      <c r="G289" s="7" t="str">
        <f t="shared" si="65"/>
        <v>本科</v>
      </c>
      <c r="H289" s="7" t="str">
        <f t="shared" si="76"/>
        <v>学士</v>
      </c>
    </row>
    <row r="290" spans="1:8" ht="34.5" customHeight="1">
      <c r="A290" s="6">
        <v>288</v>
      </c>
      <c r="B290" s="6" t="str">
        <f>"261020200916143453594"</f>
        <v>261020200916143453594</v>
      </c>
      <c r="C290" s="6" t="s">
        <v>11</v>
      </c>
      <c r="D290" s="6" t="str">
        <f>"李娟"</f>
        <v>李娟</v>
      </c>
      <c r="E290" s="6" t="str">
        <f aca="true" t="shared" si="79" ref="E289:E293">"女"</f>
        <v>女</v>
      </c>
      <c r="F290" s="6" t="str">
        <f>"1994-11-19"</f>
        <v>1994-11-19</v>
      </c>
      <c r="G290" s="6" t="str">
        <f>"研究生"</f>
        <v>研究生</v>
      </c>
      <c r="H290" s="6" t="str">
        <f>"硕士"</f>
        <v>硕士</v>
      </c>
    </row>
    <row r="291" spans="1:8" ht="34.5" customHeight="1">
      <c r="A291" s="6">
        <v>289</v>
      </c>
      <c r="B291" s="6" t="str">
        <f>"261020200916150019596"</f>
        <v>261020200916150019596</v>
      </c>
      <c r="C291" s="6" t="s">
        <v>11</v>
      </c>
      <c r="D291" s="6" t="str">
        <f>"王东生"</f>
        <v>王东生</v>
      </c>
      <c r="E291" s="6" t="str">
        <f>"男"</f>
        <v>男</v>
      </c>
      <c r="F291" s="6" t="str">
        <f>"1994-05-01"</f>
        <v>1994-05-01</v>
      </c>
      <c r="G291" s="6" t="str">
        <f>"本科"</f>
        <v>本科</v>
      </c>
      <c r="H291" s="6" t="str">
        <f>"学士"</f>
        <v>学士</v>
      </c>
    </row>
    <row r="292" spans="1:8" ht="34.5" customHeight="1">
      <c r="A292" s="6">
        <v>290</v>
      </c>
      <c r="B292" s="6" t="str">
        <f>"261020200916155312600"</f>
        <v>261020200916155312600</v>
      </c>
      <c r="C292" s="6" t="s">
        <v>11</v>
      </c>
      <c r="D292" s="6" t="str">
        <f>"吴涵"</f>
        <v>吴涵</v>
      </c>
      <c r="E292" s="6" t="str">
        <f t="shared" si="79"/>
        <v>女</v>
      </c>
      <c r="F292" s="6" t="str">
        <f>"1995-03-31"</f>
        <v>1995-03-31</v>
      </c>
      <c r="G292" s="6" t="str">
        <f>"研究生"</f>
        <v>研究生</v>
      </c>
      <c r="H292" s="6" t="str">
        <f>"硕士"</f>
        <v>硕士</v>
      </c>
    </row>
    <row r="293" spans="1:8" ht="34.5" customHeight="1">
      <c r="A293" s="6">
        <v>291</v>
      </c>
      <c r="B293" s="6" t="str">
        <f>"261020200916161230604"</f>
        <v>261020200916161230604</v>
      </c>
      <c r="C293" s="6" t="s">
        <v>11</v>
      </c>
      <c r="D293" s="6" t="str">
        <f>"左家赛"</f>
        <v>左家赛</v>
      </c>
      <c r="E293" s="6" t="str">
        <f t="shared" si="79"/>
        <v>女</v>
      </c>
      <c r="F293" s="6" t="str">
        <f>"1997-04-09"</f>
        <v>1997-04-09</v>
      </c>
      <c r="G293" s="6" t="str">
        <f>"本科"</f>
        <v>本科</v>
      </c>
      <c r="H293" s="6" t="str">
        <f>"学士"</f>
        <v>学士</v>
      </c>
    </row>
  </sheetData>
  <sheetProtection/>
  <mergeCells count="1">
    <mergeCell ref="A1:H1"/>
  </mergeCells>
  <printOptions/>
  <pageMargins left="0.55" right="0.31" top="0.55" bottom="0.35" header="0.39" footer="0.2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2020-09-17T03:47:26Z</dcterms:created>
  <dcterms:modified xsi:type="dcterms:W3CDTF">2020-09-18T03:23:40Z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