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_FilterDatabase" localSheetId="0" hidden="1">Sheet1!$A$3:$I$254</definedName>
  </definedNames>
  <calcPr calcId="144525"/>
</workbook>
</file>

<file path=xl/sharedStrings.xml><?xml version="1.0" encoding="utf-8"?>
<sst xmlns="http://schemas.openxmlformats.org/spreadsheetml/2006/main" count="353" uniqueCount="13">
  <si>
    <t>2020年唐河县公开招聘退役军人服务中心工作人员原始成绩</t>
  </si>
  <si>
    <t>序号</t>
  </si>
  <si>
    <t>报考岗位</t>
  </si>
  <si>
    <t>姓名</t>
  </si>
  <si>
    <t>性别</t>
  </si>
  <si>
    <t>准考证号</t>
  </si>
  <si>
    <t>考场号</t>
  </si>
  <si>
    <t>座位号</t>
  </si>
  <si>
    <t>总成绩</t>
  </si>
  <si>
    <t>备注</t>
  </si>
  <si>
    <t>001_工作人员</t>
  </si>
  <si>
    <t>缺考</t>
  </si>
  <si>
    <t>002_工作人员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</si>
</sst>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workbookViewId="0">
      <selection activeCell="L10" sqref="L10"/>
    </sheetView>
  </sheetViews>
  <sheetFormatPr defaultColWidth="9" defaultRowHeight="13.5"/>
  <cols>
    <col min="1" max="1" width="6.125" customWidth="1"/>
    <col min="2" max="2" width="14.875" customWidth="1"/>
    <col min="3" max="3" width="8.75" customWidth="1"/>
    <col min="4" max="4" width="6.375" customWidth="1"/>
    <col min="5" max="5" width="13.625" customWidth="1"/>
    <col min="6" max="6" width="8" customWidth="1"/>
    <col min="7" max="7" width="8.125" customWidth="1"/>
    <col min="8" max="8" width="9.25" style="3" customWidth="1"/>
    <col min="9" max="9" width="9" style="3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ht="14.25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14.25" spans="1:9">
      <c r="A4" s="6">
        <v>1</v>
      </c>
      <c r="B4" s="6" t="s">
        <v>10</v>
      </c>
      <c r="C4" s="6" t="str">
        <f>"杨琳雅"</f>
        <v>杨琳雅</v>
      </c>
      <c r="D4" s="6" t="str">
        <f>"女"</f>
        <v>女</v>
      </c>
      <c r="E4" s="6" t="str">
        <f>"10960010101"</f>
        <v>10960010101</v>
      </c>
      <c r="F4" s="6">
        <v>1</v>
      </c>
      <c r="G4" s="6">
        <v>1</v>
      </c>
      <c r="H4" s="7">
        <v>51.3</v>
      </c>
      <c r="I4" s="7"/>
    </row>
    <row r="5" s="1" customFormat="1" ht="14.25" spans="1:9">
      <c r="A5" s="6">
        <v>2</v>
      </c>
      <c r="B5" s="6" t="s">
        <v>10</v>
      </c>
      <c r="C5" s="6" t="str">
        <f>"王堃"</f>
        <v>王堃</v>
      </c>
      <c r="D5" s="6" t="str">
        <f>"男"</f>
        <v>男</v>
      </c>
      <c r="E5" s="6" t="str">
        <f>"10960010102"</f>
        <v>10960010102</v>
      </c>
      <c r="F5" s="6">
        <v>1</v>
      </c>
      <c r="G5" s="6">
        <v>2</v>
      </c>
      <c r="H5" s="7">
        <v>55.7</v>
      </c>
      <c r="I5" s="7"/>
    </row>
    <row r="6" s="1" customFormat="1" ht="14.25" spans="1:9">
      <c r="A6" s="6">
        <v>3</v>
      </c>
      <c r="B6" s="6" t="s">
        <v>10</v>
      </c>
      <c r="C6" s="6" t="str">
        <f>"樊京"</f>
        <v>樊京</v>
      </c>
      <c r="D6" s="6" t="str">
        <f>"女"</f>
        <v>女</v>
      </c>
      <c r="E6" s="6" t="str">
        <f>"10960010103"</f>
        <v>10960010103</v>
      </c>
      <c r="F6" s="6">
        <v>1</v>
      </c>
      <c r="G6" s="6">
        <v>3</v>
      </c>
      <c r="H6" s="7">
        <v>66.4</v>
      </c>
      <c r="I6" s="7"/>
    </row>
    <row r="7" s="1" customFormat="1" ht="14.25" spans="1:9">
      <c r="A7" s="6">
        <v>4</v>
      </c>
      <c r="B7" s="6" t="s">
        <v>10</v>
      </c>
      <c r="C7" s="6" t="str">
        <f>"党煜尊"</f>
        <v>党煜尊</v>
      </c>
      <c r="D7" s="6" t="str">
        <f>"女"</f>
        <v>女</v>
      </c>
      <c r="E7" s="6" t="str">
        <f>"10960010104"</f>
        <v>10960010104</v>
      </c>
      <c r="F7" s="6">
        <v>1</v>
      </c>
      <c r="G7" s="6">
        <v>4</v>
      </c>
      <c r="H7" s="7">
        <v>54.2</v>
      </c>
      <c r="I7" s="7"/>
    </row>
    <row r="8" ht="14.25" spans="1:9">
      <c r="A8" s="6">
        <v>5</v>
      </c>
      <c r="B8" s="6" t="s">
        <v>10</v>
      </c>
      <c r="C8" s="6" t="str">
        <f>"马永驰"</f>
        <v>马永驰</v>
      </c>
      <c r="D8" s="6" t="str">
        <f>"男"</f>
        <v>男</v>
      </c>
      <c r="E8" s="6" t="str">
        <f>"10960010105"</f>
        <v>10960010105</v>
      </c>
      <c r="F8" s="6">
        <v>1</v>
      </c>
      <c r="G8" s="6">
        <v>5</v>
      </c>
      <c r="H8" s="7">
        <v>64.8</v>
      </c>
      <c r="I8" s="7"/>
    </row>
    <row r="9" ht="14.25" spans="1:9">
      <c r="A9" s="6">
        <v>6</v>
      </c>
      <c r="B9" s="6" t="s">
        <v>10</v>
      </c>
      <c r="C9" s="6" t="str">
        <f>"郭钦森"</f>
        <v>郭钦森</v>
      </c>
      <c r="D9" s="6" t="str">
        <f>"男"</f>
        <v>男</v>
      </c>
      <c r="E9" s="6" t="str">
        <f>"10960010106"</f>
        <v>10960010106</v>
      </c>
      <c r="F9" s="6">
        <v>1</v>
      </c>
      <c r="G9" s="6">
        <v>6</v>
      </c>
      <c r="H9" s="7">
        <v>62</v>
      </c>
      <c r="I9" s="7"/>
    </row>
    <row r="10" ht="14.25" spans="1:9">
      <c r="A10" s="6">
        <v>7</v>
      </c>
      <c r="B10" s="6" t="s">
        <v>10</v>
      </c>
      <c r="C10" s="6" t="str">
        <f>"武奥鹏"</f>
        <v>武奥鹏</v>
      </c>
      <c r="D10" s="6" t="str">
        <f>"男"</f>
        <v>男</v>
      </c>
      <c r="E10" s="6" t="str">
        <f>"10960010107"</f>
        <v>10960010107</v>
      </c>
      <c r="F10" s="6">
        <v>1</v>
      </c>
      <c r="G10" s="6">
        <v>7</v>
      </c>
      <c r="H10" s="7">
        <v>59</v>
      </c>
      <c r="I10" s="7"/>
    </row>
    <row r="11" ht="14.25" spans="1:9">
      <c r="A11" s="6">
        <v>8</v>
      </c>
      <c r="B11" s="6" t="s">
        <v>10</v>
      </c>
      <c r="C11" s="6" t="str">
        <f>"党秋洋"</f>
        <v>党秋洋</v>
      </c>
      <c r="D11" s="6" t="str">
        <f>"女"</f>
        <v>女</v>
      </c>
      <c r="E11" s="6" t="str">
        <f>"10960010108"</f>
        <v>10960010108</v>
      </c>
      <c r="F11" s="6">
        <v>1</v>
      </c>
      <c r="G11" s="6">
        <v>8</v>
      </c>
      <c r="H11" s="7" t="s">
        <v>11</v>
      </c>
      <c r="I11" s="7"/>
    </row>
    <row r="12" ht="14.25" spans="1:9">
      <c r="A12" s="6">
        <v>9</v>
      </c>
      <c r="B12" s="6" t="s">
        <v>10</v>
      </c>
      <c r="C12" s="6" t="str">
        <f>"胡斌"</f>
        <v>胡斌</v>
      </c>
      <c r="D12" s="6" t="str">
        <f>"男"</f>
        <v>男</v>
      </c>
      <c r="E12" s="6" t="str">
        <f>"10960010109"</f>
        <v>10960010109</v>
      </c>
      <c r="F12" s="6">
        <v>1</v>
      </c>
      <c r="G12" s="6">
        <v>9</v>
      </c>
      <c r="H12" s="7" t="s">
        <v>11</v>
      </c>
      <c r="I12" s="7"/>
    </row>
    <row r="13" ht="14.25" spans="1:9">
      <c r="A13" s="6">
        <v>10</v>
      </c>
      <c r="B13" s="6" t="s">
        <v>10</v>
      </c>
      <c r="C13" s="6" t="str">
        <f>"刘卓勋"</f>
        <v>刘卓勋</v>
      </c>
      <c r="D13" s="6" t="str">
        <f>"男"</f>
        <v>男</v>
      </c>
      <c r="E13" s="6" t="str">
        <f>"10960010110"</f>
        <v>10960010110</v>
      </c>
      <c r="F13" s="6">
        <v>1</v>
      </c>
      <c r="G13" s="6">
        <v>10</v>
      </c>
      <c r="H13" s="7">
        <v>54.7</v>
      </c>
      <c r="I13" s="7"/>
    </row>
    <row r="14" ht="14.25" spans="1:9">
      <c r="A14" s="6">
        <v>11</v>
      </c>
      <c r="B14" s="6" t="s">
        <v>10</v>
      </c>
      <c r="C14" s="6" t="str">
        <f>"彭允泽"</f>
        <v>彭允泽</v>
      </c>
      <c r="D14" s="6" t="str">
        <f>"男"</f>
        <v>男</v>
      </c>
      <c r="E14" s="6" t="str">
        <f>"10960010111"</f>
        <v>10960010111</v>
      </c>
      <c r="F14" s="6">
        <v>1</v>
      </c>
      <c r="G14" s="6">
        <v>11</v>
      </c>
      <c r="H14" s="7" t="s">
        <v>11</v>
      </c>
      <c r="I14" s="7"/>
    </row>
    <row r="15" ht="14.25" spans="1:9">
      <c r="A15" s="6">
        <v>12</v>
      </c>
      <c r="B15" s="6" t="s">
        <v>10</v>
      </c>
      <c r="C15" s="6" t="str">
        <f>"魏智琦"</f>
        <v>魏智琦</v>
      </c>
      <c r="D15" s="6" t="str">
        <f>"男"</f>
        <v>男</v>
      </c>
      <c r="E15" s="6" t="str">
        <f>"10960010112"</f>
        <v>10960010112</v>
      </c>
      <c r="F15" s="6">
        <v>1</v>
      </c>
      <c r="G15" s="6">
        <v>12</v>
      </c>
      <c r="H15" s="7">
        <v>66</v>
      </c>
      <c r="I15" s="7"/>
    </row>
    <row r="16" ht="14.25" spans="1:9">
      <c r="A16" s="6">
        <v>13</v>
      </c>
      <c r="B16" s="6" t="s">
        <v>10</v>
      </c>
      <c r="C16" s="6" t="str">
        <f>"宋远航"</f>
        <v>宋远航</v>
      </c>
      <c r="D16" s="6" t="str">
        <f>"男"</f>
        <v>男</v>
      </c>
      <c r="E16" s="6" t="str">
        <f>"10960010113"</f>
        <v>10960010113</v>
      </c>
      <c r="F16" s="6">
        <v>1</v>
      </c>
      <c r="G16" s="6">
        <v>13</v>
      </c>
      <c r="H16" s="7">
        <v>37.7</v>
      </c>
      <c r="I16" s="7"/>
    </row>
    <row r="17" ht="14.25" spans="1:9">
      <c r="A17" s="6">
        <v>14</v>
      </c>
      <c r="B17" s="6" t="s">
        <v>10</v>
      </c>
      <c r="C17" s="6" t="str">
        <f>"韩赢"</f>
        <v>韩赢</v>
      </c>
      <c r="D17" s="6" t="str">
        <f>"女"</f>
        <v>女</v>
      </c>
      <c r="E17" s="6" t="str">
        <f>"10960010114"</f>
        <v>10960010114</v>
      </c>
      <c r="F17" s="6">
        <v>1</v>
      </c>
      <c r="G17" s="6">
        <v>14</v>
      </c>
      <c r="H17" s="7" t="s">
        <v>11</v>
      </c>
      <c r="I17" s="7"/>
    </row>
    <row r="18" ht="14.25" spans="1:9">
      <c r="A18" s="6">
        <v>15</v>
      </c>
      <c r="B18" s="6" t="s">
        <v>10</v>
      </c>
      <c r="C18" s="6" t="str">
        <f>"秦赟"</f>
        <v>秦赟</v>
      </c>
      <c r="D18" s="6" t="str">
        <f>"男"</f>
        <v>男</v>
      </c>
      <c r="E18" s="6" t="str">
        <f>"10960010115"</f>
        <v>10960010115</v>
      </c>
      <c r="F18" s="6">
        <v>1</v>
      </c>
      <c r="G18" s="6">
        <v>15</v>
      </c>
      <c r="H18" s="7">
        <v>57</v>
      </c>
      <c r="I18" s="7"/>
    </row>
    <row r="19" ht="14.25" spans="1:9">
      <c r="A19" s="6">
        <v>16</v>
      </c>
      <c r="B19" s="6" t="s">
        <v>10</v>
      </c>
      <c r="C19" s="6" t="str">
        <f>"杨帆"</f>
        <v>杨帆</v>
      </c>
      <c r="D19" s="6" t="str">
        <f>"女"</f>
        <v>女</v>
      </c>
      <c r="E19" s="6" t="str">
        <f>"10960010116"</f>
        <v>10960010116</v>
      </c>
      <c r="F19" s="6">
        <v>1</v>
      </c>
      <c r="G19" s="6">
        <v>16</v>
      </c>
      <c r="H19" s="7">
        <v>65.3</v>
      </c>
      <c r="I19" s="7"/>
    </row>
    <row r="20" ht="14.25" spans="1:9">
      <c r="A20" s="6">
        <v>17</v>
      </c>
      <c r="B20" s="6" t="s">
        <v>10</v>
      </c>
      <c r="C20" s="6" t="str">
        <f>"李海林"</f>
        <v>李海林</v>
      </c>
      <c r="D20" s="6" t="str">
        <f t="shared" ref="D20:D27" si="0">"男"</f>
        <v>男</v>
      </c>
      <c r="E20" s="6" t="str">
        <f>"10960010117"</f>
        <v>10960010117</v>
      </c>
      <c r="F20" s="6">
        <v>1</v>
      </c>
      <c r="G20" s="6">
        <v>17</v>
      </c>
      <c r="H20" s="7">
        <v>58.3</v>
      </c>
      <c r="I20" s="7"/>
    </row>
    <row r="21" ht="14.25" spans="1:9">
      <c r="A21" s="6">
        <v>18</v>
      </c>
      <c r="B21" s="6" t="s">
        <v>10</v>
      </c>
      <c r="C21" s="6" t="str">
        <f>"卢泽升"</f>
        <v>卢泽升</v>
      </c>
      <c r="D21" s="6" t="str">
        <f t="shared" si="0"/>
        <v>男</v>
      </c>
      <c r="E21" s="6" t="str">
        <f>"10960010118"</f>
        <v>10960010118</v>
      </c>
      <c r="F21" s="6">
        <v>1</v>
      </c>
      <c r="G21" s="6">
        <v>18</v>
      </c>
      <c r="H21" s="7">
        <v>53.3</v>
      </c>
      <c r="I21" s="7"/>
    </row>
    <row r="22" ht="14.25" spans="1:9">
      <c r="A22" s="6">
        <v>19</v>
      </c>
      <c r="B22" s="6" t="s">
        <v>10</v>
      </c>
      <c r="C22" s="6" t="str">
        <f>"陈喆"</f>
        <v>陈喆</v>
      </c>
      <c r="D22" s="6" t="str">
        <f t="shared" si="0"/>
        <v>男</v>
      </c>
      <c r="E22" s="6" t="str">
        <f>"10960010119"</f>
        <v>10960010119</v>
      </c>
      <c r="F22" s="6">
        <v>1</v>
      </c>
      <c r="G22" s="6">
        <v>19</v>
      </c>
      <c r="H22" s="7">
        <v>59.1</v>
      </c>
      <c r="I22" s="7"/>
    </row>
    <row r="23" ht="14.25" spans="1:9">
      <c r="A23" s="6">
        <v>20</v>
      </c>
      <c r="B23" s="6" t="s">
        <v>10</v>
      </c>
      <c r="C23" s="6" t="str">
        <f>"刘靓"</f>
        <v>刘靓</v>
      </c>
      <c r="D23" s="6" t="str">
        <f t="shared" si="0"/>
        <v>男</v>
      </c>
      <c r="E23" s="6" t="str">
        <f>"10960010120"</f>
        <v>10960010120</v>
      </c>
      <c r="F23" s="6">
        <v>1</v>
      </c>
      <c r="G23" s="6">
        <v>20</v>
      </c>
      <c r="H23" s="7">
        <v>56.3</v>
      </c>
      <c r="I23" s="7"/>
    </row>
    <row r="24" ht="14.25" spans="1:9">
      <c r="A24" s="6">
        <v>21</v>
      </c>
      <c r="B24" s="6" t="s">
        <v>10</v>
      </c>
      <c r="C24" s="6" t="str">
        <f>"刘天祥"</f>
        <v>刘天祥</v>
      </c>
      <c r="D24" s="6" t="str">
        <f t="shared" si="0"/>
        <v>男</v>
      </c>
      <c r="E24" s="6" t="str">
        <f>"10960010121"</f>
        <v>10960010121</v>
      </c>
      <c r="F24" s="6">
        <v>1</v>
      </c>
      <c r="G24" s="6">
        <v>21</v>
      </c>
      <c r="H24" s="7">
        <v>51.3</v>
      </c>
      <c r="I24" s="7"/>
    </row>
    <row r="25" ht="14.25" spans="1:9">
      <c r="A25" s="6">
        <v>22</v>
      </c>
      <c r="B25" s="6" t="s">
        <v>10</v>
      </c>
      <c r="C25" s="6" t="str">
        <f>"党帅"</f>
        <v>党帅</v>
      </c>
      <c r="D25" s="6" t="str">
        <f t="shared" si="0"/>
        <v>男</v>
      </c>
      <c r="E25" s="6" t="str">
        <f>"10960010122"</f>
        <v>10960010122</v>
      </c>
      <c r="F25" s="6">
        <v>1</v>
      </c>
      <c r="G25" s="6">
        <v>22</v>
      </c>
      <c r="H25" s="7">
        <v>63.6</v>
      </c>
      <c r="I25" s="7"/>
    </row>
    <row r="26" ht="14.25" spans="1:9">
      <c r="A26" s="6">
        <v>23</v>
      </c>
      <c r="B26" s="6" t="s">
        <v>10</v>
      </c>
      <c r="C26" s="6" t="str">
        <f>"赵恒"</f>
        <v>赵恒</v>
      </c>
      <c r="D26" s="6" t="str">
        <f t="shared" si="0"/>
        <v>男</v>
      </c>
      <c r="E26" s="6" t="str">
        <f>"10960010123"</f>
        <v>10960010123</v>
      </c>
      <c r="F26" s="6">
        <v>1</v>
      </c>
      <c r="G26" s="6">
        <v>23</v>
      </c>
      <c r="H26" s="7">
        <v>61.6</v>
      </c>
      <c r="I26" s="7"/>
    </row>
    <row r="27" ht="14.25" spans="1:9">
      <c r="A27" s="6">
        <v>24</v>
      </c>
      <c r="B27" s="6" t="s">
        <v>10</v>
      </c>
      <c r="C27" s="6" t="str">
        <f>"高朴拙"</f>
        <v>高朴拙</v>
      </c>
      <c r="D27" s="6" t="str">
        <f t="shared" si="0"/>
        <v>男</v>
      </c>
      <c r="E27" s="6" t="str">
        <f>"10960010124"</f>
        <v>10960010124</v>
      </c>
      <c r="F27" s="6">
        <v>1</v>
      </c>
      <c r="G27" s="6">
        <v>24</v>
      </c>
      <c r="H27" s="7">
        <v>54.6</v>
      </c>
      <c r="I27" s="7"/>
    </row>
    <row r="28" ht="14.25" spans="1:9">
      <c r="A28" s="6">
        <v>25</v>
      </c>
      <c r="B28" s="6" t="s">
        <v>10</v>
      </c>
      <c r="C28" s="6" t="str">
        <f>"陈焕楠"</f>
        <v>陈焕楠</v>
      </c>
      <c r="D28" s="6" t="str">
        <f>"女"</f>
        <v>女</v>
      </c>
      <c r="E28" s="6" t="str">
        <f>"10960010125"</f>
        <v>10960010125</v>
      </c>
      <c r="F28" s="6">
        <v>1</v>
      </c>
      <c r="G28" s="6">
        <v>25</v>
      </c>
      <c r="H28" s="7" t="s">
        <v>11</v>
      </c>
      <c r="I28" s="7"/>
    </row>
    <row r="29" ht="14.25" spans="1:9">
      <c r="A29" s="6">
        <v>26</v>
      </c>
      <c r="B29" s="6" t="s">
        <v>10</v>
      </c>
      <c r="C29" s="6" t="str">
        <f>"张森鹏"</f>
        <v>张森鹏</v>
      </c>
      <c r="D29" s="6" t="str">
        <f>"男"</f>
        <v>男</v>
      </c>
      <c r="E29" s="6" t="str">
        <f>"10960010126"</f>
        <v>10960010126</v>
      </c>
      <c r="F29" s="6">
        <v>1</v>
      </c>
      <c r="G29" s="6">
        <v>26</v>
      </c>
      <c r="H29" s="7">
        <v>71.8</v>
      </c>
      <c r="I29" s="7"/>
    </row>
    <row r="30" ht="14.25" spans="1:9">
      <c r="A30" s="6">
        <v>27</v>
      </c>
      <c r="B30" s="6" t="s">
        <v>10</v>
      </c>
      <c r="C30" s="6" t="str">
        <f>"陈亮宇"</f>
        <v>陈亮宇</v>
      </c>
      <c r="D30" s="6" t="str">
        <f>"男"</f>
        <v>男</v>
      </c>
      <c r="E30" s="6" t="str">
        <f>"10960010127"</f>
        <v>10960010127</v>
      </c>
      <c r="F30" s="6">
        <v>1</v>
      </c>
      <c r="G30" s="6">
        <v>27</v>
      </c>
      <c r="H30" s="7" t="s">
        <v>11</v>
      </c>
      <c r="I30" s="7"/>
    </row>
    <row r="31" ht="14.25" spans="1:9">
      <c r="A31" s="6">
        <v>28</v>
      </c>
      <c r="B31" s="6" t="s">
        <v>10</v>
      </c>
      <c r="C31" s="6" t="str">
        <f>"刘璐"</f>
        <v>刘璐</v>
      </c>
      <c r="D31" s="6" t="str">
        <f>"女"</f>
        <v>女</v>
      </c>
      <c r="E31" s="6" t="str">
        <f>"10960010128"</f>
        <v>10960010128</v>
      </c>
      <c r="F31" s="6">
        <v>1</v>
      </c>
      <c r="G31" s="6">
        <v>28</v>
      </c>
      <c r="H31" s="7">
        <v>54.6</v>
      </c>
      <c r="I31" s="7"/>
    </row>
    <row r="32" ht="14.25" spans="1:9">
      <c r="A32" s="6">
        <v>29</v>
      </c>
      <c r="B32" s="6" t="s">
        <v>10</v>
      </c>
      <c r="C32" s="6" t="str">
        <f>"丁紫阳"</f>
        <v>丁紫阳</v>
      </c>
      <c r="D32" s="6" t="str">
        <f>"男"</f>
        <v>男</v>
      </c>
      <c r="E32" s="6" t="str">
        <f>"10960010129"</f>
        <v>10960010129</v>
      </c>
      <c r="F32" s="6">
        <v>1</v>
      </c>
      <c r="G32" s="6">
        <v>29</v>
      </c>
      <c r="H32" s="7" t="s">
        <v>11</v>
      </c>
      <c r="I32" s="7"/>
    </row>
    <row r="33" ht="14.25" spans="1:9">
      <c r="A33" s="6">
        <v>30</v>
      </c>
      <c r="B33" s="6" t="s">
        <v>10</v>
      </c>
      <c r="C33" s="6" t="str">
        <f>"杨易"</f>
        <v>杨易</v>
      </c>
      <c r="D33" s="6" t="str">
        <f>"男"</f>
        <v>男</v>
      </c>
      <c r="E33" s="6" t="str">
        <f>"10960010130"</f>
        <v>10960010130</v>
      </c>
      <c r="F33" s="6">
        <v>1</v>
      </c>
      <c r="G33" s="6">
        <v>30</v>
      </c>
      <c r="H33" s="7">
        <v>67.9</v>
      </c>
      <c r="I33" s="7"/>
    </row>
    <row r="34" ht="14.25" spans="1:9">
      <c r="A34" s="6">
        <v>31</v>
      </c>
      <c r="B34" s="6" t="s">
        <v>10</v>
      </c>
      <c r="C34" s="6" t="str">
        <f>"王玉珠"</f>
        <v>王玉珠</v>
      </c>
      <c r="D34" s="6" t="str">
        <f>"女"</f>
        <v>女</v>
      </c>
      <c r="E34" s="6" t="str">
        <f>"10960010201"</f>
        <v>10960010201</v>
      </c>
      <c r="F34" s="6">
        <v>2</v>
      </c>
      <c r="G34" s="6">
        <v>1</v>
      </c>
      <c r="H34" s="7">
        <v>66.2</v>
      </c>
      <c r="I34" s="7"/>
    </row>
    <row r="35" ht="14.25" spans="1:9">
      <c r="A35" s="6">
        <v>32</v>
      </c>
      <c r="B35" s="6" t="s">
        <v>10</v>
      </c>
      <c r="C35" s="6" t="str">
        <f>"郝晓平"</f>
        <v>郝晓平</v>
      </c>
      <c r="D35" s="6" t="str">
        <f>"女"</f>
        <v>女</v>
      </c>
      <c r="E35" s="6" t="str">
        <f>"10960010202"</f>
        <v>10960010202</v>
      </c>
      <c r="F35" s="6">
        <v>2</v>
      </c>
      <c r="G35" s="6">
        <v>2</v>
      </c>
      <c r="H35" s="7">
        <v>64</v>
      </c>
      <c r="I35" s="7"/>
    </row>
    <row r="36" ht="14.25" spans="1:9">
      <c r="A36" s="6">
        <v>33</v>
      </c>
      <c r="B36" s="6" t="s">
        <v>10</v>
      </c>
      <c r="C36" s="6" t="str">
        <f>"刘志鑫"</f>
        <v>刘志鑫</v>
      </c>
      <c r="D36" s="6" t="str">
        <f>"男"</f>
        <v>男</v>
      </c>
      <c r="E36" s="6" t="str">
        <f>"10960010203"</f>
        <v>10960010203</v>
      </c>
      <c r="F36" s="6">
        <v>2</v>
      </c>
      <c r="G36" s="6">
        <v>3</v>
      </c>
      <c r="H36" s="7">
        <v>65.6</v>
      </c>
      <c r="I36" s="7"/>
    </row>
    <row r="37" ht="14.25" spans="1:9">
      <c r="A37" s="6">
        <v>34</v>
      </c>
      <c r="B37" s="6" t="s">
        <v>10</v>
      </c>
      <c r="C37" s="6" t="str">
        <f>"白含冰"</f>
        <v>白含冰</v>
      </c>
      <c r="D37" s="6" t="str">
        <f>"女"</f>
        <v>女</v>
      </c>
      <c r="E37" s="6" t="str">
        <f>"10960010204"</f>
        <v>10960010204</v>
      </c>
      <c r="F37" s="6">
        <v>2</v>
      </c>
      <c r="G37" s="6">
        <v>4</v>
      </c>
      <c r="H37" s="7">
        <v>49.2</v>
      </c>
      <c r="I37" s="7"/>
    </row>
    <row r="38" ht="14.25" spans="1:9">
      <c r="A38" s="6">
        <v>35</v>
      </c>
      <c r="B38" s="6" t="s">
        <v>10</v>
      </c>
      <c r="C38" s="6" t="str">
        <f>"郭鑫源"</f>
        <v>郭鑫源</v>
      </c>
      <c r="D38" s="6" t="str">
        <f>"男"</f>
        <v>男</v>
      </c>
      <c r="E38" s="6" t="str">
        <f>"10960010205"</f>
        <v>10960010205</v>
      </c>
      <c r="F38" s="6">
        <v>2</v>
      </c>
      <c r="G38" s="6">
        <v>5</v>
      </c>
      <c r="H38" s="7" t="s">
        <v>11</v>
      </c>
      <c r="I38" s="7"/>
    </row>
    <row r="39" ht="14.25" spans="1:9">
      <c r="A39" s="6">
        <v>36</v>
      </c>
      <c r="B39" s="6" t="s">
        <v>10</v>
      </c>
      <c r="C39" s="6" t="str">
        <f>"罗铭"</f>
        <v>罗铭</v>
      </c>
      <c r="D39" s="6" t="str">
        <f>"男"</f>
        <v>男</v>
      </c>
      <c r="E39" s="6" t="str">
        <f>"10960010206"</f>
        <v>10960010206</v>
      </c>
      <c r="F39" s="6">
        <v>2</v>
      </c>
      <c r="G39" s="6">
        <v>6</v>
      </c>
      <c r="H39" s="7">
        <v>59.7</v>
      </c>
      <c r="I39" s="7"/>
    </row>
    <row r="40" ht="14.25" spans="1:9">
      <c r="A40" s="6">
        <v>37</v>
      </c>
      <c r="B40" s="6" t="s">
        <v>10</v>
      </c>
      <c r="C40" s="6" t="str">
        <f>"谢颖"</f>
        <v>谢颖</v>
      </c>
      <c r="D40" s="6" t="str">
        <f>"女"</f>
        <v>女</v>
      </c>
      <c r="E40" s="6" t="str">
        <f>"10960010207"</f>
        <v>10960010207</v>
      </c>
      <c r="F40" s="6">
        <v>2</v>
      </c>
      <c r="G40" s="6">
        <v>7</v>
      </c>
      <c r="H40" s="7">
        <v>64.3</v>
      </c>
      <c r="I40" s="7"/>
    </row>
    <row r="41" ht="14.25" spans="1:9">
      <c r="A41" s="6">
        <v>38</v>
      </c>
      <c r="B41" s="6" t="s">
        <v>10</v>
      </c>
      <c r="C41" s="6" t="str">
        <f>"李海洋"</f>
        <v>李海洋</v>
      </c>
      <c r="D41" s="6" t="str">
        <f>"男"</f>
        <v>男</v>
      </c>
      <c r="E41" s="6" t="str">
        <f>"10960010208"</f>
        <v>10960010208</v>
      </c>
      <c r="F41" s="6">
        <v>2</v>
      </c>
      <c r="G41" s="6">
        <v>8</v>
      </c>
      <c r="H41" s="7">
        <v>73.8</v>
      </c>
      <c r="I41" s="7"/>
    </row>
    <row r="42" ht="14.25" spans="1:9">
      <c r="A42" s="6">
        <v>39</v>
      </c>
      <c r="B42" s="6" t="s">
        <v>10</v>
      </c>
      <c r="C42" s="6" t="str">
        <f>"王栋"</f>
        <v>王栋</v>
      </c>
      <c r="D42" s="6" t="str">
        <f>"男"</f>
        <v>男</v>
      </c>
      <c r="E42" s="6" t="str">
        <f>"10960010209"</f>
        <v>10960010209</v>
      </c>
      <c r="F42" s="6">
        <v>2</v>
      </c>
      <c r="G42" s="6">
        <v>9</v>
      </c>
      <c r="H42" s="7" t="s">
        <v>11</v>
      </c>
      <c r="I42" s="7"/>
    </row>
    <row r="43" ht="14.25" spans="1:9">
      <c r="A43" s="6">
        <v>40</v>
      </c>
      <c r="B43" s="6" t="s">
        <v>10</v>
      </c>
      <c r="C43" s="6" t="str">
        <f>"阴佳"</f>
        <v>阴佳</v>
      </c>
      <c r="D43" s="6" t="str">
        <f>"女"</f>
        <v>女</v>
      </c>
      <c r="E43" s="6" t="str">
        <f>"10960010210"</f>
        <v>10960010210</v>
      </c>
      <c r="F43" s="6">
        <v>2</v>
      </c>
      <c r="G43" s="6">
        <v>10</v>
      </c>
      <c r="H43" s="7">
        <v>51.9</v>
      </c>
      <c r="I43" s="7"/>
    </row>
    <row r="44" ht="14.25" spans="1:9">
      <c r="A44" s="6">
        <v>41</v>
      </c>
      <c r="B44" s="6" t="s">
        <v>10</v>
      </c>
      <c r="C44" s="6" t="str">
        <f>"乔钰涵"</f>
        <v>乔钰涵</v>
      </c>
      <c r="D44" s="6" t="str">
        <f>"女"</f>
        <v>女</v>
      </c>
      <c r="E44" s="6" t="str">
        <f>"10960010211"</f>
        <v>10960010211</v>
      </c>
      <c r="F44" s="6">
        <v>2</v>
      </c>
      <c r="G44" s="6">
        <v>11</v>
      </c>
      <c r="H44" s="7" t="s">
        <v>11</v>
      </c>
      <c r="I44" s="7"/>
    </row>
    <row r="45" ht="14.25" spans="1:9">
      <c r="A45" s="6">
        <v>42</v>
      </c>
      <c r="B45" s="6" t="s">
        <v>10</v>
      </c>
      <c r="C45" s="6" t="str">
        <f>"杨朔"</f>
        <v>杨朔</v>
      </c>
      <c r="D45" s="6" t="str">
        <f>"男"</f>
        <v>男</v>
      </c>
      <c r="E45" s="6" t="str">
        <f>"10960010212"</f>
        <v>10960010212</v>
      </c>
      <c r="F45" s="6">
        <v>2</v>
      </c>
      <c r="G45" s="6">
        <v>12</v>
      </c>
      <c r="H45" s="7" t="s">
        <v>11</v>
      </c>
      <c r="I45" s="7"/>
    </row>
    <row r="46" ht="14.25" spans="1:9">
      <c r="A46" s="6">
        <v>43</v>
      </c>
      <c r="B46" s="6" t="s">
        <v>10</v>
      </c>
      <c r="C46" s="6" t="str">
        <f>"黄媛"</f>
        <v>黄媛</v>
      </c>
      <c r="D46" s="6" t="str">
        <f>"女"</f>
        <v>女</v>
      </c>
      <c r="E46" s="6" t="str">
        <f>"10960010213"</f>
        <v>10960010213</v>
      </c>
      <c r="F46" s="6">
        <v>2</v>
      </c>
      <c r="G46" s="6">
        <v>13</v>
      </c>
      <c r="H46" s="7">
        <v>69.3</v>
      </c>
      <c r="I46" s="7"/>
    </row>
    <row r="47" ht="14.25" spans="1:9">
      <c r="A47" s="6">
        <v>44</v>
      </c>
      <c r="B47" s="6" t="s">
        <v>10</v>
      </c>
      <c r="C47" s="6" t="str">
        <f>"郭辉"</f>
        <v>郭辉</v>
      </c>
      <c r="D47" s="6" t="str">
        <f>"男"</f>
        <v>男</v>
      </c>
      <c r="E47" s="6" t="str">
        <f>"10960010214"</f>
        <v>10960010214</v>
      </c>
      <c r="F47" s="6">
        <v>2</v>
      </c>
      <c r="G47" s="6">
        <v>14</v>
      </c>
      <c r="H47" s="7" t="s">
        <v>11</v>
      </c>
      <c r="I47" s="7"/>
    </row>
    <row r="48" ht="14.25" spans="1:9">
      <c r="A48" s="6">
        <v>45</v>
      </c>
      <c r="B48" s="6" t="s">
        <v>10</v>
      </c>
      <c r="C48" s="6" t="str">
        <f>"赵洋"</f>
        <v>赵洋</v>
      </c>
      <c r="D48" s="6" t="str">
        <f>"男"</f>
        <v>男</v>
      </c>
      <c r="E48" s="6" t="str">
        <f>"10960010215"</f>
        <v>10960010215</v>
      </c>
      <c r="F48" s="6">
        <v>2</v>
      </c>
      <c r="G48" s="6">
        <v>15</v>
      </c>
      <c r="H48" s="7" t="s">
        <v>11</v>
      </c>
      <c r="I48" s="7"/>
    </row>
    <row r="49" ht="14.25" spans="1:9">
      <c r="A49" s="6">
        <v>46</v>
      </c>
      <c r="B49" s="6" t="s">
        <v>10</v>
      </c>
      <c r="C49" s="6" t="str">
        <f>"宋海杰"</f>
        <v>宋海杰</v>
      </c>
      <c r="D49" s="6" t="str">
        <f>"男"</f>
        <v>男</v>
      </c>
      <c r="E49" s="6" t="str">
        <f>"10960010216"</f>
        <v>10960010216</v>
      </c>
      <c r="F49" s="6">
        <v>2</v>
      </c>
      <c r="G49" s="6">
        <v>16</v>
      </c>
      <c r="H49" s="7">
        <v>58.7</v>
      </c>
      <c r="I49" s="7"/>
    </row>
    <row r="50" ht="14.25" spans="1:9">
      <c r="A50" s="6">
        <v>47</v>
      </c>
      <c r="B50" s="6" t="s">
        <v>10</v>
      </c>
      <c r="C50" s="6" t="str">
        <f>"李婉"</f>
        <v>李婉</v>
      </c>
      <c r="D50" s="6" t="str">
        <f>"女"</f>
        <v>女</v>
      </c>
      <c r="E50" s="6" t="str">
        <f>"10960010217"</f>
        <v>10960010217</v>
      </c>
      <c r="F50" s="6">
        <v>2</v>
      </c>
      <c r="G50" s="6">
        <v>17</v>
      </c>
      <c r="H50" s="7" t="s">
        <v>11</v>
      </c>
      <c r="I50" s="7"/>
    </row>
    <row r="51" ht="14.25" spans="1:9">
      <c r="A51" s="6">
        <v>48</v>
      </c>
      <c r="B51" s="6" t="s">
        <v>10</v>
      </c>
      <c r="C51" s="6" t="str">
        <f>"牛飞翔"</f>
        <v>牛飞翔</v>
      </c>
      <c r="D51" s="6" t="str">
        <f>"男"</f>
        <v>男</v>
      </c>
      <c r="E51" s="6" t="str">
        <f>"10960010218"</f>
        <v>10960010218</v>
      </c>
      <c r="F51" s="6">
        <v>2</v>
      </c>
      <c r="G51" s="6">
        <v>18</v>
      </c>
      <c r="H51" s="7">
        <v>58.7</v>
      </c>
      <c r="I51" s="7"/>
    </row>
    <row r="52" ht="14.25" spans="1:9">
      <c r="A52" s="6">
        <v>49</v>
      </c>
      <c r="B52" s="6" t="s">
        <v>10</v>
      </c>
      <c r="C52" s="6" t="str">
        <f>"张淦"</f>
        <v>张淦</v>
      </c>
      <c r="D52" s="6" t="str">
        <f>"男"</f>
        <v>男</v>
      </c>
      <c r="E52" s="6" t="str">
        <f>"10960010219"</f>
        <v>10960010219</v>
      </c>
      <c r="F52" s="6">
        <v>2</v>
      </c>
      <c r="G52" s="6">
        <v>19</v>
      </c>
      <c r="H52" s="7">
        <v>69.4</v>
      </c>
      <c r="I52" s="7"/>
    </row>
    <row r="53" ht="14.25" spans="1:9">
      <c r="A53" s="6">
        <v>50</v>
      </c>
      <c r="B53" s="6" t="s">
        <v>10</v>
      </c>
      <c r="C53" s="6" t="str">
        <f>"刘海龙"</f>
        <v>刘海龙</v>
      </c>
      <c r="D53" s="6" t="str">
        <f>"男"</f>
        <v>男</v>
      </c>
      <c r="E53" s="6" t="str">
        <f>"10960010220"</f>
        <v>10960010220</v>
      </c>
      <c r="F53" s="6">
        <v>2</v>
      </c>
      <c r="G53" s="6">
        <v>20</v>
      </c>
      <c r="H53" s="7" t="s">
        <v>11</v>
      </c>
      <c r="I53" s="7"/>
    </row>
    <row r="54" ht="14.25" spans="1:9">
      <c r="A54" s="6">
        <v>51</v>
      </c>
      <c r="B54" s="6" t="s">
        <v>10</v>
      </c>
      <c r="C54" s="6" t="str">
        <f>"刘翔宇"</f>
        <v>刘翔宇</v>
      </c>
      <c r="D54" s="6" t="str">
        <f>"男"</f>
        <v>男</v>
      </c>
      <c r="E54" s="6" t="str">
        <f>"10960010221"</f>
        <v>10960010221</v>
      </c>
      <c r="F54" s="6">
        <v>2</v>
      </c>
      <c r="G54" s="6">
        <v>21</v>
      </c>
      <c r="H54" s="7">
        <v>53</v>
      </c>
      <c r="I54" s="7"/>
    </row>
    <row r="55" ht="14.25" spans="1:9">
      <c r="A55" s="6">
        <v>52</v>
      </c>
      <c r="B55" s="6" t="s">
        <v>10</v>
      </c>
      <c r="C55" s="6" t="str">
        <f>"冯琬迪"</f>
        <v>冯琬迪</v>
      </c>
      <c r="D55" s="6" t="str">
        <f>"女"</f>
        <v>女</v>
      </c>
      <c r="E55" s="6" t="str">
        <f>"10960010222"</f>
        <v>10960010222</v>
      </c>
      <c r="F55" s="6">
        <v>2</v>
      </c>
      <c r="G55" s="6">
        <v>22</v>
      </c>
      <c r="H55" s="7" t="s">
        <v>11</v>
      </c>
      <c r="I55" s="7"/>
    </row>
    <row r="56" ht="14.25" spans="1:9">
      <c r="A56" s="6">
        <v>53</v>
      </c>
      <c r="B56" s="6" t="s">
        <v>10</v>
      </c>
      <c r="C56" s="6" t="str">
        <f>"孙海龙"</f>
        <v>孙海龙</v>
      </c>
      <c r="D56" s="6" t="str">
        <f>"男"</f>
        <v>男</v>
      </c>
      <c r="E56" s="6" t="str">
        <f>"10960010223"</f>
        <v>10960010223</v>
      </c>
      <c r="F56" s="6">
        <v>2</v>
      </c>
      <c r="G56" s="6">
        <v>23</v>
      </c>
      <c r="H56" s="7">
        <v>61.2</v>
      </c>
      <c r="I56" s="7"/>
    </row>
    <row r="57" ht="14.25" spans="1:9">
      <c r="A57" s="6">
        <v>54</v>
      </c>
      <c r="B57" s="6" t="s">
        <v>10</v>
      </c>
      <c r="C57" s="6" t="str">
        <f>"白云倩"</f>
        <v>白云倩</v>
      </c>
      <c r="D57" s="6" t="str">
        <f>"女"</f>
        <v>女</v>
      </c>
      <c r="E57" s="6" t="str">
        <f>"10960010224"</f>
        <v>10960010224</v>
      </c>
      <c r="F57" s="6">
        <v>2</v>
      </c>
      <c r="G57" s="6">
        <v>24</v>
      </c>
      <c r="H57" s="7">
        <v>75.2</v>
      </c>
      <c r="I57" s="7"/>
    </row>
    <row r="58" ht="14.25" spans="1:9">
      <c r="A58" s="6">
        <v>55</v>
      </c>
      <c r="B58" s="6" t="s">
        <v>10</v>
      </c>
      <c r="C58" s="6" t="str">
        <f>"韩雪婷"</f>
        <v>韩雪婷</v>
      </c>
      <c r="D58" s="6" t="str">
        <f>"女"</f>
        <v>女</v>
      </c>
      <c r="E58" s="6" t="str">
        <f>"10960010225"</f>
        <v>10960010225</v>
      </c>
      <c r="F58" s="6">
        <v>2</v>
      </c>
      <c r="G58" s="6">
        <v>25</v>
      </c>
      <c r="H58" s="7" t="s">
        <v>11</v>
      </c>
      <c r="I58" s="7"/>
    </row>
    <row r="59" ht="14.25" spans="1:9">
      <c r="A59" s="6">
        <v>56</v>
      </c>
      <c r="B59" s="6" t="s">
        <v>10</v>
      </c>
      <c r="C59" s="6" t="str">
        <f>"吴鑫"</f>
        <v>吴鑫</v>
      </c>
      <c r="D59" s="6" t="str">
        <f>"男"</f>
        <v>男</v>
      </c>
      <c r="E59" s="6" t="str">
        <f>"10960010226"</f>
        <v>10960010226</v>
      </c>
      <c r="F59" s="6">
        <v>2</v>
      </c>
      <c r="G59" s="6">
        <v>26</v>
      </c>
      <c r="H59" s="7" t="s">
        <v>11</v>
      </c>
      <c r="I59" s="7"/>
    </row>
    <row r="60" ht="14.25" spans="1:9">
      <c r="A60" s="6">
        <v>57</v>
      </c>
      <c r="B60" s="6" t="s">
        <v>10</v>
      </c>
      <c r="C60" s="6" t="str">
        <f>"余放"</f>
        <v>余放</v>
      </c>
      <c r="D60" s="6" t="str">
        <f>"女"</f>
        <v>女</v>
      </c>
      <c r="E60" s="6" t="str">
        <f>"10960010227"</f>
        <v>10960010227</v>
      </c>
      <c r="F60" s="6">
        <v>2</v>
      </c>
      <c r="G60" s="6">
        <v>27</v>
      </c>
      <c r="H60" s="7">
        <v>63</v>
      </c>
      <c r="I60" s="7"/>
    </row>
    <row r="61" ht="14.25" spans="1:9">
      <c r="A61" s="6">
        <v>58</v>
      </c>
      <c r="B61" s="6" t="s">
        <v>10</v>
      </c>
      <c r="C61" s="6" t="str">
        <f>"汪良"</f>
        <v>汪良</v>
      </c>
      <c r="D61" s="6" t="str">
        <f t="shared" ref="D61:D68" si="1">"男"</f>
        <v>男</v>
      </c>
      <c r="E61" s="6" t="str">
        <f>"10960010228"</f>
        <v>10960010228</v>
      </c>
      <c r="F61" s="6">
        <v>2</v>
      </c>
      <c r="G61" s="6">
        <v>28</v>
      </c>
      <c r="H61" s="7">
        <v>55.3</v>
      </c>
      <c r="I61" s="7"/>
    </row>
    <row r="62" ht="14.25" spans="1:9">
      <c r="A62" s="6">
        <v>59</v>
      </c>
      <c r="B62" s="6" t="s">
        <v>10</v>
      </c>
      <c r="C62" s="6" t="str">
        <f>"牛柏钦"</f>
        <v>牛柏钦</v>
      </c>
      <c r="D62" s="6" t="str">
        <f t="shared" si="1"/>
        <v>男</v>
      </c>
      <c r="E62" s="6" t="str">
        <f>"10960010229"</f>
        <v>10960010229</v>
      </c>
      <c r="F62" s="6">
        <v>2</v>
      </c>
      <c r="G62" s="6">
        <v>29</v>
      </c>
      <c r="H62" s="7">
        <v>66.3</v>
      </c>
      <c r="I62" s="7"/>
    </row>
    <row r="63" ht="14.25" spans="1:9">
      <c r="A63" s="6">
        <v>60</v>
      </c>
      <c r="B63" s="6" t="s">
        <v>10</v>
      </c>
      <c r="C63" s="6" t="str">
        <f>"裴雪枫"</f>
        <v>裴雪枫</v>
      </c>
      <c r="D63" s="6" t="str">
        <f t="shared" si="1"/>
        <v>男</v>
      </c>
      <c r="E63" s="6" t="str">
        <f>"10960010230"</f>
        <v>10960010230</v>
      </c>
      <c r="F63" s="6">
        <v>2</v>
      </c>
      <c r="G63" s="6">
        <v>30</v>
      </c>
      <c r="H63" s="7">
        <v>51.3</v>
      </c>
      <c r="I63" s="7"/>
    </row>
    <row r="64" ht="14.25" spans="1:9">
      <c r="A64" s="6">
        <v>61</v>
      </c>
      <c r="B64" s="6" t="s">
        <v>10</v>
      </c>
      <c r="C64" s="6" t="str">
        <f>"刘保阳"</f>
        <v>刘保阳</v>
      </c>
      <c r="D64" s="6" t="str">
        <f t="shared" si="1"/>
        <v>男</v>
      </c>
      <c r="E64" s="6" t="str">
        <f>"10960010301"</f>
        <v>10960010301</v>
      </c>
      <c r="F64" s="6">
        <v>3</v>
      </c>
      <c r="G64" s="6">
        <v>1</v>
      </c>
      <c r="H64" s="7">
        <v>61</v>
      </c>
      <c r="I64" s="7"/>
    </row>
    <row r="65" ht="14.25" spans="1:9">
      <c r="A65" s="6">
        <v>62</v>
      </c>
      <c r="B65" s="6" t="s">
        <v>10</v>
      </c>
      <c r="C65" s="6" t="str">
        <f>"王松涛"</f>
        <v>王松涛</v>
      </c>
      <c r="D65" s="6" t="str">
        <f t="shared" si="1"/>
        <v>男</v>
      </c>
      <c r="E65" s="6" t="str">
        <f>"10960010302"</f>
        <v>10960010302</v>
      </c>
      <c r="F65" s="6">
        <v>3</v>
      </c>
      <c r="G65" s="6">
        <v>2</v>
      </c>
      <c r="H65" s="7" t="s">
        <v>11</v>
      </c>
      <c r="I65" s="7"/>
    </row>
    <row r="66" ht="14.25" spans="1:9">
      <c r="A66" s="6">
        <v>63</v>
      </c>
      <c r="B66" s="6" t="s">
        <v>10</v>
      </c>
      <c r="C66" s="6" t="str">
        <f>"吕宗坤"</f>
        <v>吕宗坤</v>
      </c>
      <c r="D66" s="6" t="str">
        <f t="shared" si="1"/>
        <v>男</v>
      </c>
      <c r="E66" s="6" t="str">
        <f>"10960010303"</f>
        <v>10960010303</v>
      </c>
      <c r="F66" s="6">
        <v>3</v>
      </c>
      <c r="G66" s="6">
        <v>3</v>
      </c>
      <c r="H66" s="7">
        <v>71.9</v>
      </c>
      <c r="I66" s="7"/>
    </row>
    <row r="67" s="2" customFormat="1" ht="14.25" spans="1:9">
      <c r="A67" s="6">
        <v>64</v>
      </c>
      <c r="B67" s="6" t="s">
        <v>10</v>
      </c>
      <c r="C67" s="6" t="str">
        <f>"周威翰"</f>
        <v>周威翰</v>
      </c>
      <c r="D67" s="6" t="str">
        <f t="shared" si="1"/>
        <v>男</v>
      </c>
      <c r="E67" s="6" t="str">
        <f>"10960010304"</f>
        <v>10960010304</v>
      </c>
      <c r="F67" s="6">
        <v>3</v>
      </c>
      <c r="G67" s="6">
        <v>4</v>
      </c>
      <c r="H67" s="7">
        <v>58.7</v>
      </c>
      <c r="I67" s="7"/>
    </row>
    <row r="68" ht="14.25" spans="1:9">
      <c r="A68" s="6">
        <v>65</v>
      </c>
      <c r="B68" s="6" t="s">
        <v>10</v>
      </c>
      <c r="C68" s="6" t="str">
        <f>"王晓阳"</f>
        <v>王晓阳</v>
      </c>
      <c r="D68" s="6" t="str">
        <f t="shared" si="1"/>
        <v>男</v>
      </c>
      <c r="E68" s="6" t="str">
        <f>"10960010305"</f>
        <v>10960010305</v>
      </c>
      <c r="F68" s="6">
        <v>3</v>
      </c>
      <c r="G68" s="6">
        <v>5</v>
      </c>
      <c r="H68" s="7" t="s">
        <v>11</v>
      </c>
      <c r="I68" s="7"/>
    </row>
    <row r="69" ht="14.25" spans="1:9">
      <c r="A69" s="6">
        <v>66</v>
      </c>
      <c r="B69" s="6" t="s">
        <v>10</v>
      </c>
      <c r="C69" s="6" t="str">
        <f>"郝紫楠"</f>
        <v>郝紫楠</v>
      </c>
      <c r="D69" s="6" t="str">
        <f>"女"</f>
        <v>女</v>
      </c>
      <c r="E69" s="6" t="str">
        <f>"10960010306"</f>
        <v>10960010306</v>
      </c>
      <c r="F69" s="6">
        <v>3</v>
      </c>
      <c r="G69" s="6">
        <v>6</v>
      </c>
      <c r="H69" s="7" t="s">
        <v>11</v>
      </c>
      <c r="I69" s="7"/>
    </row>
    <row r="70" ht="14.25" spans="1:9">
      <c r="A70" s="6">
        <v>67</v>
      </c>
      <c r="B70" s="6" t="s">
        <v>10</v>
      </c>
      <c r="C70" s="6" t="str">
        <f>"朱奉钦"</f>
        <v>朱奉钦</v>
      </c>
      <c r="D70" s="6" t="str">
        <f>"男"</f>
        <v>男</v>
      </c>
      <c r="E70" s="6" t="str">
        <f>"10960010307"</f>
        <v>10960010307</v>
      </c>
      <c r="F70" s="6">
        <v>3</v>
      </c>
      <c r="G70" s="6">
        <v>7</v>
      </c>
      <c r="H70" s="7">
        <v>73.8</v>
      </c>
      <c r="I70" s="7"/>
    </row>
    <row r="71" ht="14.25" spans="1:9">
      <c r="A71" s="6">
        <v>68</v>
      </c>
      <c r="B71" s="6" t="s">
        <v>10</v>
      </c>
      <c r="C71" s="6" t="str">
        <f>"张逸飞"</f>
        <v>张逸飞</v>
      </c>
      <c r="D71" s="6" t="str">
        <f>"男"</f>
        <v>男</v>
      </c>
      <c r="E71" s="6" t="str">
        <f>"10960010308"</f>
        <v>10960010308</v>
      </c>
      <c r="F71" s="6">
        <v>3</v>
      </c>
      <c r="G71" s="6">
        <v>8</v>
      </c>
      <c r="H71" s="7">
        <v>59.6</v>
      </c>
      <c r="I71" s="7"/>
    </row>
    <row r="72" ht="14.25" spans="1:9">
      <c r="A72" s="6">
        <v>69</v>
      </c>
      <c r="B72" s="6" t="s">
        <v>10</v>
      </c>
      <c r="C72" s="6" t="str">
        <f>"廖力行"</f>
        <v>廖力行</v>
      </c>
      <c r="D72" s="6" t="str">
        <f>"女"</f>
        <v>女</v>
      </c>
      <c r="E72" s="6" t="str">
        <f>"10960010309"</f>
        <v>10960010309</v>
      </c>
      <c r="F72" s="6">
        <v>3</v>
      </c>
      <c r="G72" s="6">
        <v>9</v>
      </c>
      <c r="H72" s="7">
        <v>62.3</v>
      </c>
      <c r="I72" s="7"/>
    </row>
    <row r="73" ht="14.25" spans="1:9">
      <c r="A73" s="6">
        <v>70</v>
      </c>
      <c r="B73" s="6" t="s">
        <v>10</v>
      </c>
      <c r="C73" s="6" t="str">
        <f>"王浩"</f>
        <v>王浩</v>
      </c>
      <c r="D73" s="6" t="str">
        <f>"男"</f>
        <v>男</v>
      </c>
      <c r="E73" s="6" t="str">
        <f>"10960010310"</f>
        <v>10960010310</v>
      </c>
      <c r="F73" s="6">
        <v>3</v>
      </c>
      <c r="G73" s="6">
        <v>10</v>
      </c>
      <c r="H73" s="7">
        <v>30</v>
      </c>
      <c r="I73" s="7"/>
    </row>
    <row r="74" ht="14.25" spans="1:9">
      <c r="A74" s="6">
        <v>71</v>
      </c>
      <c r="B74" s="6" t="s">
        <v>10</v>
      </c>
      <c r="C74" s="6" t="str">
        <f>"郭丰源"</f>
        <v>郭丰源</v>
      </c>
      <c r="D74" s="6" t="str">
        <f>"女"</f>
        <v>女</v>
      </c>
      <c r="E74" s="6" t="str">
        <f>"10960010311"</f>
        <v>10960010311</v>
      </c>
      <c r="F74" s="6">
        <v>3</v>
      </c>
      <c r="G74" s="6">
        <v>11</v>
      </c>
      <c r="H74" s="7" t="s">
        <v>11</v>
      </c>
      <c r="I74" s="7"/>
    </row>
    <row r="75" ht="14.25" spans="1:9">
      <c r="A75" s="6">
        <v>72</v>
      </c>
      <c r="B75" s="6" t="s">
        <v>10</v>
      </c>
      <c r="C75" s="6" t="str">
        <f>"王燕飞"</f>
        <v>王燕飞</v>
      </c>
      <c r="D75" s="6" t="str">
        <f>"女"</f>
        <v>女</v>
      </c>
      <c r="E75" s="6" t="str">
        <f>"10960010312"</f>
        <v>10960010312</v>
      </c>
      <c r="F75" s="6">
        <v>3</v>
      </c>
      <c r="G75" s="6">
        <v>12</v>
      </c>
      <c r="H75" s="7">
        <v>60.5</v>
      </c>
      <c r="I75" s="7"/>
    </row>
    <row r="76" ht="14.25" spans="1:9">
      <c r="A76" s="6">
        <v>73</v>
      </c>
      <c r="B76" s="6" t="s">
        <v>10</v>
      </c>
      <c r="C76" s="6" t="str">
        <f>"程帅"</f>
        <v>程帅</v>
      </c>
      <c r="D76" s="6" t="str">
        <f>"男"</f>
        <v>男</v>
      </c>
      <c r="E76" s="6" t="str">
        <f>"10960010313"</f>
        <v>10960010313</v>
      </c>
      <c r="F76" s="6">
        <v>3</v>
      </c>
      <c r="G76" s="6">
        <v>13</v>
      </c>
      <c r="H76" s="7">
        <v>48.6</v>
      </c>
      <c r="I76" s="7"/>
    </row>
    <row r="77" ht="14.25" spans="1:9">
      <c r="A77" s="6">
        <v>74</v>
      </c>
      <c r="B77" s="6" t="s">
        <v>10</v>
      </c>
      <c r="C77" s="6" t="str">
        <f>"李志毅"</f>
        <v>李志毅</v>
      </c>
      <c r="D77" s="6" t="str">
        <f>"男"</f>
        <v>男</v>
      </c>
      <c r="E77" s="6" t="str">
        <f>"10960010314"</f>
        <v>10960010314</v>
      </c>
      <c r="F77" s="6">
        <v>3</v>
      </c>
      <c r="G77" s="6">
        <v>14</v>
      </c>
      <c r="H77" s="7" t="s">
        <v>11</v>
      </c>
      <c r="I77" s="7"/>
    </row>
    <row r="78" ht="14.25" spans="1:9">
      <c r="A78" s="6">
        <v>75</v>
      </c>
      <c r="B78" s="6" t="s">
        <v>10</v>
      </c>
      <c r="C78" s="6" t="str">
        <f>"姚远"</f>
        <v>姚远</v>
      </c>
      <c r="D78" s="6" t="str">
        <f>"男"</f>
        <v>男</v>
      </c>
      <c r="E78" s="6" t="str">
        <f>"10960010315"</f>
        <v>10960010315</v>
      </c>
      <c r="F78" s="6">
        <v>3</v>
      </c>
      <c r="G78" s="6">
        <v>15</v>
      </c>
      <c r="H78" s="7">
        <v>50.3</v>
      </c>
      <c r="I78" s="7"/>
    </row>
    <row r="79" ht="14.25" spans="1:9">
      <c r="A79" s="6">
        <v>76</v>
      </c>
      <c r="B79" s="6" t="s">
        <v>10</v>
      </c>
      <c r="C79" s="6" t="str">
        <f>"韦茜文"</f>
        <v>韦茜文</v>
      </c>
      <c r="D79" s="6" t="str">
        <f>"男"</f>
        <v>男</v>
      </c>
      <c r="E79" s="6" t="str">
        <f>"10960010316"</f>
        <v>10960010316</v>
      </c>
      <c r="F79" s="6">
        <v>3</v>
      </c>
      <c r="G79" s="6">
        <v>16</v>
      </c>
      <c r="H79" s="7">
        <v>69.5</v>
      </c>
      <c r="I79" s="7"/>
    </row>
    <row r="80" ht="14.25" spans="1:9">
      <c r="A80" s="6">
        <v>77</v>
      </c>
      <c r="B80" s="6" t="s">
        <v>10</v>
      </c>
      <c r="C80" s="6" t="str">
        <f>"曲方果"</f>
        <v>曲方果</v>
      </c>
      <c r="D80" s="6" t="str">
        <f>"男"</f>
        <v>男</v>
      </c>
      <c r="E80" s="6" t="str">
        <f>"10960010317"</f>
        <v>10960010317</v>
      </c>
      <c r="F80" s="6">
        <v>3</v>
      </c>
      <c r="G80" s="6">
        <v>17</v>
      </c>
      <c r="H80" s="7" t="s">
        <v>11</v>
      </c>
      <c r="I80" s="7"/>
    </row>
    <row r="81" ht="14.25" spans="1:9">
      <c r="A81" s="6">
        <v>78</v>
      </c>
      <c r="B81" s="6" t="s">
        <v>10</v>
      </c>
      <c r="C81" s="6" t="str">
        <f>"张琼"</f>
        <v>张琼</v>
      </c>
      <c r="D81" s="6" t="str">
        <f>"女"</f>
        <v>女</v>
      </c>
      <c r="E81" s="6" t="str">
        <f>"10960010318"</f>
        <v>10960010318</v>
      </c>
      <c r="F81" s="6">
        <v>3</v>
      </c>
      <c r="G81" s="6">
        <v>18</v>
      </c>
      <c r="H81" s="7">
        <v>77.5</v>
      </c>
      <c r="I81" s="7"/>
    </row>
    <row r="82" ht="14.25" spans="1:9">
      <c r="A82" s="6">
        <v>79</v>
      </c>
      <c r="B82" s="6" t="s">
        <v>10</v>
      </c>
      <c r="C82" s="6" t="str">
        <f>"王晓辉"</f>
        <v>王晓辉</v>
      </c>
      <c r="D82" s="6" t="str">
        <f>"男"</f>
        <v>男</v>
      </c>
      <c r="E82" s="6" t="str">
        <f>"10960010319"</f>
        <v>10960010319</v>
      </c>
      <c r="F82" s="6">
        <v>3</v>
      </c>
      <c r="G82" s="6">
        <v>19</v>
      </c>
      <c r="H82" s="7">
        <v>67</v>
      </c>
      <c r="I82" s="7"/>
    </row>
    <row r="83" ht="14.25" spans="1:9">
      <c r="A83" s="6">
        <v>80</v>
      </c>
      <c r="B83" s="6" t="s">
        <v>10</v>
      </c>
      <c r="C83" s="6" t="str">
        <f>"涂梁圆"</f>
        <v>涂梁圆</v>
      </c>
      <c r="D83" s="6" t="str">
        <f>"女"</f>
        <v>女</v>
      </c>
      <c r="E83" s="6" t="str">
        <f>"10960010320"</f>
        <v>10960010320</v>
      </c>
      <c r="F83" s="6">
        <v>3</v>
      </c>
      <c r="G83" s="6">
        <v>20</v>
      </c>
      <c r="H83" s="7">
        <v>66</v>
      </c>
      <c r="I83" s="7"/>
    </row>
    <row r="84" ht="14.25" spans="1:9">
      <c r="A84" s="6">
        <v>81</v>
      </c>
      <c r="B84" s="6" t="s">
        <v>10</v>
      </c>
      <c r="C84" s="6" t="str">
        <f>"骞绍婉"</f>
        <v>骞绍婉</v>
      </c>
      <c r="D84" s="6" t="str">
        <f>"女"</f>
        <v>女</v>
      </c>
      <c r="E84" s="6" t="str">
        <f>"10960010321"</f>
        <v>10960010321</v>
      </c>
      <c r="F84" s="6">
        <v>3</v>
      </c>
      <c r="G84" s="6">
        <v>21</v>
      </c>
      <c r="H84" s="7">
        <v>68.3</v>
      </c>
      <c r="I84" s="7"/>
    </row>
    <row r="85" ht="14.25" spans="1:9">
      <c r="A85" s="6">
        <v>82</v>
      </c>
      <c r="B85" s="6" t="s">
        <v>10</v>
      </c>
      <c r="C85" s="6" t="str">
        <f>"刘伟"</f>
        <v>刘伟</v>
      </c>
      <c r="D85" s="6" t="str">
        <f>"女"</f>
        <v>女</v>
      </c>
      <c r="E85" s="6" t="str">
        <f>"10960010322"</f>
        <v>10960010322</v>
      </c>
      <c r="F85" s="6">
        <v>3</v>
      </c>
      <c r="G85" s="6">
        <v>22</v>
      </c>
      <c r="H85" s="7">
        <v>63.3</v>
      </c>
      <c r="I85" s="7"/>
    </row>
    <row r="86" ht="14.25" spans="1:9">
      <c r="A86" s="6">
        <v>83</v>
      </c>
      <c r="B86" s="6" t="s">
        <v>10</v>
      </c>
      <c r="C86" s="6" t="str">
        <f>"刘蒙恩"</f>
        <v>刘蒙恩</v>
      </c>
      <c r="D86" s="6" t="str">
        <f>"男"</f>
        <v>男</v>
      </c>
      <c r="E86" s="6" t="str">
        <f>"10960010323"</f>
        <v>10960010323</v>
      </c>
      <c r="F86" s="6">
        <v>3</v>
      </c>
      <c r="G86" s="6">
        <v>23</v>
      </c>
      <c r="H86" s="7">
        <v>75.6</v>
      </c>
      <c r="I86" s="7"/>
    </row>
    <row r="87" ht="14.25" spans="1:9">
      <c r="A87" s="6">
        <v>84</v>
      </c>
      <c r="B87" s="6" t="s">
        <v>10</v>
      </c>
      <c r="C87" s="6" t="str">
        <f>"孙红叶"</f>
        <v>孙红叶</v>
      </c>
      <c r="D87" s="6" t="str">
        <f>"女"</f>
        <v>女</v>
      </c>
      <c r="E87" s="6" t="str">
        <f>"10960010324"</f>
        <v>10960010324</v>
      </c>
      <c r="F87" s="6">
        <v>3</v>
      </c>
      <c r="G87" s="6">
        <v>24</v>
      </c>
      <c r="H87" s="7" t="s">
        <v>11</v>
      </c>
      <c r="I87" s="7"/>
    </row>
    <row r="88" ht="14.25" spans="1:9">
      <c r="A88" s="6">
        <v>85</v>
      </c>
      <c r="B88" s="6" t="s">
        <v>10</v>
      </c>
      <c r="C88" s="6" t="str">
        <f>"童盼"</f>
        <v>童盼</v>
      </c>
      <c r="D88" s="6" t="str">
        <f t="shared" ref="D88:D94" si="2">"男"</f>
        <v>男</v>
      </c>
      <c r="E88" s="6" t="str">
        <f>"10960010325"</f>
        <v>10960010325</v>
      </c>
      <c r="F88" s="6">
        <v>3</v>
      </c>
      <c r="G88" s="6">
        <v>25</v>
      </c>
      <c r="H88" s="7" t="s">
        <v>11</v>
      </c>
      <c r="I88" s="7"/>
    </row>
    <row r="89" ht="14.25" spans="1:9">
      <c r="A89" s="6">
        <v>86</v>
      </c>
      <c r="B89" s="6" t="s">
        <v>10</v>
      </c>
      <c r="C89" s="6" t="str">
        <f>"丁帅"</f>
        <v>丁帅</v>
      </c>
      <c r="D89" s="6" t="str">
        <f t="shared" si="2"/>
        <v>男</v>
      </c>
      <c r="E89" s="6" t="str">
        <f>"10960010326"</f>
        <v>10960010326</v>
      </c>
      <c r="F89" s="6">
        <v>3</v>
      </c>
      <c r="G89" s="6">
        <v>26</v>
      </c>
      <c r="H89" s="7">
        <v>62.9</v>
      </c>
      <c r="I89" s="7"/>
    </row>
    <row r="90" ht="14.25" spans="1:9">
      <c r="A90" s="6">
        <v>87</v>
      </c>
      <c r="B90" s="6" t="s">
        <v>10</v>
      </c>
      <c r="C90" s="6" t="str">
        <f>"王建栋"</f>
        <v>王建栋</v>
      </c>
      <c r="D90" s="6" t="str">
        <f t="shared" si="2"/>
        <v>男</v>
      </c>
      <c r="E90" s="6" t="str">
        <f>"10960010327"</f>
        <v>10960010327</v>
      </c>
      <c r="F90" s="6">
        <v>3</v>
      </c>
      <c r="G90" s="6">
        <v>27</v>
      </c>
      <c r="H90" s="7">
        <v>66.2</v>
      </c>
      <c r="I90" s="7"/>
    </row>
    <row r="91" ht="14.25" spans="1:9">
      <c r="A91" s="6">
        <v>88</v>
      </c>
      <c r="B91" s="6" t="s">
        <v>10</v>
      </c>
      <c r="C91" s="6" t="str">
        <f>"孙文豪"</f>
        <v>孙文豪</v>
      </c>
      <c r="D91" s="6" t="str">
        <f t="shared" si="2"/>
        <v>男</v>
      </c>
      <c r="E91" s="6" t="str">
        <f>"10960010328"</f>
        <v>10960010328</v>
      </c>
      <c r="F91" s="6">
        <v>3</v>
      </c>
      <c r="G91" s="6">
        <v>28</v>
      </c>
      <c r="H91" s="7" t="s">
        <v>11</v>
      </c>
      <c r="I91" s="7"/>
    </row>
    <row r="92" ht="14.25" spans="1:9">
      <c r="A92" s="6">
        <v>89</v>
      </c>
      <c r="B92" s="6" t="s">
        <v>10</v>
      </c>
      <c r="C92" s="6" t="str">
        <f>"王忍"</f>
        <v>王忍</v>
      </c>
      <c r="D92" s="6" t="str">
        <f t="shared" si="2"/>
        <v>男</v>
      </c>
      <c r="E92" s="6" t="str">
        <f>"10960010329"</f>
        <v>10960010329</v>
      </c>
      <c r="F92" s="6">
        <v>3</v>
      </c>
      <c r="G92" s="6">
        <v>29</v>
      </c>
      <c r="H92" s="7">
        <v>61.5</v>
      </c>
      <c r="I92" s="7"/>
    </row>
    <row r="93" ht="14.25" spans="1:9">
      <c r="A93" s="6">
        <v>90</v>
      </c>
      <c r="B93" s="6" t="s">
        <v>10</v>
      </c>
      <c r="C93" s="6" t="str">
        <f>"王悦"</f>
        <v>王悦</v>
      </c>
      <c r="D93" s="6" t="str">
        <f t="shared" si="2"/>
        <v>男</v>
      </c>
      <c r="E93" s="6" t="str">
        <f>"10960010330"</f>
        <v>10960010330</v>
      </c>
      <c r="F93" s="6">
        <v>3</v>
      </c>
      <c r="G93" s="6">
        <v>30</v>
      </c>
      <c r="H93" s="7">
        <v>51.9</v>
      </c>
      <c r="I93" s="7"/>
    </row>
    <row r="94" ht="14.25" spans="1:9">
      <c r="A94" s="6">
        <v>91</v>
      </c>
      <c r="B94" s="6" t="s">
        <v>10</v>
      </c>
      <c r="C94" s="6" t="str">
        <f>"刘铭"</f>
        <v>刘铭</v>
      </c>
      <c r="D94" s="6" t="str">
        <f t="shared" si="2"/>
        <v>男</v>
      </c>
      <c r="E94" s="6" t="str">
        <f>"10960010401"</f>
        <v>10960010401</v>
      </c>
      <c r="F94" s="6">
        <v>4</v>
      </c>
      <c r="G94" s="6">
        <v>1</v>
      </c>
      <c r="H94" s="7">
        <v>56.6</v>
      </c>
      <c r="I94" s="7"/>
    </row>
    <row r="95" ht="14.25" spans="1:9">
      <c r="A95" s="6">
        <v>92</v>
      </c>
      <c r="B95" s="6" t="s">
        <v>10</v>
      </c>
      <c r="C95" s="6" t="str">
        <f>"齐立艳"</f>
        <v>齐立艳</v>
      </c>
      <c r="D95" s="6" t="str">
        <f>"女"</f>
        <v>女</v>
      </c>
      <c r="E95" s="6" t="str">
        <f>"10960010402"</f>
        <v>10960010402</v>
      </c>
      <c r="F95" s="6">
        <v>4</v>
      </c>
      <c r="G95" s="6">
        <v>2</v>
      </c>
      <c r="H95" s="7">
        <v>65.5</v>
      </c>
      <c r="I95" s="7"/>
    </row>
    <row r="96" ht="14.25" spans="1:9">
      <c r="A96" s="6">
        <v>93</v>
      </c>
      <c r="B96" s="6" t="s">
        <v>10</v>
      </c>
      <c r="C96" s="6" t="str">
        <f>"叶森"</f>
        <v>叶森</v>
      </c>
      <c r="D96" s="6" t="str">
        <f>"男"</f>
        <v>男</v>
      </c>
      <c r="E96" s="6" t="str">
        <f>"10960010403"</f>
        <v>10960010403</v>
      </c>
      <c r="F96" s="6">
        <v>4</v>
      </c>
      <c r="G96" s="6">
        <v>3</v>
      </c>
      <c r="H96" s="7" t="s">
        <v>11</v>
      </c>
      <c r="I96" s="7"/>
    </row>
    <row r="97" ht="14.25" spans="1:9">
      <c r="A97" s="6">
        <v>94</v>
      </c>
      <c r="B97" s="6" t="s">
        <v>10</v>
      </c>
      <c r="C97" s="6" t="str">
        <f>"刘凌毓"</f>
        <v>刘凌毓</v>
      </c>
      <c r="D97" s="6" t="str">
        <f>"女"</f>
        <v>女</v>
      </c>
      <c r="E97" s="6" t="str">
        <f>"10960010404"</f>
        <v>10960010404</v>
      </c>
      <c r="F97" s="6">
        <v>4</v>
      </c>
      <c r="G97" s="6">
        <v>4</v>
      </c>
      <c r="H97" s="7">
        <v>64.9</v>
      </c>
      <c r="I97" s="7"/>
    </row>
    <row r="98" ht="14.25" spans="1:9">
      <c r="A98" s="6">
        <v>95</v>
      </c>
      <c r="B98" s="6" t="s">
        <v>10</v>
      </c>
      <c r="C98" s="6" t="str">
        <f>"孙航"</f>
        <v>孙航</v>
      </c>
      <c r="D98" s="6" t="str">
        <f>"男"</f>
        <v>男</v>
      </c>
      <c r="E98" s="6" t="str">
        <f>"10960010405"</f>
        <v>10960010405</v>
      </c>
      <c r="F98" s="6">
        <v>4</v>
      </c>
      <c r="G98" s="6">
        <v>5</v>
      </c>
      <c r="H98" s="7">
        <v>69.2</v>
      </c>
      <c r="I98" s="7"/>
    </row>
    <row r="99" ht="14.25" spans="1:9">
      <c r="A99" s="6">
        <v>96</v>
      </c>
      <c r="B99" s="6" t="s">
        <v>10</v>
      </c>
      <c r="C99" s="6" t="str">
        <f>"任莎莎"</f>
        <v>任莎莎</v>
      </c>
      <c r="D99" s="6" t="str">
        <f>"女"</f>
        <v>女</v>
      </c>
      <c r="E99" s="6" t="str">
        <f>"10960010406"</f>
        <v>10960010406</v>
      </c>
      <c r="F99" s="6">
        <v>4</v>
      </c>
      <c r="G99" s="6">
        <v>6</v>
      </c>
      <c r="H99" s="7" t="s">
        <v>11</v>
      </c>
      <c r="I99" s="7"/>
    </row>
    <row r="100" ht="14.25" spans="1:9">
      <c r="A100" s="6">
        <v>97</v>
      </c>
      <c r="B100" s="6" t="s">
        <v>10</v>
      </c>
      <c r="C100" s="6" t="str">
        <f>"孙崇阳"</f>
        <v>孙崇阳</v>
      </c>
      <c r="D100" s="6" t="str">
        <f>"男"</f>
        <v>男</v>
      </c>
      <c r="E100" s="6" t="str">
        <f>"10960010407"</f>
        <v>10960010407</v>
      </c>
      <c r="F100" s="6">
        <v>4</v>
      </c>
      <c r="G100" s="6">
        <v>7</v>
      </c>
      <c r="H100" s="7" t="s">
        <v>11</v>
      </c>
      <c r="I100" s="7"/>
    </row>
    <row r="101" ht="14.25" spans="1:9">
      <c r="A101" s="6">
        <v>98</v>
      </c>
      <c r="B101" s="6" t="s">
        <v>10</v>
      </c>
      <c r="C101" s="6" t="str">
        <f>"王一鸣"</f>
        <v>王一鸣</v>
      </c>
      <c r="D101" s="6" t="str">
        <f>"男"</f>
        <v>男</v>
      </c>
      <c r="E101" s="6" t="str">
        <f>"10960010408"</f>
        <v>10960010408</v>
      </c>
      <c r="F101" s="6">
        <v>4</v>
      </c>
      <c r="G101" s="6">
        <v>8</v>
      </c>
      <c r="H101" s="7">
        <v>68.6</v>
      </c>
      <c r="I101" s="7"/>
    </row>
    <row r="102" s="2" customFormat="1" ht="14.25" spans="1:9">
      <c r="A102" s="6">
        <v>99</v>
      </c>
      <c r="B102" s="6" t="s">
        <v>10</v>
      </c>
      <c r="C102" s="6" t="str">
        <f>"黄喆"</f>
        <v>黄喆</v>
      </c>
      <c r="D102" s="6" t="str">
        <f>"男"</f>
        <v>男</v>
      </c>
      <c r="E102" s="6" t="str">
        <f>"10960010409"</f>
        <v>10960010409</v>
      </c>
      <c r="F102" s="6">
        <v>4</v>
      </c>
      <c r="G102" s="6">
        <v>9</v>
      </c>
      <c r="H102" s="7">
        <v>55.7</v>
      </c>
      <c r="I102" s="7"/>
    </row>
    <row r="103" ht="14.25" spans="1:9">
      <c r="A103" s="6">
        <v>100</v>
      </c>
      <c r="B103" s="6" t="s">
        <v>10</v>
      </c>
      <c r="C103" s="6" t="str">
        <f>"张智颖"</f>
        <v>张智颖</v>
      </c>
      <c r="D103" s="6" t="str">
        <f>"男"</f>
        <v>男</v>
      </c>
      <c r="E103" s="6" t="str">
        <f>"10960010410"</f>
        <v>10960010410</v>
      </c>
      <c r="F103" s="6">
        <v>4</v>
      </c>
      <c r="G103" s="6">
        <v>10</v>
      </c>
      <c r="H103" s="7">
        <v>73.6</v>
      </c>
      <c r="I103" s="7"/>
    </row>
    <row r="104" ht="14.25" spans="1:9">
      <c r="A104" s="6">
        <v>101</v>
      </c>
      <c r="B104" s="6" t="s">
        <v>10</v>
      </c>
      <c r="C104" s="6" t="str">
        <f>"杨爽"</f>
        <v>杨爽</v>
      </c>
      <c r="D104" s="6" t="str">
        <f>"女"</f>
        <v>女</v>
      </c>
      <c r="E104" s="6" t="str">
        <f>"10960010411"</f>
        <v>10960010411</v>
      </c>
      <c r="F104" s="6">
        <v>4</v>
      </c>
      <c r="G104" s="6">
        <v>11</v>
      </c>
      <c r="H104" s="7">
        <v>56.8</v>
      </c>
      <c r="I104" s="7"/>
    </row>
    <row r="105" ht="14.25" spans="1:9">
      <c r="A105" s="6">
        <v>102</v>
      </c>
      <c r="B105" s="6" t="s">
        <v>10</v>
      </c>
      <c r="C105" s="6" t="str">
        <f>"王瑜"</f>
        <v>王瑜</v>
      </c>
      <c r="D105" s="6" t="str">
        <f>"女"</f>
        <v>女</v>
      </c>
      <c r="E105" s="6" t="str">
        <f>"10960010412"</f>
        <v>10960010412</v>
      </c>
      <c r="F105" s="6">
        <v>4</v>
      </c>
      <c r="G105" s="6">
        <v>12</v>
      </c>
      <c r="H105" s="7" t="s">
        <v>11</v>
      </c>
      <c r="I105" s="7"/>
    </row>
    <row r="106" ht="14.25" spans="1:9">
      <c r="A106" s="6">
        <v>103</v>
      </c>
      <c r="B106" s="6" t="s">
        <v>10</v>
      </c>
      <c r="C106" s="6" t="str">
        <f>"周洋"</f>
        <v>周洋</v>
      </c>
      <c r="D106" s="6" t="str">
        <f>"男"</f>
        <v>男</v>
      </c>
      <c r="E106" s="6" t="str">
        <f>"10960010413"</f>
        <v>10960010413</v>
      </c>
      <c r="F106" s="6">
        <v>4</v>
      </c>
      <c r="G106" s="6">
        <v>13</v>
      </c>
      <c r="H106" s="7">
        <v>39.9</v>
      </c>
      <c r="I106" s="7"/>
    </row>
    <row r="107" ht="14.25" spans="1:9">
      <c r="A107" s="6">
        <v>104</v>
      </c>
      <c r="B107" s="6" t="s">
        <v>10</v>
      </c>
      <c r="C107" s="6" t="str">
        <f>"姜森"</f>
        <v>姜森</v>
      </c>
      <c r="D107" s="6" t="str">
        <f>"男"</f>
        <v>男</v>
      </c>
      <c r="E107" s="6" t="str">
        <f>"10960010414"</f>
        <v>10960010414</v>
      </c>
      <c r="F107" s="6">
        <v>4</v>
      </c>
      <c r="G107" s="6">
        <v>14</v>
      </c>
      <c r="H107" s="7">
        <v>58</v>
      </c>
      <c r="I107" s="7"/>
    </row>
    <row r="108" ht="14.25" spans="1:9">
      <c r="A108" s="6">
        <v>105</v>
      </c>
      <c r="B108" s="6" t="s">
        <v>10</v>
      </c>
      <c r="C108" s="6" t="str">
        <f>"王凯"</f>
        <v>王凯</v>
      </c>
      <c r="D108" s="6" t="str">
        <f>"男"</f>
        <v>男</v>
      </c>
      <c r="E108" s="6" t="str">
        <f>"10960010415"</f>
        <v>10960010415</v>
      </c>
      <c r="F108" s="6">
        <v>4</v>
      </c>
      <c r="G108" s="6">
        <v>15</v>
      </c>
      <c r="H108" s="7" t="s">
        <v>11</v>
      </c>
      <c r="I108" s="7"/>
    </row>
    <row r="109" ht="14.25" spans="1:9">
      <c r="A109" s="6">
        <v>106</v>
      </c>
      <c r="B109" s="6" t="s">
        <v>10</v>
      </c>
      <c r="C109" s="6" t="str">
        <f>"韩梦"</f>
        <v>韩梦</v>
      </c>
      <c r="D109" s="6" t="str">
        <f>"女"</f>
        <v>女</v>
      </c>
      <c r="E109" s="6" t="str">
        <f>"10960010416"</f>
        <v>10960010416</v>
      </c>
      <c r="F109" s="6">
        <v>4</v>
      </c>
      <c r="G109" s="6">
        <v>16</v>
      </c>
      <c r="H109" s="7" t="s">
        <v>11</v>
      </c>
      <c r="I109" s="7"/>
    </row>
    <row r="110" ht="14.25" spans="1:9">
      <c r="A110" s="6">
        <v>107</v>
      </c>
      <c r="B110" s="6" t="s">
        <v>10</v>
      </c>
      <c r="C110" s="6" t="str">
        <f>"王克念"</f>
        <v>王克念</v>
      </c>
      <c r="D110" s="6" t="str">
        <f>"男"</f>
        <v>男</v>
      </c>
      <c r="E110" s="6" t="str">
        <f>"10960010417"</f>
        <v>10960010417</v>
      </c>
      <c r="F110" s="6">
        <v>4</v>
      </c>
      <c r="G110" s="6">
        <v>17</v>
      </c>
      <c r="H110" s="7" t="s">
        <v>11</v>
      </c>
      <c r="I110" s="7"/>
    </row>
    <row r="111" ht="14.25" spans="1:9">
      <c r="A111" s="6">
        <v>108</v>
      </c>
      <c r="B111" s="6" t="s">
        <v>10</v>
      </c>
      <c r="C111" s="6" t="str">
        <f>"刘畅"</f>
        <v>刘畅</v>
      </c>
      <c r="D111" s="6" t="str">
        <f>"男"</f>
        <v>男</v>
      </c>
      <c r="E111" s="6" t="str">
        <f>"10960010418"</f>
        <v>10960010418</v>
      </c>
      <c r="F111" s="6">
        <v>4</v>
      </c>
      <c r="G111" s="6">
        <v>18</v>
      </c>
      <c r="H111" s="7">
        <v>69.6</v>
      </c>
      <c r="I111" s="7"/>
    </row>
    <row r="112" ht="14.25" spans="1:9">
      <c r="A112" s="8">
        <v>109</v>
      </c>
      <c r="B112" s="8" t="s">
        <v>10</v>
      </c>
      <c r="C112" s="8" t="str">
        <f>"鲁润潮"</f>
        <v>鲁润潮</v>
      </c>
      <c r="D112" s="8" t="str">
        <f>"男"</f>
        <v>男</v>
      </c>
      <c r="E112" s="8" t="str">
        <f>"10960010419"</f>
        <v>10960010419</v>
      </c>
      <c r="F112" s="8">
        <v>4</v>
      </c>
      <c r="G112" s="8">
        <v>19</v>
      </c>
      <c r="H112" s="9">
        <v>79.9</v>
      </c>
      <c r="I112" s="9"/>
    </row>
    <row r="113" ht="14.25" spans="1:9">
      <c r="A113" s="6">
        <v>110</v>
      </c>
      <c r="B113" s="6" t="s">
        <v>10</v>
      </c>
      <c r="C113" s="6" t="str">
        <f>"陈亚迪"</f>
        <v>陈亚迪</v>
      </c>
      <c r="D113" s="6" t="str">
        <f>"女"</f>
        <v>女</v>
      </c>
      <c r="E113" s="6" t="str">
        <f>"10960010420"</f>
        <v>10960010420</v>
      </c>
      <c r="F113" s="6">
        <v>4</v>
      </c>
      <c r="G113" s="6">
        <v>20</v>
      </c>
      <c r="H113" s="7">
        <v>65.3</v>
      </c>
      <c r="I113" s="7"/>
    </row>
    <row r="114" ht="14.25" spans="1:9">
      <c r="A114" s="6">
        <v>111</v>
      </c>
      <c r="B114" s="6" t="s">
        <v>10</v>
      </c>
      <c r="C114" s="6" t="str">
        <f>"刘峥"</f>
        <v>刘峥</v>
      </c>
      <c r="D114" s="6" t="str">
        <f>"女"</f>
        <v>女</v>
      </c>
      <c r="E114" s="6" t="str">
        <f>"10960010421"</f>
        <v>10960010421</v>
      </c>
      <c r="F114" s="6">
        <v>4</v>
      </c>
      <c r="G114" s="6">
        <v>21</v>
      </c>
      <c r="H114" s="7">
        <v>66.6</v>
      </c>
      <c r="I114" s="7"/>
    </row>
    <row r="115" ht="14.25" spans="1:9">
      <c r="A115" s="6">
        <v>112</v>
      </c>
      <c r="B115" s="6" t="s">
        <v>10</v>
      </c>
      <c r="C115" s="6" t="str">
        <f>"石香润"</f>
        <v>石香润</v>
      </c>
      <c r="D115" s="6" t="str">
        <f>"女"</f>
        <v>女</v>
      </c>
      <c r="E115" s="6" t="str">
        <f>"10960010422"</f>
        <v>10960010422</v>
      </c>
      <c r="F115" s="6">
        <v>4</v>
      </c>
      <c r="G115" s="6">
        <v>22</v>
      </c>
      <c r="H115" s="7">
        <v>68.9</v>
      </c>
      <c r="I115" s="7"/>
    </row>
    <row r="116" ht="14.25" spans="1:9">
      <c r="A116" s="6">
        <v>113</v>
      </c>
      <c r="B116" s="6" t="s">
        <v>10</v>
      </c>
      <c r="C116" s="6" t="str">
        <f>"翁雪"</f>
        <v>翁雪</v>
      </c>
      <c r="D116" s="6" t="str">
        <f>"女"</f>
        <v>女</v>
      </c>
      <c r="E116" s="6" t="str">
        <f>"10960010423"</f>
        <v>10960010423</v>
      </c>
      <c r="F116" s="6">
        <v>4</v>
      </c>
      <c r="G116" s="6">
        <v>23</v>
      </c>
      <c r="H116" s="7" t="s">
        <v>11</v>
      </c>
      <c r="I116" s="7"/>
    </row>
    <row r="117" ht="14.25" spans="1:9">
      <c r="A117" s="6">
        <v>114</v>
      </c>
      <c r="B117" s="6" t="s">
        <v>10</v>
      </c>
      <c r="C117" s="6" t="str">
        <f>"刘子昊"</f>
        <v>刘子昊</v>
      </c>
      <c r="D117" s="6" t="str">
        <f>"男"</f>
        <v>男</v>
      </c>
      <c r="E117" s="6" t="str">
        <f>"10960010424"</f>
        <v>10960010424</v>
      </c>
      <c r="F117" s="6">
        <v>4</v>
      </c>
      <c r="G117" s="6">
        <v>24</v>
      </c>
      <c r="H117" s="7" t="s">
        <v>11</v>
      </c>
      <c r="I117" s="7"/>
    </row>
    <row r="118" ht="14.25" spans="1:9">
      <c r="A118" s="6">
        <v>115</v>
      </c>
      <c r="B118" s="6" t="s">
        <v>10</v>
      </c>
      <c r="C118" s="6" t="str">
        <f>"仝兆良"</f>
        <v>仝兆良</v>
      </c>
      <c r="D118" s="6" t="str">
        <f>"男"</f>
        <v>男</v>
      </c>
      <c r="E118" s="6" t="str">
        <f>"10960010425"</f>
        <v>10960010425</v>
      </c>
      <c r="F118" s="6">
        <v>4</v>
      </c>
      <c r="G118" s="6">
        <v>25</v>
      </c>
      <c r="H118" s="7">
        <v>36.9</v>
      </c>
      <c r="I118" s="7"/>
    </row>
    <row r="119" ht="14.25" spans="1:9">
      <c r="A119" s="6">
        <v>116</v>
      </c>
      <c r="B119" s="6" t="s">
        <v>10</v>
      </c>
      <c r="C119" s="6" t="str">
        <f>"孟斌"</f>
        <v>孟斌</v>
      </c>
      <c r="D119" s="6" t="str">
        <f>"男"</f>
        <v>男</v>
      </c>
      <c r="E119" s="6" t="str">
        <f>"10960010426"</f>
        <v>10960010426</v>
      </c>
      <c r="F119" s="6">
        <v>4</v>
      </c>
      <c r="G119" s="6">
        <v>26</v>
      </c>
      <c r="H119" s="7" t="s">
        <v>11</v>
      </c>
      <c r="I119" s="7"/>
    </row>
    <row r="120" ht="14.25" spans="1:9">
      <c r="A120" s="6">
        <v>117</v>
      </c>
      <c r="B120" s="6" t="s">
        <v>10</v>
      </c>
      <c r="C120" s="6" t="str">
        <f>"邓锐琳"</f>
        <v>邓锐琳</v>
      </c>
      <c r="D120" s="6" t="str">
        <f t="shared" ref="D120:D125" si="3">"女"</f>
        <v>女</v>
      </c>
      <c r="E120" s="6" t="str">
        <f>"10960010427"</f>
        <v>10960010427</v>
      </c>
      <c r="F120" s="6">
        <v>4</v>
      </c>
      <c r="G120" s="6">
        <v>27</v>
      </c>
      <c r="H120" s="7">
        <v>68.5</v>
      </c>
      <c r="I120" s="7"/>
    </row>
    <row r="121" ht="14.25" spans="1:9">
      <c r="A121" s="6">
        <v>118</v>
      </c>
      <c r="B121" s="6" t="s">
        <v>10</v>
      </c>
      <c r="C121" s="6" t="str">
        <f>"王培"</f>
        <v>王培</v>
      </c>
      <c r="D121" s="6" t="str">
        <f t="shared" si="3"/>
        <v>女</v>
      </c>
      <c r="E121" s="6" t="str">
        <f>"10960010428"</f>
        <v>10960010428</v>
      </c>
      <c r="F121" s="6">
        <v>4</v>
      </c>
      <c r="G121" s="6">
        <v>28</v>
      </c>
      <c r="H121" s="7" t="s">
        <v>11</v>
      </c>
      <c r="I121" s="7"/>
    </row>
    <row r="122" ht="14.25" spans="1:9">
      <c r="A122" s="6">
        <v>119</v>
      </c>
      <c r="B122" s="6" t="s">
        <v>10</v>
      </c>
      <c r="C122" s="6" t="str">
        <f>"王幸"</f>
        <v>王幸</v>
      </c>
      <c r="D122" s="6" t="str">
        <f t="shared" si="3"/>
        <v>女</v>
      </c>
      <c r="E122" s="6" t="str">
        <f>"10960010429"</f>
        <v>10960010429</v>
      </c>
      <c r="F122" s="6">
        <v>4</v>
      </c>
      <c r="G122" s="6">
        <v>29</v>
      </c>
      <c r="H122" s="7">
        <v>76.1</v>
      </c>
      <c r="I122" s="7"/>
    </row>
    <row r="123" ht="14.25" spans="1:9">
      <c r="A123" s="6">
        <v>120</v>
      </c>
      <c r="B123" s="6" t="s">
        <v>10</v>
      </c>
      <c r="C123" s="6" t="str">
        <f>"牛蕾"</f>
        <v>牛蕾</v>
      </c>
      <c r="D123" s="6" t="str">
        <f t="shared" si="3"/>
        <v>女</v>
      </c>
      <c r="E123" s="6" t="str">
        <f>"10960010430"</f>
        <v>10960010430</v>
      </c>
      <c r="F123" s="6">
        <v>4</v>
      </c>
      <c r="G123" s="6">
        <v>30</v>
      </c>
      <c r="H123" s="7">
        <v>69.3</v>
      </c>
      <c r="I123" s="7"/>
    </row>
    <row r="124" ht="14.25" spans="1:9">
      <c r="A124" s="6">
        <v>121</v>
      </c>
      <c r="B124" s="6" t="s">
        <v>10</v>
      </c>
      <c r="C124" s="6" t="str">
        <f>"李源"</f>
        <v>李源</v>
      </c>
      <c r="D124" s="6" t="str">
        <f t="shared" si="3"/>
        <v>女</v>
      </c>
      <c r="E124" s="6" t="str">
        <f>"10960010501"</f>
        <v>10960010501</v>
      </c>
      <c r="F124" s="6">
        <v>5</v>
      </c>
      <c r="G124" s="6">
        <v>1</v>
      </c>
      <c r="H124" s="7" t="s">
        <v>11</v>
      </c>
      <c r="I124" s="7"/>
    </row>
    <row r="125" ht="14.25" spans="1:9">
      <c r="A125" s="6">
        <v>122</v>
      </c>
      <c r="B125" s="6" t="s">
        <v>10</v>
      </c>
      <c r="C125" s="6" t="str">
        <f>"张莹"</f>
        <v>张莹</v>
      </c>
      <c r="D125" s="6" t="str">
        <f t="shared" si="3"/>
        <v>女</v>
      </c>
      <c r="E125" s="6" t="str">
        <f>"10960010502"</f>
        <v>10960010502</v>
      </c>
      <c r="F125" s="6">
        <v>5</v>
      </c>
      <c r="G125" s="6">
        <v>2</v>
      </c>
      <c r="H125" s="7" t="s">
        <v>11</v>
      </c>
      <c r="I125" s="7"/>
    </row>
    <row r="126" ht="14.25" spans="1:9">
      <c r="A126" s="6">
        <v>123</v>
      </c>
      <c r="B126" s="6" t="s">
        <v>10</v>
      </c>
      <c r="C126" s="6" t="str">
        <f>"白鸿图"</f>
        <v>白鸿图</v>
      </c>
      <c r="D126" s="6" t="str">
        <f>"男"</f>
        <v>男</v>
      </c>
      <c r="E126" s="6" t="str">
        <f>"10960010503"</f>
        <v>10960010503</v>
      </c>
      <c r="F126" s="6">
        <v>5</v>
      </c>
      <c r="G126" s="6">
        <v>3</v>
      </c>
      <c r="H126" s="7">
        <v>62.7</v>
      </c>
      <c r="I126" s="7"/>
    </row>
    <row r="127" ht="14.25" spans="1:9">
      <c r="A127" s="6">
        <v>124</v>
      </c>
      <c r="B127" s="6" t="s">
        <v>10</v>
      </c>
      <c r="C127" s="6" t="str">
        <f>"李云飞"</f>
        <v>李云飞</v>
      </c>
      <c r="D127" s="6" t="str">
        <f>"男"</f>
        <v>男</v>
      </c>
      <c r="E127" s="6" t="str">
        <f>"10960010504"</f>
        <v>10960010504</v>
      </c>
      <c r="F127" s="6">
        <v>5</v>
      </c>
      <c r="G127" s="6">
        <v>4</v>
      </c>
      <c r="H127" s="7">
        <v>47.8</v>
      </c>
      <c r="I127" s="7"/>
    </row>
    <row r="128" ht="14.25" spans="1:9">
      <c r="A128" s="6">
        <v>125</v>
      </c>
      <c r="B128" s="6" t="s">
        <v>10</v>
      </c>
      <c r="C128" s="6" t="str">
        <f>"孙孟迪"</f>
        <v>孙孟迪</v>
      </c>
      <c r="D128" s="6" t="str">
        <f>"女"</f>
        <v>女</v>
      </c>
      <c r="E128" s="6" t="str">
        <f>"10960010505"</f>
        <v>10960010505</v>
      </c>
      <c r="F128" s="6">
        <v>5</v>
      </c>
      <c r="G128" s="6">
        <v>5</v>
      </c>
      <c r="H128" s="7" t="s">
        <v>11</v>
      </c>
      <c r="I128" s="7"/>
    </row>
    <row r="129" ht="14.25" spans="1:9">
      <c r="A129" s="6">
        <v>126</v>
      </c>
      <c r="B129" s="6" t="s">
        <v>10</v>
      </c>
      <c r="C129" s="6" t="str">
        <f>"郭铭世"</f>
        <v>郭铭世</v>
      </c>
      <c r="D129" s="6" t="str">
        <f>"男"</f>
        <v>男</v>
      </c>
      <c r="E129" s="6" t="str">
        <f>"10960010506"</f>
        <v>10960010506</v>
      </c>
      <c r="F129" s="6">
        <v>5</v>
      </c>
      <c r="G129" s="6">
        <v>6</v>
      </c>
      <c r="H129" s="7">
        <v>67.6</v>
      </c>
      <c r="I129" s="7"/>
    </row>
    <row r="130" ht="14.25" spans="1:9">
      <c r="A130" s="8">
        <v>127</v>
      </c>
      <c r="B130" s="8" t="s">
        <v>10</v>
      </c>
      <c r="C130" s="8" t="str">
        <f>"郑嵘"</f>
        <v>郑嵘</v>
      </c>
      <c r="D130" s="8" t="str">
        <f>"女"</f>
        <v>女</v>
      </c>
      <c r="E130" s="8" t="str">
        <f>"10960010507"</f>
        <v>10960010507</v>
      </c>
      <c r="F130" s="8">
        <v>5</v>
      </c>
      <c r="G130" s="8">
        <v>7</v>
      </c>
      <c r="H130" s="9">
        <v>79.9</v>
      </c>
      <c r="I130" s="9"/>
    </row>
    <row r="131" s="2" customFormat="1" ht="14.25" spans="1:9">
      <c r="A131" s="6">
        <v>128</v>
      </c>
      <c r="B131" s="6" t="s">
        <v>10</v>
      </c>
      <c r="C131" s="6" t="str">
        <f>"贾禛栋"</f>
        <v>贾禛栋</v>
      </c>
      <c r="D131" s="6" t="str">
        <f>"男"</f>
        <v>男</v>
      </c>
      <c r="E131" s="6" t="str">
        <f>"10960010508"</f>
        <v>10960010508</v>
      </c>
      <c r="F131" s="6">
        <v>5</v>
      </c>
      <c r="G131" s="6">
        <v>8</v>
      </c>
      <c r="H131" s="7" t="s">
        <v>11</v>
      </c>
      <c r="I131" s="7"/>
    </row>
    <row r="132" ht="14.25" spans="1:9">
      <c r="A132" s="6">
        <v>129</v>
      </c>
      <c r="B132" s="6" t="s">
        <v>10</v>
      </c>
      <c r="C132" s="6" t="str">
        <f>"朱晓铭"</f>
        <v>朱晓铭</v>
      </c>
      <c r="D132" s="6" t="str">
        <f>"女"</f>
        <v>女</v>
      </c>
      <c r="E132" s="6" t="str">
        <f>"10960010509"</f>
        <v>10960010509</v>
      </c>
      <c r="F132" s="6">
        <v>5</v>
      </c>
      <c r="G132" s="6">
        <v>9</v>
      </c>
      <c r="H132" s="7">
        <v>58</v>
      </c>
      <c r="I132" s="7"/>
    </row>
    <row r="133" ht="14.25" spans="1:9">
      <c r="A133" s="6">
        <v>130</v>
      </c>
      <c r="B133" s="6" t="s">
        <v>10</v>
      </c>
      <c r="C133" s="6" t="str">
        <f>"闫一潇"</f>
        <v>闫一潇</v>
      </c>
      <c r="D133" s="6" t="str">
        <f>"女"</f>
        <v>女</v>
      </c>
      <c r="E133" s="6" t="str">
        <f>"10960010510"</f>
        <v>10960010510</v>
      </c>
      <c r="F133" s="6">
        <v>5</v>
      </c>
      <c r="G133" s="6">
        <v>10</v>
      </c>
      <c r="H133" s="7" t="s">
        <v>11</v>
      </c>
      <c r="I133" s="7"/>
    </row>
    <row r="134" ht="14.25" spans="1:9">
      <c r="A134" s="6">
        <v>131</v>
      </c>
      <c r="B134" s="6" t="s">
        <v>10</v>
      </c>
      <c r="C134" s="6" t="str">
        <f>"陈嘉乐"</f>
        <v>陈嘉乐</v>
      </c>
      <c r="D134" s="6" t="str">
        <f>"男"</f>
        <v>男</v>
      </c>
      <c r="E134" s="6" t="str">
        <f>"10960010511"</f>
        <v>10960010511</v>
      </c>
      <c r="F134" s="6">
        <v>5</v>
      </c>
      <c r="G134" s="6">
        <v>11</v>
      </c>
      <c r="H134" s="7" t="s">
        <v>11</v>
      </c>
      <c r="I134" s="7"/>
    </row>
    <row r="135" ht="14.25" spans="1:9">
      <c r="A135" s="6">
        <v>132</v>
      </c>
      <c r="B135" s="6" t="s">
        <v>10</v>
      </c>
      <c r="C135" s="6" t="str">
        <f>"王峥"</f>
        <v>王峥</v>
      </c>
      <c r="D135" s="6" t="str">
        <f>"男"</f>
        <v>男</v>
      </c>
      <c r="E135" s="6" t="str">
        <f>"10960010512"</f>
        <v>10960010512</v>
      </c>
      <c r="F135" s="6">
        <v>5</v>
      </c>
      <c r="G135" s="6">
        <v>12</v>
      </c>
      <c r="H135" s="7" t="s">
        <v>11</v>
      </c>
      <c r="I135" s="7"/>
    </row>
    <row r="136" ht="14.25" spans="1:9">
      <c r="A136" s="6">
        <v>133</v>
      </c>
      <c r="B136" s="6" t="s">
        <v>10</v>
      </c>
      <c r="C136" s="6" t="str">
        <f>"李泽理"</f>
        <v>李泽理</v>
      </c>
      <c r="D136" s="6" t="str">
        <f>"女"</f>
        <v>女</v>
      </c>
      <c r="E136" s="6" t="str">
        <f>"10960010513"</f>
        <v>10960010513</v>
      </c>
      <c r="F136" s="6">
        <v>5</v>
      </c>
      <c r="G136" s="6">
        <v>13</v>
      </c>
      <c r="H136" s="7" t="s">
        <v>11</v>
      </c>
      <c r="I136" s="7"/>
    </row>
    <row r="137" ht="14.25" spans="1:9">
      <c r="A137" s="6">
        <v>134</v>
      </c>
      <c r="B137" s="6" t="s">
        <v>10</v>
      </c>
      <c r="C137" s="6" t="str">
        <f>"牛若兰"</f>
        <v>牛若兰</v>
      </c>
      <c r="D137" s="6" t="str">
        <f>"女"</f>
        <v>女</v>
      </c>
      <c r="E137" s="6" t="str">
        <f>"10960010514"</f>
        <v>10960010514</v>
      </c>
      <c r="F137" s="6">
        <v>5</v>
      </c>
      <c r="G137" s="6">
        <v>14</v>
      </c>
      <c r="H137" s="7" t="s">
        <v>11</v>
      </c>
      <c r="I137" s="7"/>
    </row>
    <row r="138" ht="14.25" spans="1:9">
      <c r="A138" s="6">
        <v>135</v>
      </c>
      <c r="B138" s="6" t="s">
        <v>10</v>
      </c>
      <c r="C138" s="6" t="str">
        <f>"李子超"</f>
        <v>李子超</v>
      </c>
      <c r="D138" s="6" t="str">
        <f>"男"</f>
        <v>男</v>
      </c>
      <c r="E138" s="6" t="str">
        <f>"10960010515"</f>
        <v>10960010515</v>
      </c>
      <c r="F138" s="6">
        <v>5</v>
      </c>
      <c r="G138" s="6">
        <v>15</v>
      </c>
      <c r="H138" s="7">
        <v>56.3</v>
      </c>
      <c r="I138" s="7"/>
    </row>
    <row r="139" ht="14.25" spans="1:9">
      <c r="A139" s="6">
        <v>136</v>
      </c>
      <c r="B139" s="6" t="s">
        <v>10</v>
      </c>
      <c r="C139" s="6" t="str">
        <f>"杨如梦"</f>
        <v>杨如梦</v>
      </c>
      <c r="D139" s="6" t="str">
        <f>"女"</f>
        <v>女</v>
      </c>
      <c r="E139" s="6" t="str">
        <f>"10960010516"</f>
        <v>10960010516</v>
      </c>
      <c r="F139" s="6">
        <v>5</v>
      </c>
      <c r="G139" s="6">
        <v>16</v>
      </c>
      <c r="H139" s="7">
        <v>54.7</v>
      </c>
      <c r="I139" s="7"/>
    </row>
    <row r="140" ht="14.25" spans="1:9">
      <c r="A140" s="6">
        <v>137</v>
      </c>
      <c r="B140" s="6" t="s">
        <v>10</v>
      </c>
      <c r="C140" s="6" t="str">
        <f>"郝琳琳"</f>
        <v>郝琳琳</v>
      </c>
      <c r="D140" s="6" t="str">
        <f>"女"</f>
        <v>女</v>
      </c>
      <c r="E140" s="6" t="str">
        <f>"10960010517"</f>
        <v>10960010517</v>
      </c>
      <c r="F140" s="6">
        <v>5</v>
      </c>
      <c r="G140" s="6">
        <v>17</v>
      </c>
      <c r="H140" s="7">
        <v>76.1</v>
      </c>
      <c r="I140" s="7"/>
    </row>
    <row r="141" ht="14.25" spans="1:9">
      <c r="A141" s="6">
        <v>138</v>
      </c>
      <c r="B141" s="6" t="s">
        <v>10</v>
      </c>
      <c r="C141" s="6" t="str">
        <f>"李振毅"</f>
        <v>李振毅</v>
      </c>
      <c r="D141" s="6" t="str">
        <f>"男"</f>
        <v>男</v>
      </c>
      <c r="E141" s="6" t="str">
        <f>"10960010518"</f>
        <v>10960010518</v>
      </c>
      <c r="F141" s="6">
        <v>5</v>
      </c>
      <c r="G141" s="6">
        <v>18</v>
      </c>
      <c r="H141" s="7">
        <v>71.5</v>
      </c>
      <c r="I141" s="7"/>
    </row>
    <row r="142" ht="14.25" spans="1:9">
      <c r="A142" s="6">
        <v>139</v>
      </c>
      <c r="B142" s="6" t="s">
        <v>10</v>
      </c>
      <c r="C142" s="6" t="str">
        <f>"朱铮"</f>
        <v>朱铮</v>
      </c>
      <c r="D142" s="6" t="str">
        <f>"男"</f>
        <v>男</v>
      </c>
      <c r="E142" s="6" t="str">
        <f>"10960010519"</f>
        <v>10960010519</v>
      </c>
      <c r="F142" s="6">
        <v>5</v>
      </c>
      <c r="G142" s="6">
        <v>19</v>
      </c>
      <c r="H142" s="7">
        <v>63.3</v>
      </c>
      <c r="I142" s="7"/>
    </row>
    <row r="143" ht="14.25" spans="1:9">
      <c r="A143" s="6">
        <v>140</v>
      </c>
      <c r="B143" s="6" t="s">
        <v>10</v>
      </c>
      <c r="C143" s="6" t="str">
        <f>"王建楼"</f>
        <v>王建楼</v>
      </c>
      <c r="D143" s="6" t="str">
        <f>"男"</f>
        <v>男</v>
      </c>
      <c r="E143" s="6" t="str">
        <f>"10960010520"</f>
        <v>10960010520</v>
      </c>
      <c r="F143" s="6">
        <v>5</v>
      </c>
      <c r="G143" s="6">
        <v>20</v>
      </c>
      <c r="H143" s="7">
        <v>61.9</v>
      </c>
      <c r="I143" s="7"/>
    </row>
    <row r="144" ht="14.25" spans="1:9">
      <c r="A144" s="6">
        <v>141</v>
      </c>
      <c r="B144" s="6" t="s">
        <v>10</v>
      </c>
      <c r="C144" s="6" t="str">
        <f>"牛牧玥"</f>
        <v>牛牧玥</v>
      </c>
      <c r="D144" s="6" t="str">
        <f>"女"</f>
        <v>女</v>
      </c>
      <c r="E144" s="6" t="str">
        <f>"10960010521"</f>
        <v>10960010521</v>
      </c>
      <c r="F144" s="6">
        <v>5</v>
      </c>
      <c r="G144" s="6">
        <v>21</v>
      </c>
      <c r="H144" s="7" t="s">
        <v>11</v>
      </c>
      <c r="I144" s="7"/>
    </row>
    <row r="145" ht="14.25" spans="1:9">
      <c r="A145" s="6">
        <v>142</v>
      </c>
      <c r="B145" s="6" t="s">
        <v>10</v>
      </c>
      <c r="C145" s="6" t="str">
        <f>"石琰"</f>
        <v>石琰</v>
      </c>
      <c r="D145" s="6" t="str">
        <f>"男"</f>
        <v>男</v>
      </c>
      <c r="E145" s="6" t="str">
        <f>"10960010522"</f>
        <v>10960010522</v>
      </c>
      <c r="F145" s="6">
        <v>5</v>
      </c>
      <c r="G145" s="6">
        <v>22</v>
      </c>
      <c r="H145" s="7" t="s">
        <v>11</v>
      </c>
      <c r="I145" s="7"/>
    </row>
    <row r="146" ht="14.25" spans="1:9">
      <c r="A146" s="6">
        <v>143</v>
      </c>
      <c r="B146" s="6" t="s">
        <v>10</v>
      </c>
      <c r="C146" s="6" t="str">
        <f>"汤浩洋"</f>
        <v>汤浩洋</v>
      </c>
      <c r="D146" s="6" t="str">
        <f>"男"</f>
        <v>男</v>
      </c>
      <c r="E146" s="6" t="str">
        <f>"10960010523"</f>
        <v>10960010523</v>
      </c>
      <c r="F146" s="6">
        <v>5</v>
      </c>
      <c r="G146" s="6">
        <v>23</v>
      </c>
      <c r="H146" s="7" t="s">
        <v>11</v>
      </c>
      <c r="I146" s="7"/>
    </row>
    <row r="147" ht="14.25" spans="1:9">
      <c r="A147" s="6">
        <v>144</v>
      </c>
      <c r="B147" s="6" t="s">
        <v>10</v>
      </c>
      <c r="C147" s="6" t="str">
        <f>"刘震"</f>
        <v>刘震</v>
      </c>
      <c r="D147" s="6" t="str">
        <f>"男"</f>
        <v>男</v>
      </c>
      <c r="E147" s="6" t="str">
        <f>"10960010524"</f>
        <v>10960010524</v>
      </c>
      <c r="F147" s="6">
        <v>5</v>
      </c>
      <c r="G147" s="6">
        <v>24</v>
      </c>
      <c r="H147" s="7">
        <v>45.3</v>
      </c>
      <c r="I147" s="7"/>
    </row>
    <row r="148" ht="14.25" spans="1:9">
      <c r="A148" s="6">
        <v>145</v>
      </c>
      <c r="B148" s="6" t="s">
        <v>10</v>
      </c>
      <c r="C148" s="6" t="str">
        <f>"陈婕"</f>
        <v>陈婕</v>
      </c>
      <c r="D148" s="6" t="str">
        <f>"女"</f>
        <v>女</v>
      </c>
      <c r="E148" s="6" t="str">
        <f>"10960010525"</f>
        <v>10960010525</v>
      </c>
      <c r="F148" s="6">
        <v>5</v>
      </c>
      <c r="G148" s="6">
        <v>25</v>
      </c>
      <c r="H148" s="7" t="s">
        <v>11</v>
      </c>
      <c r="I148" s="7"/>
    </row>
    <row r="149" ht="14.25" spans="1:9">
      <c r="A149" s="6">
        <v>146</v>
      </c>
      <c r="B149" s="6" t="s">
        <v>10</v>
      </c>
      <c r="C149" s="6" t="str">
        <f>"郭赟"</f>
        <v>郭赟</v>
      </c>
      <c r="D149" s="6" t="str">
        <f>"女"</f>
        <v>女</v>
      </c>
      <c r="E149" s="6" t="str">
        <f>"10960010526"</f>
        <v>10960010526</v>
      </c>
      <c r="F149" s="6">
        <v>5</v>
      </c>
      <c r="G149" s="6">
        <v>26</v>
      </c>
      <c r="H149" s="7">
        <v>65.3</v>
      </c>
      <c r="I149" s="7"/>
    </row>
    <row r="150" ht="14.25" spans="1:9">
      <c r="A150" s="6">
        <v>147</v>
      </c>
      <c r="B150" s="6" t="s">
        <v>10</v>
      </c>
      <c r="C150" s="6" t="str">
        <f>"王聪"</f>
        <v>王聪</v>
      </c>
      <c r="D150" s="6" t="str">
        <f>"女"</f>
        <v>女</v>
      </c>
      <c r="E150" s="6" t="str">
        <f>"10960010527"</f>
        <v>10960010527</v>
      </c>
      <c r="F150" s="6">
        <v>5</v>
      </c>
      <c r="G150" s="6">
        <v>27</v>
      </c>
      <c r="H150" s="7">
        <v>59.2</v>
      </c>
      <c r="I150" s="7"/>
    </row>
    <row r="151" ht="14.25" spans="1:9">
      <c r="A151" s="6">
        <v>148</v>
      </c>
      <c r="B151" s="6" t="s">
        <v>10</v>
      </c>
      <c r="C151" s="6" t="str">
        <f>"董少晗"</f>
        <v>董少晗</v>
      </c>
      <c r="D151" s="6" t="str">
        <f>"男"</f>
        <v>男</v>
      </c>
      <c r="E151" s="6" t="str">
        <f>"10960010528"</f>
        <v>10960010528</v>
      </c>
      <c r="F151" s="6">
        <v>5</v>
      </c>
      <c r="G151" s="6">
        <v>28</v>
      </c>
      <c r="H151" s="7" t="s">
        <v>11</v>
      </c>
      <c r="I151" s="7"/>
    </row>
    <row r="152" ht="14.25" spans="1:9">
      <c r="A152" s="6">
        <v>149</v>
      </c>
      <c r="B152" s="6" t="s">
        <v>10</v>
      </c>
      <c r="C152" s="6" t="str">
        <f>"孙暖"</f>
        <v>孙暖</v>
      </c>
      <c r="D152" s="6" t="str">
        <f>"女"</f>
        <v>女</v>
      </c>
      <c r="E152" s="6" t="str">
        <f>"10960010529"</f>
        <v>10960010529</v>
      </c>
      <c r="F152" s="6">
        <v>5</v>
      </c>
      <c r="G152" s="6">
        <v>29</v>
      </c>
      <c r="H152" s="7" t="s">
        <v>11</v>
      </c>
      <c r="I152" s="7"/>
    </row>
    <row r="153" ht="14.25" spans="1:9">
      <c r="A153" s="6">
        <v>150</v>
      </c>
      <c r="B153" s="6" t="s">
        <v>10</v>
      </c>
      <c r="C153" s="6" t="str">
        <f>"曾馨乐"</f>
        <v>曾馨乐</v>
      </c>
      <c r="D153" s="6" t="str">
        <f>"女"</f>
        <v>女</v>
      </c>
      <c r="E153" s="6" t="str">
        <f>"10960010530"</f>
        <v>10960010530</v>
      </c>
      <c r="F153" s="6">
        <v>5</v>
      </c>
      <c r="G153" s="6">
        <v>30</v>
      </c>
      <c r="H153" s="7">
        <v>63</v>
      </c>
      <c r="I153" s="7"/>
    </row>
    <row r="154" ht="14.25" spans="1:9">
      <c r="A154" s="6">
        <v>151</v>
      </c>
      <c r="B154" s="6" t="s">
        <v>10</v>
      </c>
      <c r="C154" s="6" t="str">
        <f>"刘桂兰"</f>
        <v>刘桂兰</v>
      </c>
      <c r="D154" s="6" t="str">
        <f>"女"</f>
        <v>女</v>
      </c>
      <c r="E154" s="6" t="str">
        <f>"10960010601"</f>
        <v>10960010601</v>
      </c>
      <c r="F154" s="6">
        <v>6</v>
      </c>
      <c r="G154" s="6">
        <v>1</v>
      </c>
      <c r="H154" s="7">
        <v>54</v>
      </c>
      <c r="I154" s="7"/>
    </row>
    <row r="155" ht="14.25" spans="1:9">
      <c r="A155" s="6">
        <v>152</v>
      </c>
      <c r="B155" s="6" t="s">
        <v>10</v>
      </c>
      <c r="C155" s="6" t="str">
        <f>"刘一鸣"</f>
        <v>刘一鸣</v>
      </c>
      <c r="D155" s="6" t="str">
        <f>"男"</f>
        <v>男</v>
      </c>
      <c r="E155" s="6" t="str">
        <f>"10960010602"</f>
        <v>10960010602</v>
      </c>
      <c r="F155" s="6">
        <v>6</v>
      </c>
      <c r="G155" s="6">
        <v>2</v>
      </c>
      <c r="H155" s="7" t="s">
        <v>11</v>
      </c>
      <c r="I155" s="7"/>
    </row>
    <row r="156" ht="14.25" spans="1:9">
      <c r="A156" s="6">
        <v>153</v>
      </c>
      <c r="B156" s="6" t="s">
        <v>10</v>
      </c>
      <c r="C156" s="6" t="str">
        <f>"李素玉"</f>
        <v>李素玉</v>
      </c>
      <c r="D156" s="6" t="str">
        <f>"女"</f>
        <v>女</v>
      </c>
      <c r="E156" s="6" t="str">
        <f>"10960010603"</f>
        <v>10960010603</v>
      </c>
      <c r="F156" s="6">
        <v>6</v>
      </c>
      <c r="G156" s="6">
        <v>3</v>
      </c>
      <c r="H156" s="7">
        <v>49.7</v>
      </c>
      <c r="I156" s="7"/>
    </row>
    <row r="157" ht="14.25" spans="1:9">
      <c r="A157" s="6">
        <v>154</v>
      </c>
      <c r="B157" s="6" t="s">
        <v>10</v>
      </c>
      <c r="C157" s="6" t="str">
        <f>"段皓天"</f>
        <v>段皓天</v>
      </c>
      <c r="D157" s="6" t="str">
        <f t="shared" ref="D157:D168" si="4">"男"</f>
        <v>男</v>
      </c>
      <c r="E157" s="6" t="str">
        <f>"10960010604"</f>
        <v>10960010604</v>
      </c>
      <c r="F157" s="6">
        <v>6</v>
      </c>
      <c r="G157" s="6">
        <v>4</v>
      </c>
      <c r="H157" s="7" t="s">
        <v>11</v>
      </c>
      <c r="I157" s="7"/>
    </row>
    <row r="158" ht="14.25" spans="1:9">
      <c r="A158" s="6">
        <v>155</v>
      </c>
      <c r="B158" s="6" t="s">
        <v>10</v>
      </c>
      <c r="C158" s="6" t="str">
        <f>"王振"</f>
        <v>王振</v>
      </c>
      <c r="D158" s="6" t="str">
        <f t="shared" si="4"/>
        <v>男</v>
      </c>
      <c r="E158" s="6" t="str">
        <f>"10960010605"</f>
        <v>10960010605</v>
      </c>
      <c r="F158" s="6">
        <v>6</v>
      </c>
      <c r="G158" s="6">
        <v>5</v>
      </c>
      <c r="H158" s="7" t="s">
        <v>11</v>
      </c>
      <c r="I158" s="7"/>
    </row>
    <row r="159" ht="14.25" spans="1:9">
      <c r="A159" s="6">
        <v>156</v>
      </c>
      <c r="B159" s="6" t="s">
        <v>10</v>
      </c>
      <c r="C159" s="6" t="str">
        <f>"孙浩铭"</f>
        <v>孙浩铭</v>
      </c>
      <c r="D159" s="6" t="str">
        <f t="shared" si="4"/>
        <v>男</v>
      </c>
      <c r="E159" s="6" t="str">
        <f>"10960010606"</f>
        <v>10960010606</v>
      </c>
      <c r="F159" s="6">
        <v>6</v>
      </c>
      <c r="G159" s="6">
        <v>6</v>
      </c>
      <c r="H159" s="7">
        <v>64.6</v>
      </c>
      <c r="I159" s="7"/>
    </row>
    <row r="160" ht="14.25" spans="1:9">
      <c r="A160" s="6">
        <v>157</v>
      </c>
      <c r="B160" s="6" t="s">
        <v>10</v>
      </c>
      <c r="C160" s="6" t="str">
        <f>"尹政豪"</f>
        <v>尹政豪</v>
      </c>
      <c r="D160" s="6" t="str">
        <f t="shared" si="4"/>
        <v>男</v>
      </c>
      <c r="E160" s="6" t="str">
        <f>"10960010607"</f>
        <v>10960010607</v>
      </c>
      <c r="F160" s="6">
        <v>6</v>
      </c>
      <c r="G160" s="6">
        <v>7</v>
      </c>
      <c r="H160" s="7">
        <v>47</v>
      </c>
      <c r="I160" s="7"/>
    </row>
    <row r="161" ht="14.25" spans="1:9">
      <c r="A161" s="6">
        <v>158</v>
      </c>
      <c r="B161" s="6" t="s">
        <v>10</v>
      </c>
      <c r="C161" s="6" t="str">
        <f>"胡煜"</f>
        <v>胡煜</v>
      </c>
      <c r="D161" s="6" t="str">
        <f t="shared" si="4"/>
        <v>男</v>
      </c>
      <c r="E161" s="6" t="str">
        <f>"10960010608"</f>
        <v>10960010608</v>
      </c>
      <c r="F161" s="6">
        <v>6</v>
      </c>
      <c r="G161" s="6">
        <v>8</v>
      </c>
      <c r="H161" s="7" t="s">
        <v>11</v>
      </c>
      <c r="I161" s="7"/>
    </row>
    <row r="162" ht="14.25" spans="1:9">
      <c r="A162" s="6">
        <v>159</v>
      </c>
      <c r="B162" s="6" t="s">
        <v>10</v>
      </c>
      <c r="C162" s="6" t="str">
        <f>"姚渊"</f>
        <v>姚渊</v>
      </c>
      <c r="D162" s="6" t="str">
        <f t="shared" si="4"/>
        <v>男</v>
      </c>
      <c r="E162" s="6" t="str">
        <f>"10960010609"</f>
        <v>10960010609</v>
      </c>
      <c r="F162" s="6">
        <v>6</v>
      </c>
      <c r="G162" s="6">
        <v>9</v>
      </c>
      <c r="H162" s="7" t="s">
        <v>11</v>
      </c>
      <c r="I162" s="7"/>
    </row>
    <row r="163" ht="14.25" spans="1:9">
      <c r="A163" s="6">
        <v>160</v>
      </c>
      <c r="B163" s="6" t="s">
        <v>10</v>
      </c>
      <c r="C163" s="6" t="str">
        <f>"郑立志"</f>
        <v>郑立志</v>
      </c>
      <c r="D163" s="6" t="str">
        <f t="shared" si="4"/>
        <v>男</v>
      </c>
      <c r="E163" s="6" t="str">
        <f>"10960010610"</f>
        <v>10960010610</v>
      </c>
      <c r="F163" s="6">
        <v>6</v>
      </c>
      <c r="G163" s="6">
        <v>10</v>
      </c>
      <c r="H163" s="7" t="s">
        <v>11</v>
      </c>
      <c r="I163" s="7"/>
    </row>
    <row r="164" ht="14.25" spans="1:9">
      <c r="A164" s="6">
        <v>161</v>
      </c>
      <c r="B164" s="6" t="s">
        <v>10</v>
      </c>
      <c r="C164" s="6" t="str">
        <f>"赵琰"</f>
        <v>赵琰</v>
      </c>
      <c r="D164" s="6" t="str">
        <f t="shared" si="4"/>
        <v>男</v>
      </c>
      <c r="E164" s="6" t="str">
        <f>"10960010611"</f>
        <v>10960010611</v>
      </c>
      <c r="F164" s="6">
        <v>6</v>
      </c>
      <c r="G164" s="6">
        <v>11</v>
      </c>
      <c r="H164" s="7">
        <v>69.2</v>
      </c>
      <c r="I164" s="7"/>
    </row>
    <row r="165" ht="14.25" spans="1:9">
      <c r="A165" s="6">
        <v>162</v>
      </c>
      <c r="B165" s="6" t="s">
        <v>10</v>
      </c>
      <c r="C165" s="6" t="str">
        <f>"任政安"</f>
        <v>任政安</v>
      </c>
      <c r="D165" s="6" t="str">
        <f t="shared" si="4"/>
        <v>男</v>
      </c>
      <c r="E165" s="6" t="str">
        <f>"10960010612"</f>
        <v>10960010612</v>
      </c>
      <c r="F165" s="6">
        <v>6</v>
      </c>
      <c r="G165" s="6">
        <v>12</v>
      </c>
      <c r="H165" s="7">
        <v>66.9</v>
      </c>
      <c r="I165" s="7"/>
    </row>
    <row r="166" ht="14.25" spans="1:9">
      <c r="A166" s="6">
        <v>163</v>
      </c>
      <c r="B166" s="6" t="s">
        <v>10</v>
      </c>
      <c r="C166" s="6" t="str">
        <f>"朱奥迪"</f>
        <v>朱奥迪</v>
      </c>
      <c r="D166" s="6" t="str">
        <f t="shared" si="4"/>
        <v>男</v>
      </c>
      <c r="E166" s="6" t="str">
        <f>"10960010613"</f>
        <v>10960010613</v>
      </c>
      <c r="F166" s="6">
        <v>6</v>
      </c>
      <c r="G166" s="6">
        <v>13</v>
      </c>
      <c r="H166" s="7">
        <v>53.3</v>
      </c>
      <c r="I166" s="7"/>
    </row>
    <row r="167" ht="14.25" spans="1:9">
      <c r="A167" s="6">
        <v>164</v>
      </c>
      <c r="B167" s="6" t="s">
        <v>10</v>
      </c>
      <c r="C167" s="6" t="str">
        <f>"高钰沛"</f>
        <v>高钰沛</v>
      </c>
      <c r="D167" s="6" t="str">
        <f t="shared" si="4"/>
        <v>男</v>
      </c>
      <c r="E167" s="6" t="str">
        <f>"10960010614"</f>
        <v>10960010614</v>
      </c>
      <c r="F167" s="6">
        <v>6</v>
      </c>
      <c r="G167" s="6">
        <v>14</v>
      </c>
      <c r="H167" s="7">
        <v>67.6</v>
      </c>
      <c r="I167" s="7"/>
    </row>
    <row r="168" ht="14.25" spans="1:9">
      <c r="A168" s="6">
        <v>165</v>
      </c>
      <c r="B168" s="6" t="s">
        <v>10</v>
      </c>
      <c r="C168" s="6" t="str">
        <f>"张清钰"</f>
        <v>张清钰</v>
      </c>
      <c r="D168" s="6" t="str">
        <f t="shared" si="4"/>
        <v>男</v>
      </c>
      <c r="E168" s="6" t="str">
        <f>"10960010615"</f>
        <v>10960010615</v>
      </c>
      <c r="F168" s="6">
        <v>6</v>
      </c>
      <c r="G168" s="6">
        <v>15</v>
      </c>
      <c r="H168" s="7">
        <v>69.6</v>
      </c>
      <c r="I168" s="7"/>
    </row>
    <row r="169" ht="14.25" spans="1:9">
      <c r="A169" s="6">
        <v>166</v>
      </c>
      <c r="B169" s="6" t="s">
        <v>10</v>
      </c>
      <c r="C169" s="6" t="str">
        <f>"张亚阁"</f>
        <v>张亚阁</v>
      </c>
      <c r="D169" s="6" t="str">
        <f>"女"</f>
        <v>女</v>
      </c>
      <c r="E169" s="6" t="str">
        <f>"10960010616"</f>
        <v>10960010616</v>
      </c>
      <c r="F169" s="6">
        <v>6</v>
      </c>
      <c r="G169" s="6">
        <v>16</v>
      </c>
      <c r="H169" s="7">
        <v>60.2</v>
      </c>
      <c r="I169" s="7"/>
    </row>
    <row r="170" ht="14.25" spans="1:9">
      <c r="A170" s="6">
        <v>167</v>
      </c>
      <c r="B170" s="6" t="s">
        <v>10</v>
      </c>
      <c r="C170" s="6" t="str">
        <f>"范梦颖"</f>
        <v>范梦颖</v>
      </c>
      <c r="D170" s="6" t="str">
        <f>"女"</f>
        <v>女</v>
      </c>
      <c r="E170" s="6" t="str">
        <f>"10960010617"</f>
        <v>10960010617</v>
      </c>
      <c r="F170" s="6">
        <v>6</v>
      </c>
      <c r="G170" s="6">
        <v>17</v>
      </c>
      <c r="H170" s="7">
        <v>63.8</v>
      </c>
      <c r="I170" s="7"/>
    </row>
    <row r="171" ht="14.25" spans="1:9">
      <c r="A171" s="6">
        <v>168</v>
      </c>
      <c r="B171" s="6" t="s">
        <v>10</v>
      </c>
      <c r="C171" s="6" t="str">
        <f>"宗万寅"</f>
        <v>宗万寅</v>
      </c>
      <c r="D171" s="6" t="str">
        <f>"男"</f>
        <v>男</v>
      </c>
      <c r="E171" s="6" t="str">
        <f>"10960010618"</f>
        <v>10960010618</v>
      </c>
      <c r="F171" s="6">
        <v>6</v>
      </c>
      <c r="G171" s="6">
        <v>18</v>
      </c>
      <c r="H171" s="7">
        <v>66</v>
      </c>
      <c r="I171" s="7"/>
    </row>
    <row r="172" ht="14.25" spans="1:9">
      <c r="A172" s="6">
        <v>169</v>
      </c>
      <c r="B172" s="6" t="s">
        <v>10</v>
      </c>
      <c r="C172" s="6" t="str">
        <f>"朱炎飞"</f>
        <v>朱炎飞</v>
      </c>
      <c r="D172" s="6" t="str">
        <f>"男"</f>
        <v>男</v>
      </c>
      <c r="E172" s="6" t="str">
        <f>"10960010619"</f>
        <v>10960010619</v>
      </c>
      <c r="F172" s="6">
        <v>6</v>
      </c>
      <c r="G172" s="6">
        <v>19</v>
      </c>
      <c r="H172" s="7">
        <v>65.3</v>
      </c>
      <c r="I172" s="7"/>
    </row>
    <row r="173" ht="14.25" spans="1:9">
      <c r="A173" s="6">
        <v>170</v>
      </c>
      <c r="B173" s="6" t="s">
        <v>10</v>
      </c>
      <c r="C173" s="6" t="str">
        <f>"李晓萌"</f>
        <v>李晓萌</v>
      </c>
      <c r="D173" s="6" t="str">
        <f>"女"</f>
        <v>女</v>
      </c>
      <c r="E173" s="6" t="str">
        <f>"10960010620"</f>
        <v>10960010620</v>
      </c>
      <c r="F173" s="6">
        <v>6</v>
      </c>
      <c r="G173" s="6">
        <v>20</v>
      </c>
      <c r="H173" s="7" t="s">
        <v>11</v>
      </c>
      <c r="I173" s="7"/>
    </row>
    <row r="174" ht="14.25" spans="1:9">
      <c r="A174" s="6">
        <v>171</v>
      </c>
      <c r="B174" s="6" t="s">
        <v>10</v>
      </c>
      <c r="C174" s="6" t="str">
        <f>"黄曼嘉"</f>
        <v>黄曼嘉</v>
      </c>
      <c r="D174" s="6" t="str">
        <f>"女"</f>
        <v>女</v>
      </c>
      <c r="E174" s="6" t="str">
        <f>"10960010621"</f>
        <v>10960010621</v>
      </c>
      <c r="F174" s="6">
        <v>6</v>
      </c>
      <c r="G174" s="6">
        <v>21</v>
      </c>
      <c r="H174" s="7" t="s">
        <v>11</v>
      </c>
      <c r="I174" s="7"/>
    </row>
    <row r="175" ht="14.25" spans="1:9">
      <c r="A175" s="6">
        <v>172</v>
      </c>
      <c r="B175" s="6" t="s">
        <v>10</v>
      </c>
      <c r="C175" s="6" t="str">
        <f>"李想"</f>
        <v>李想</v>
      </c>
      <c r="D175" s="6" t="str">
        <f t="shared" ref="D175:D181" si="5">"男"</f>
        <v>男</v>
      </c>
      <c r="E175" s="6" t="str">
        <f>"10960010622"</f>
        <v>10960010622</v>
      </c>
      <c r="F175" s="6">
        <v>6</v>
      </c>
      <c r="G175" s="6">
        <v>22</v>
      </c>
      <c r="H175" s="7" t="s">
        <v>11</v>
      </c>
      <c r="I175" s="7"/>
    </row>
    <row r="176" ht="14.25" spans="1:9">
      <c r="A176" s="6">
        <v>173</v>
      </c>
      <c r="B176" s="6" t="s">
        <v>10</v>
      </c>
      <c r="C176" s="6" t="str">
        <f>"于奥洋"</f>
        <v>于奥洋</v>
      </c>
      <c r="D176" s="6" t="str">
        <f t="shared" si="5"/>
        <v>男</v>
      </c>
      <c r="E176" s="6" t="str">
        <f>"10960010623"</f>
        <v>10960010623</v>
      </c>
      <c r="F176" s="6">
        <v>6</v>
      </c>
      <c r="G176" s="6">
        <v>23</v>
      </c>
      <c r="H176" s="7">
        <v>56.1</v>
      </c>
      <c r="I176" s="7"/>
    </row>
    <row r="177" ht="14.25" spans="1:9">
      <c r="A177" s="6">
        <v>174</v>
      </c>
      <c r="B177" s="6" t="s">
        <v>10</v>
      </c>
      <c r="C177" s="6" t="str">
        <f>"摆润博"</f>
        <v>摆润博</v>
      </c>
      <c r="D177" s="6" t="str">
        <f t="shared" si="5"/>
        <v>男</v>
      </c>
      <c r="E177" s="6" t="str">
        <f>"10960010624"</f>
        <v>10960010624</v>
      </c>
      <c r="F177" s="6">
        <v>6</v>
      </c>
      <c r="G177" s="6">
        <v>24</v>
      </c>
      <c r="H177" s="7">
        <v>54.4</v>
      </c>
      <c r="I177" s="7"/>
    </row>
    <row r="178" ht="14.25" spans="1:9">
      <c r="A178" s="6">
        <v>175</v>
      </c>
      <c r="B178" s="6" t="s">
        <v>10</v>
      </c>
      <c r="C178" s="6" t="str">
        <f>"徐展"</f>
        <v>徐展</v>
      </c>
      <c r="D178" s="6" t="str">
        <f t="shared" si="5"/>
        <v>男</v>
      </c>
      <c r="E178" s="6" t="str">
        <f>"10960010625"</f>
        <v>10960010625</v>
      </c>
      <c r="F178" s="6">
        <v>6</v>
      </c>
      <c r="G178" s="6">
        <v>25</v>
      </c>
      <c r="H178" s="7">
        <v>56.4</v>
      </c>
      <c r="I178" s="7"/>
    </row>
    <row r="179" ht="14.25" spans="1:9">
      <c r="A179" s="6">
        <v>176</v>
      </c>
      <c r="B179" s="6" t="s">
        <v>10</v>
      </c>
      <c r="C179" s="6" t="str">
        <f>"魏艺炜"</f>
        <v>魏艺炜</v>
      </c>
      <c r="D179" s="6" t="str">
        <f t="shared" si="5"/>
        <v>男</v>
      </c>
      <c r="E179" s="6" t="str">
        <f>"10960010626"</f>
        <v>10960010626</v>
      </c>
      <c r="F179" s="6">
        <v>6</v>
      </c>
      <c r="G179" s="6">
        <v>26</v>
      </c>
      <c r="H179" s="7" t="s">
        <v>11</v>
      </c>
      <c r="I179" s="7"/>
    </row>
    <row r="180" ht="14.25" spans="1:9">
      <c r="A180" s="6">
        <v>177</v>
      </c>
      <c r="B180" s="6" t="s">
        <v>10</v>
      </c>
      <c r="C180" s="6" t="str">
        <f>"张鹏浩"</f>
        <v>张鹏浩</v>
      </c>
      <c r="D180" s="6" t="str">
        <f t="shared" si="5"/>
        <v>男</v>
      </c>
      <c r="E180" s="6" t="str">
        <f>"10960010627"</f>
        <v>10960010627</v>
      </c>
      <c r="F180" s="6">
        <v>6</v>
      </c>
      <c r="G180" s="6">
        <v>27</v>
      </c>
      <c r="H180" s="7" t="s">
        <v>11</v>
      </c>
      <c r="I180" s="7"/>
    </row>
    <row r="181" ht="14.25" spans="1:9">
      <c r="A181" s="6">
        <v>178</v>
      </c>
      <c r="B181" s="6" t="s">
        <v>10</v>
      </c>
      <c r="C181" s="6" t="str">
        <f>"刘国建"</f>
        <v>刘国建</v>
      </c>
      <c r="D181" s="6" t="str">
        <f t="shared" si="5"/>
        <v>男</v>
      </c>
      <c r="E181" s="6" t="str">
        <f>"10960010628"</f>
        <v>10960010628</v>
      </c>
      <c r="F181" s="6">
        <v>6</v>
      </c>
      <c r="G181" s="6">
        <v>28</v>
      </c>
      <c r="H181" s="7" t="s">
        <v>11</v>
      </c>
      <c r="I181" s="7"/>
    </row>
    <row r="182" ht="14.25" spans="1:9">
      <c r="A182" s="6">
        <v>179</v>
      </c>
      <c r="B182" s="6" t="s">
        <v>10</v>
      </c>
      <c r="C182" s="6" t="str">
        <f>"古峥"</f>
        <v>古峥</v>
      </c>
      <c r="D182" s="6" t="str">
        <f>"女"</f>
        <v>女</v>
      </c>
      <c r="E182" s="6" t="str">
        <f>"10960010629"</f>
        <v>10960010629</v>
      </c>
      <c r="F182" s="6">
        <v>6</v>
      </c>
      <c r="G182" s="6">
        <v>29</v>
      </c>
      <c r="H182" s="7">
        <v>52.9</v>
      </c>
      <c r="I182" s="7"/>
    </row>
    <row r="183" ht="14.25" spans="1:9">
      <c r="A183" s="6">
        <v>180</v>
      </c>
      <c r="B183" s="6" t="s">
        <v>10</v>
      </c>
      <c r="C183" s="6" t="str">
        <f>"章梦梦"</f>
        <v>章梦梦</v>
      </c>
      <c r="D183" s="6" t="str">
        <f>"女"</f>
        <v>女</v>
      </c>
      <c r="E183" s="6" t="str">
        <f>"10960010630"</f>
        <v>10960010630</v>
      </c>
      <c r="F183" s="6">
        <v>6</v>
      </c>
      <c r="G183" s="6">
        <v>30</v>
      </c>
      <c r="H183" s="7">
        <v>52.8</v>
      </c>
      <c r="I183" s="7"/>
    </row>
    <row r="184" ht="14.25" spans="1:9">
      <c r="A184" s="6">
        <v>181</v>
      </c>
      <c r="B184" s="6" t="s">
        <v>10</v>
      </c>
      <c r="C184" s="6" t="str">
        <f>"赵萌萌"</f>
        <v>赵萌萌</v>
      </c>
      <c r="D184" s="6" t="str">
        <f>"女"</f>
        <v>女</v>
      </c>
      <c r="E184" s="6" t="str">
        <f>"10960010701"</f>
        <v>10960010701</v>
      </c>
      <c r="F184" s="6">
        <v>7</v>
      </c>
      <c r="G184" s="6">
        <v>1</v>
      </c>
      <c r="H184" s="7">
        <v>76.6</v>
      </c>
      <c r="I184" s="7"/>
    </row>
    <row r="185" ht="14.25" spans="1:9">
      <c r="A185" s="6">
        <v>182</v>
      </c>
      <c r="B185" s="6" t="s">
        <v>10</v>
      </c>
      <c r="C185" s="6" t="str">
        <f>"刘强"</f>
        <v>刘强</v>
      </c>
      <c r="D185" s="6" t="str">
        <f>"男"</f>
        <v>男</v>
      </c>
      <c r="E185" s="6" t="str">
        <f>"10960010702"</f>
        <v>10960010702</v>
      </c>
      <c r="F185" s="6">
        <v>7</v>
      </c>
      <c r="G185" s="6">
        <v>2</v>
      </c>
      <c r="H185" s="7">
        <v>65.4</v>
      </c>
      <c r="I185" s="7"/>
    </row>
    <row r="186" ht="14.25" spans="1:9">
      <c r="A186" s="8">
        <v>183</v>
      </c>
      <c r="B186" s="8" t="s">
        <v>10</v>
      </c>
      <c r="C186" s="8" t="str">
        <f>"郭婉婉"</f>
        <v>郭婉婉</v>
      </c>
      <c r="D186" s="8" t="str">
        <f>"女"</f>
        <v>女</v>
      </c>
      <c r="E186" s="8" t="str">
        <f>"10960010703"</f>
        <v>10960010703</v>
      </c>
      <c r="F186" s="8">
        <v>7</v>
      </c>
      <c r="G186" s="8">
        <v>3</v>
      </c>
      <c r="H186" s="10">
        <v>80</v>
      </c>
      <c r="I186" s="9"/>
    </row>
    <row r="187" ht="14.25" spans="1:9">
      <c r="A187" s="6">
        <v>184</v>
      </c>
      <c r="B187" s="6" t="s">
        <v>10</v>
      </c>
      <c r="C187" s="6" t="str">
        <f>"王以资"</f>
        <v>王以资</v>
      </c>
      <c r="D187" s="6" t="str">
        <f>"男"</f>
        <v>男</v>
      </c>
      <c r="E187" s="6" t="str">
        <f>"10960010704"</f>
        <v>10960010704</v>
      </c>
      <c r="F187" s="6">
        <v>7</v>
      </c>
      <c r="G187" s="6">
        <v>4</v>
      </c>
      <c r="H187" s="7">
        <v>66.3</v>
      </c>
      <c r="I187" s="7"/>
    </row>
    <row r="188" ht="14.25" spans="1:9">
      <c r="A188" s="6">
        <v>185</v>
      </c>
      <c r="B188" s="6" t="s">
        <v>10</v>
      </c>
      <c r="C188" s="6" t="str">
        <f>"高颖"</f>
        <v>高颖</v>
      </c>
      <c r="D188" s="6" t="str">
        <f>"女"</f>
        <v>女</v>
      </c>
      <c r="E188" s="6" t="str">
        <f>"10960010705"</f>
        <v>10960010705</v>
      </c>
      <c r="F188" s="6">
        <v>7</v>
      </c>
      <c r="G188" s="6">
        <v>5</v>
      </c>
      <c r="H188" s="7">
        <v>65.5</v>
      </c>
      <c r="I188" s="7"/>
    </row>
    <row r="189" ht="14.25" spans="1:9">
      <c r="A189" s="6">
        <v>186</v>
      </c>
      <c r="B189" s="6" t="s">
        <v>10</v>
      </c>
      <c r="C189" s="6" t="str">
        <f>"朱占宇"</f>
        <v>朱占宇</v>
      </c>
      <c r="D189" s="6" t="str">
        <f>"男"</f>
        <v>男</v>
      </c>
      <c r="E189" s="6" t="str">
        <f>"10960010706"</f>
        <v>10960010706</v>
      </c>
      <c r="F189" s="6">
        <v>7</v>
      </c>
      <c r="G189" s="6">
        <v>6</v>
      </c>
      <c r="H189" s="7">
        <v>56.7</v>
      </c>
      <c r="I189" s="7"/>
    </row>
    <row r="190" ht="14.25" spans="1:9">
      <c r="A190" s="6">
        <v>187</v>
      </c>
      <c r="B190" s="6" t="s">
        <v>10</v>
      </c>
      <c r="C190" s="6" t="str">
        <f>"张平超"</f>
        <v>张平超</v>
      </c>
      <c r="D190" s="6" t="str">
        <f>"男"</f>
        <v>男</v>
      </c>
      <c r="E190" s="6" t="str">
        <f>"10960010707"</f>
        <v>10960010707</v>
      </c>
      <c r="F190" s="6">
        <v>7</v>
      </c>
      <c r="G190" s="6">
        <v>7</v>
      </c>
      <c r="H190" s="7" t="s">
        <v>11</v>
      </c>
      <c r="I190" s="7"/>
    </row>
    <row r="191" ht="14.25" spans="1:9">
      <c r="A191" s="8">
        <v>188</v>
      </c>
      <c r="B191" s="8" t="s">
        <v>10</v>
      </c>
      <c r="C191" s="8" t="str">
        <f>"徐一琳"</f>
        <v>徐一琳</v>
      </c>
      <c r="D191" s="8" t="str">
        <f>"男"</f>
        <v>男</v>
      </c>
      <c r="E191" s="8" t="str">
        <f>"10960010708"</f>
        <v>10960010708</v>
      </c>
      <c r="F191" s="8">
        <v>7</v>
      </c>
      <c r="G191" s="8">
        <v>8</v>
      </c>
      <c r="H191" s="9">
        <v>79.9</v>
      </c>
      <c r="I191" s="9"/>
    </row>
    <row r="192" ht="14.25" spans="1:9">
      <c r="A192" s="6">
        <v>189</v>
      </c>
      <c r="B192" s="6" t="s">
        <v>10</v>
      </c>
      <c r="C192" s="6" t="str">
        <f>"祝潇艺"</f>
        <v>祝潇艺</v>
      </c>
      <c r="D192" s="6" t="str">
        <f>"女"</f>
        <v>女</v>
      </c>
      <c r="E192" s="6" t="str">
        <f>"10960010709"</f>
        <v>10960010709</v>
      </c>
      <c r="F192" s="6">
        <v>7</v>
      </c>
      <c r="G192" s="6">
        <v>9</v>
      </c>
      <c r="H192" s="7" t="s">
        <v>11</v>
      </c>
      <c r="I192" s="7"/>
    </row>
    <row r="193" ht="14.25" spans="1:9">
      <c r="A193" s="6">
        <v>190</v>
      </c>
      <c r="B193" s="6" t="s">
        <v>10</v>
      </c>
      <c r="C193" s="6" t="str">
        <f>"邓达嵩"</f>
        <v>邓达嵩</v>
      </c>
      <c r="D193" s="6" t="str">
        <f>"男"</f>
        <v>男</v>
      </c>
      <c r="E193" s="6" t="str">
        <f>"10960010710"</f>
        <v>10960010710</v>
      </c>
      <c r="F193" s="6">
        <v>7</v>
      </c>
      <c r="G193" s="6">
        <v>10</v>
      </c>
      <c r="H193" s="7" t="s">
        <v>11</v>
      </c>
      <c r="I193" s="7"/>
    </row>
    <row r="194" ht="14.25" spans="1:9">
      <c r="A194" s="6">
        <v>191</v>
      </c>
      <c r="B194" s="6" t="s">
        <v>10</v>
      </c>
      <c r="C194" s="6" t="str">
        <f>"杨海骥"</f>
        <v>杨海骥</v>
      </c>
      <c r="D194" s="6" t="str">
        <f>"男"</f>
        <v>男</v>
      </c>
      <c r="E194" s="6" t="str">
        <f>"10960010711"</f>
        <v>10960010711</v>
      </c>
      <c r="F194" s="6">
        <v>7</v>
      </c>
      <c r="G194" s="6">
        <v>11</v>
      </c>
      <c r="H194" s="7">
        <v>65</v>
      </c>
      <c r="I194" s="7"/>
    </row>
    <row r="195" ht="14.25" spans="1:9">
      <c r="A195" s="6">
        <v>192</v>
      </c>
      <c r="B195" s="6" t="s">
        <v>10</v>
      </c>
      <c r="C195" s="6" t="str">
        <f>"常慧慧"</f>
        <v>常慧慧</v>
      </c>
      <c r="D195" s="6" t="str">
        <f>"女"</f>
        <v>女</v>
      </c>
      <c r="E195" s="6" t="str">
        <f>"10960010712"</f>
        <v>10960010712</v>
      </c>
      <c r="F195" s="6">
        <v>7</v>
      </c>
      <c r="G195" s="6">
        <v>12</v>
      </c>
      <c r="H195" s="7" t="s">
        <v>11</v>
      </c>
      <c r="I195" s="7"/>
    </row>
    <row r="196" ht="14.25" spans="1:9">
      <c r="A196" s="6">
        <v>193</v>
      </c>
      <c r="B196" s="6" t="s">
        <v>10</v>
      </c>
      <c r="C196" s="6" t="str">
        <f>"韩欣"</f>
        <v>韩欣</v>
      </c>
      <c r="D196" s="6" t="str">
        <f>"女"</f>
        <v>女</v>
      </c>
      <c r="E196" s="6" t="str">
        <f>"10960010713"</f>
        <v>10960010713</v>
      </c>
      <c r="F196" s="6">
        <v>7</v>
      </c>
      <c r="G196" s="6">
        <v>13</v>
      </c>
      <c r="H196" s="7" t="s">
        <v>11</v>
      </c>
      <c r="I196" s="7"/>
    </row>
    <row r="197" ht="14.25" spans="1:9">
      <c r="A197" s="6">
        <v>194</v>
      </c>
      <c r="B197" s="6" t="s">
        <v>10</v>
      </c>
      <c r="C197" s="6" t="str">
        <f>"黄赛楠"</f>
        <v>黄赛楠</v>
      </c>
      <c r="D197" s="6" t="str">
        <f>"女"</f>
        <v>女</v>
      </c>
      <c r="E197" s="6" t="str">
        <f>"10960010714"</f>
        <v>10960010714</v>
      </c>
      <c r="F197" s="6">
        <v>7</v>
      </c>
      <c r="G197" s="6">
        <v>14</v>
      </c>
      <c r="H197" s="7" t="s">
        <v>11</v>
      </c>
      <c r="I197" s="7"/>
    </row>
    <row r="198" ht="14.25" spans="1:9">
      <c r="A198" s="6">
        <v>195</v>
      </c>
      <c r="B198" s="6" t="s">
        <v>10</v>
      </c>
      <c r="C198" s="6" t="str">
        <f>"刘卓"</f>
        <v>刘卓</v>
      </c>
      <c r="D198" s="6" t="str">
        <f>"男"</f>
        <v>男</v>
      </c>
      <c r="E198" s="6" t="str">
        <f>"10960010715"</f>
        <v>10960010715</v>
      </c>
      <c r="F198" s="6">
        <v>7</v>
      </c>
      <c r="G198" s="6">
        <v>15</v>
      </c>
      <c r="H198" s="7">
        <v>61.3</v>
      </c>
      <c r="I198" s="7"/>
    </row>
    <row r="199" ht="14.25" spans="1:9">
      <c r="A199" s="6">
        <v>196</v>
      </c>
      <c r="B199" s="6" t="s">
        <v>10</v>
      </c>
      <c r="C199" s="6" t="str">
        <f>"李晓玉"</f>
        <v>李晓玉</v>
      </c>
      <c r="D199" s="6" t="str">
        <f>"女"</f>
        <v>女</v>
      </c>
      <c r="E199" s="6" t="str">
        <f>"10960010716"</f>
        <v>10960010716</v>
      </c>
      <c r="F199" s="6">
        <v>7</v>
      </c>
      <c r="G199" s="6">
        <v>16</v>
      </c>
      <c r="H199" s="7">
        <v>66.9</v>
      </c>
      <c r="I199" s="7"/>
    </row>
    <row r="200" ht="14.25" spans="1:9">
      <c r="A200" s="6">
        <v>197</v>
      </c>
      <c r="B200" s="6" t="s">
        <v>10</v>
      </c>
      <c r="C200" s="6" t="str">
        <f>"曲焱坤"</f>
        <v>曲焱坤</v>
      </c>
      <c r="D200" s="6" t="str">
        <f>"女"</f>
        <v>女</v>
      </c>
      <c r="E200" s="6" t="str">
        <f>"10960010717"</f>
        <v>10960010717</v>
      </c>
      <c r="F200" s="6">
        <v>7</v>
      </c>
      <c r="G200" s="6">
        <v>17</v>
      </c>
      <c r="H200" s="7" t="s">
        <v>11</v>
      </c>
      <c r="I200" s="7"/>
    </row>
    <row r="201" ht="14.25" spans="1:9">
      <c r="A201" s="6">
        <v>198</v>
      </c>
      <c r="B201" s="6" t="s">
        <v>10</v>
      </c>
      <c r="C201" s="6" t="str">
        <f>"王怡雯"</f>
        <v>王怡雯</v>
      </c>
      <c r="D201" s="6" t="str">
        <f>"女"</f>
        <v>女</v>
      </c>
      <c r="E201" s="6" t="str">
        <f>"10960010718"</f>
        <v>10960010718</v>
      </c>
      <c r="F201" s="6">
        <v>7</v>
      </c>
      <c r="G201" s="6">
        <v>18</v>
      </c>
      <c r="H201" s="7" t="s">
        <v>11</v>
      </c>
      <c r="I201" s="7"/>
    </row>
    <row r="202" ht="14.25" spans="1:9">
      <c r="A202" s="6">
        <v>199</v>
      </c>
      <c r="B202" s="6" t="s">
        <v>10</v>
      </c>
      <c r="C202" s="6" t="str">
        <f>"韩金成"</f>
        <v>韩金成</v>
      </c>
      <c r="D202" s="6" t="str">
        <f>"男"</f>
        <v>男</v>
      </c>
      <c r="E202" s="6" t="str">
        <f>"10960010719"</f>
        <v>10960010719</v>
      </c>
      <c r="F202" s="6">
        <v>7</v>
      </c>
      <c r="G202" s="6">
        <v>19</v>
      </c>
      <c r="H202" s="7">
        <v>59</v>
      </c>
      <c r="I202" s="7"/>
    </row>
    <row r="203" ht="14.25" spans="1:9">
      <c r="A203" s="6">
        <v>200</v>
      </c>
      <c r="B203" s="6" t="s">
        <v>10</v>
      </c>
      <c r="C203" s="6" t="str">
        <f>"王许强"</f>
        <v>王许强</v>
      </c>
      <c r="D203" s="6" t="str">
        <f>"男"</f>
        <v>男</v>
      </c>
      <c r="E203" s="6" t="str">
        <f>"10960010720"</f>
        <v>10960010720</v>
      </c>
      <c r="F203" s="6">
        <v>7</v>
      </c>
      <c r="G203" s="6">
        <v>20</v>
      </c>
      <c r="H203" s="7" t="s">
        <v>11</v>
      </c>
      <c r="I203" s="7"/>
    </row>
    <row r="204" ht="14.25" spans="1:9">
      <c r="A204" s="6">
        <v>201</v>
      </c>
      <c r="B204" s="6" t="s">
        <v>10</v>
      </c>
      <c r="C204" s="6" t="str">
        <f>"张爽"</f>
        <v>张爽</v>
      </c>
      <c r="D204" s="6" t="str">
        <f>"女"</f>
        <v>女</v>
      </c>
      <c r="E204" s="6" t="str">
        <f>"10960010721"</f>
        <v>10960010721</v>
      </c>
      <c r="F204" s="6">
        <v>7</v>
      </c>
      <c r="G204" s="6">
        <v>21</v>
      </c>
      <c r="H204" s="7">
        <v>73.9</v>
      </c>
      <c r="I204" s="7"/>
    </row>
    <row r="205" ht="14.25" spans="1:9">
      <c r="A205" s="6">
        <v>202</v>
      </c>
      <c r="B205" s="6" t="s">
        <v>10</v>
      </c>
      <c r="C205" s="6" t="str">
        <f>"姜珊"</f>
        <v>姜珊</v>
      </c>
      <c r="D205" s="6" t="str">
        <f>"女"</f>
        <v>女</v>
      </c>
      <c r="E205" s="6" t="str">
        <f>"10960010722"</f>
        <v>10960010722</v>
      </c>
      <c r="F205" s="6">
        <v>7</v>
      </c>
      <c r="G205" s="6">
        <v>22</v>
      </c>
      <c r="H205" s="7" t="s">
        <v>11</v>
      </c>
      <c r="I205" s="7"/>
    </row>
    <row r="206" ht="14.25" spans="1:9">
      <c r="A206" s="6">
        <v>203</v>
      </c>
      <c r="B206" s="6" t="s">
        <v>10</v>
      </c>
      <c r="C206" s="6" t="str">
        <f>"郝雨晴"</f>
        <v>郝雨晴</v>
      </c>
      <c r="D206" s="6" t="str">
        <f>"女"</f>
        <v>女</v>
      </c>
      <c r="E206" s="6" t="str">
        <f>"10960010723"</f>
        <v>10960010723</v>
      </c>
      <c r="F206" s="6">
        <v>7</v>
      </c>
      <c r="G206" s="6">
        <v>23</v>
      </c>
      <c r="H206" s="7">
        <v>72.6</v>
      </c>
      <c r="I206" s="7"/>
    </row>
    <row r="207" ht="14.25" spans="1:9">
      <c r="A207" s="6">
        <v>204</v>
      </c>
      <c r="B207" s="6" t="s">
        <v>10</v>
      </c>
      <c r="C207" s="6" t="str">
        <f>"吴国振"</f>
        <v>吴国振</v>
      </c>
      <c r="D207" s="6" t="str">
        <f>"男"</f>
        <v>男</v>
      </c>
      <c r="E207" s="6" t="str">
        <f>"10960010724"</f>
        <v>10960010724</v>
      </c>
      <c r="F207" s="6">
        <v>7</v>
      </c>
      <c r="G207" s="6">
        <v>24</v>
      </c>
      <c r="H207" s="7" t="s">
        <v>11</v>
      </c>
      <c r="I207" s="7"/>
    </row>
    <row r="208" ht="14.25" spans="1:9">
      <c r="A208" s="6">
        <v>205</v>
      </c>
      <c r="B208" s="6" t="s">
        <v>10</v>
      </c>
      <c r="C208" s="6" t="str">
        <f>"王栋"</f>
        <v>王栋</v>
      </c>
      <c r="D208" s="6" t="str">
        <f>"男"</f>
        <v>男</v>
      </c>
      <c r="E208" s="6" t="str">
        <f>"10960010725"</f>
        <v>10960010725</v>
      </c>
      <c r="F208" s="6">
        <v>7</v>
      </c>
      <c r="G208" s="6">
        <v>25</v>
      </c>
      <c r="H208" s="7" t="s">
        <v>11</v>
      </c>
      <c r="I208" s="7"/>
    </row>
    <row r="209" ht="14.25" spans="1:9">
      <c r="A209" s="6">
        <v>206</v>
      </c>
      <c r="B209" s="6" t="s">
        <v>10</v>
      </c>
      <c r="C209" s="6" t="str">
        <f>"夏春秋"</f>
        <v>夏春秋</v>
      </c>
      <c r="D209" s="6" t="str">
        <f>"男"</f>
        <v>男</v>
      </c>
      <c r="E209" s="6" t="str">
        <f>"10960010726"</f>
        <v>10960010726</v>
      </c>
      <c r="F209" s="6">
        <v>7</v>
      </c>
      <c r="G209" s="6">
        <v>26</v>
      </c>
      <c r="H209" s="7">
        <v>66.9</v>
      </c>
      <c r="I209" s="7"/>
    </row>
    <row r="210" ht="14.25" spans="1:9">
      <c r="A210" s="6">
        <v>207</v>
      </c>
      <c r="B210" s="6" t="s">
        <v>10</v>
      </c>
      <c r="C210" s="6" t="str">
        <f>"陈立"</f>
        <v>陈立</v>
      </c>
      <c r="D210" s="6" t="str">
        <f>"女"</f>
        <v>女</v>
      </c>
      <c r="E210" s="6" t="str">
        <f>"10960010727"</f>
        <v>10960010727</v>
      </c>
      <c r="F210" s="6">
        <v>7</v>
      </c>
      <c r="G210" s="6">
        <v>27</v>
      </c>
      <c r="H210" s="7">
        <v>59.4</v>
      </c>
      <c r="I210" s="7"/>
    </row>
    <row r="211" ht="14.25" spans="1:9">
      <c r="A211" s="6">
        <v>208</v>
      </c>
      <c r="B211" s="6" t="s">
        <v>10</v>
      </c>
      <c r="C211" s="6" t="str">
        <f>"樊扩"</f>
        <v>樊扩</v>
      </c>
      <c r="D211" s="6" t="str">
        <f>"男"</f>
        <v>男</v>
      </c>
      <c r="E211" s="6" t="str">
        <f>"10960010728"</f>
        <v>10960010728</v>
      </c>
      <c r="F211" s="6">
        <v>7</v>
      </c>
      <c r="G211" s="6">
        <v>28</v>
      </c>
      <c r="H211" s="7" t="s">
        <v>11</v>
      </c>
      <c r="I211" s="7"/>
    </row>
    <row r="212" ht="14.25" spans="1:9">
      <c r="A212" s="6">
        <v>209</v>
      </c>
      <c r="B212" s="6" t="s">
        <v>10</v>
      </c>
      <c r="C212" s="6" t="str">
        <f>"魏保磊"</f>
        <v>魏保磊</v>
      </c>
      <c r="D212" s="6" t="str">
        <f>"男"</f>
        <v>男</v>
      </c>
      <c r="E212" s="6" t="str">
        <f>"10960010729"</f>
        <v>10960010729</v>
      </c>
      <c r="F212" s="6">
        <v>7</v>
      </c>
      <c r="G212" s="6">
        <v>29</v>
      </c>
      <c r="H212" s="7" t="s">
        <v>11</v>
      </c>
      <c r="I212" s="7"/>
    </row>
    <row r="213" ht="14.25" spans="1:9">
      <c r="A213" s="6">
        <v>210</v>
      </c>
      <c r="B213" s="6" t="s">
        <v>10</v>
      </c>
      <c r="C213" s="6" t="str">
        <f>"李辉"</f>
        <v>李辉</v>
      </c>
      <c r="D213" s="6" t="str">
        <f>"女"</f>
        <v>女</v>
      </c>
      <c r="E213" s="6" t="str">
        <f>"10960010730"</f>
        <v>10960010730</v>
      </c>
      <c r="F213" s="6">
        <v>7</v>
      </c>
      <c r="G213" s="6">
        <v>30</v>
      </c>
      <c r="H213" s="7">
        <v>69.8</v>
      </c>
      <c r="I213" s="7"/>
    </row>
    <row r="214" ht="14.25" spans="1:9">
      <c r="A214" s="6">
        <v>211</v>
      </c>
      <c r="B214" s="6" t="s">
        <v>10</v>
      </c>
      <c r="C214" s="6" t="str">
        <f>"常欢欢"</f>
        <v>常欢欢</v>
      </c>
      <c r="D214" s="6" t="str">
        <f>"女"</f>
        <v>女</v>
      </c>
      <c r="E214" s="6" t="str">
        <f>"10960010801"</f>
        <v>10960010801</v>
      </c>
      <c r="F214" s="6">
        <v>8</v>
      </c>
      <c r="G214" s="6">
        <v>1</v>
      </c>
      <c r="H214" s="7">
        <v>62.8</v>
      </c>
      <c r="I214" s="7"/>
    </row>
    <row r="215" ht="14.25" spans="1:9">
      <c r="A215" s="6">
        <v>212</v>
      </c>
      <c r="B215" s="6" t="s">
        <v>10</v>
      </c>
      <c r="C215" s="6" t="str">
        <f>"李平安"</f>
        <v>李平安</v>
      </c>
      <c r="D215" s="6" t="str">
        <f>"男"</f>
        <v>男</v>
      </c>
      <c r="E215" s="6" t="str">
        <f>"10960010802"</f>
        <v>10960010802</v>
      </c>
      <c r="F215" s="6">
        <v>8</v>
      </c>
      <c r="G215" s="6">
        <v>2</v>
      </c>
      <c r="H215" s="7">
        <v>53</v>
      </c>
      <c r="I215" s="7"/>
    </row>
    <row r="216" ht="14.25" spans="1:9">
      <c r="A216" s="6">
        <v>213</v>
      </c>
      <c r="B216" s="6" t="s">
        <v>10</v>
      </c>
      <c r="C216" s="6" t="str">
        <f>"王彩"</f>
        <v>王彩</v>
      </c>
      <c r="D216" s="6" t="str">
        <f>"女"</f>
        <v>女</v>
      </c>
      <c r="E216" s="6" t="str">
        <f>"10960010803"</f>
        <v>10960010803</v>
      </c>
      <c r="F216" s="6">
        <v>8</v>
      </c>
      <c r="G216" s="6">
        <v>3</v>
      </c>
      <c r="H216" s="7" t="s">
        <v>11</v>
      </c>
      <c r="I216" s="7"/>
    </row>
    <row r="217" ht="14.25" spans="1:9">
      <c r="A217" s="6">
        <v>214</v>
      </c>
      <c r="B217" s="6" t="s">
        <v>10</v>
      </c>
      <c r="C217" s="6" t="str">
        <f>"赵大路"</f>
        <v>赵大路</v>
      </c>
      <c r="D217" s="6" t="str">
        <f>"男"</f>
        <v>男</v>
      </c>
      <c r="E217" s="6" t="str">
        <f>"10960010804"</f>
        <v>10960010804</v>
      </c>
      <c r="F217" s="6">
        <v>8</v>
      </c>
      <c r="G217" s="6">
        <v>4</v>
      </c>
      <c r="H217" s="7">
        <v>67.9</v>
      </c>
      <c r="I217" s="7"/>
    </row>
    <row r="218" ht="14.25" spans="1:9">
      <c r="A218" s="6">
        <v>215</v>
      </c>
      <c r="B218" s="6" t="s">
        <v>10</v>
      </c>
      <c r="C218" s="6" t="str">
        <f>"史悦杨"</f>
        <v>史悦杨</v>
      </c>
      <c r="D218" s="6" t="str">
        <f>"女"</f>
        <v>女</v>
      </c>
      <c r="E218" s="6" t="str">
        <f>"10960010805"</f>
        <v>10960010805</v>
      </c>
      <c r="F218" s="6">
        <v>8</v>
      </c>
      <c r="G218" s="6">
        <v>5</v>
      </c>
      <c r="H218" s="7">
        <v>57.4</v>
      </c>
      <c r="I218" s="7"/>
    </row>
    <row r="219" ht="14.25" spans="1:9">
      <c r="A219" s="6">
        <v>216</v>
      </c>
      <c r="B219" s="6" t="s">
        <v>10</v>
      </c>
      <c r="C219" s="6" t="str">
        <f>"周靖智"</f>
        <v>周靖智</v>
      </c>
      <c r="D219" s="6" t="str">
        <f>"男"</f>
        <v>男</v>
      </c>
      <c r="E219" s="6" t="str">
        <f>"10960010806"</f>
        <v>10960010806</v>
      </c>
      <c r="F219" s="6">
        <v>8</v>
      </c>
      <c r="G219" s="6">
        <v>6</v>
      </c>
      <c r="H219" s="7" t="s">
        <v>11</v>
      </c>
      <c r="I219" s="7"/>
    </row>
    <row r="220" ht="14.25" spans="1:9">
      <c r="A220" s="6">
        <v>217</v>
      </c>
      <c r="B220" s="6" t="s">
        <v>10</v>
      </c>
      <c r="C220" s="6" t="str">
        <f>"周贯霖"</f>
        <v>周贯霖</v>
      </c>
      <c r="D220" s="6" t="str">
        <f>"女"</f>
        <v>女</v>
      </c>
      <c r="E220" s="6" t="str">
        <f>"10960010807"</f>
        <v>10960010807</v>
      </c>
      <c r="F220" s="6">
        <v>8</v>
      </c>
      <c r="G220" s="6">
        <v>7</v>
      </c>
      <c r="H220" s="7">
        <v>66.9</v>
      </c>
      <c r="I220" s="7"/>
    </row>
    <row r="221" ht="14.25" spans="1:9">
      <c r="A221" s="6">
        <v>218</v>
      </c>
      <c r="B221" s="6" t="s">
        <v>10</v>
      </c>
      <c r="C221" s="6" t="str">
        <f>"曹紫涵"</f>
        <v>曹紫涵</v>
      </c>
      <c r="D221" s="6" t="str">
        <f>"女"</f>
        <v>女</v>
      </c>
      <c r="E221" s="6" t="str">
        <f>"10960010808"</f>
        <v>10960010808</v>
      </c>
      <c r="F221" s="6">
        <v>8</v>
      </c>
      <c r="G221" s="6">
        <v>8</v>
      </c>
      <c r="H221" s="7" t="s">
        <v>11</v>
      </c>
      <c r="I221" s="7"/>
    </row>
    <row r="222" ht="14.25" spans="1:9">
      <c r="A222" s="6">
        <v>219</v>
      </c>
      <c r="B222" s="6" t="s">
        <v>10</v>
      </c>
      <c r="C222" s="6" t="str">
        <f>"孔德令"</f>
        <v>孔德令</v>
      </c>
      <c r="D222" s="6" t="str">
        <f>"女"</f>
        <v>女</v>
      </c>
      <c r="E222" s="6" t="str">
        <f>"10960010809"</f>
        <v>10960010809</v>
      </c>
      <c r="F222" s="6">
        <v>8</v>
      </c>
      <c r="G222" s="6">
        <v>9</v>
      </c>
      <c r="H222" s="7">
        <v>54.4</v>
      </c>
      <c r="I222" s="7"/>
    </row>
    <row r="223" ht="14.25" spans="1:9">
      <c r="A223" s="6">
        <v>220</v>
      </c>
      <c r="B223" s="6" t="s">
        <v>10</v>
      </c>
      <c r="C223" s="6" t="str">
        <f>"刘雅琳"</f>
        <v>刘雅琳</v>
      </c>
      <c r="D223" s="6" t="str">
        <f>"女"</f>
        <v>女</v>
      </c>
      <c r="E223" s="6" t="str">
        <f>"10960010810"</f>
        <v>10960010810</v>
      </c>
      <c r="F223" s="6">
        <v>8</v>
      </c>
      <c r="G223" s="6">
        <v>10</v>
      </c>
      <c r="H223" s="7">
        <v>69.3</v>
      </c>
      <c r="I223" s="7"/>
    </row>
    <row r="224" ht="14.25" spans="1:9">
      <c r="A224" s="6">
        <v>221</v>
      </c>
      <c r="B224" s="6" t="s">
        <v>10</v>
      </c>
      <c r="C224" s="6" t="str">
        <f>"简屹立"</f>
        <v>简屹立</v>
      </c>
      <c r="D224" s="6" t="str">
        <f>"男"</f>
        <v>男</v>
      </c>
      <c r="E224" s="6" t="str">
        <f>"10960010811"</f>
        <v>10960010811</v>
      </c>
      <c r="F224" s="6">
        <v>8</v>
      </c>
      <c r="G224" s="6">
        <v>11</v>
      </c>
      <c r="H224" s="7">
        <v>59.2</v>
      </c>
      <c r="I224" s="7"/>
    </row>
    <row r="225" ht="14.25" spans="1:9">
      <c r="A225" s="6">
        <v>222</v>
      </c>
      <c r="B225" s="6" t="s">
        <v>10</v>
      </c>
      <c r="C225" s="6" t="str">
        <f>"苑喜丹"</f>
        <v>苑喜丹</v>
      </c>
      <c r="D225" s="6" t="str">
        <f>"女"</f>
        <v>女</v>
      </c>
      <c r="E225" s="6" t="str">
        <f>"10960010812"</f>
        <v>10960010812</v>
      </c>
      <c r="F225" s="6">
        <v>8</v>
      </c>
      <c r="G225" s="6">
        <v>12</v>
      </c>
      <c r="H225" s="7" t="s">
        <v>11</v>
      </c>
      <c r="I225" s="7"/>
    </row>
    <row r="226" ht="14.25" spans="1:9">
      <c r="A226" s="6">
        <v>223</v>
      </c>
      <c r="B226" s="6" t="s">
        <v>10</v>
      </c>
      <c r="C226" s="6" t="str">
        <f>"柴丽丽"</f>
        <v>柴丽丽</v>
      </c>
      <c r="D226" s="6" t="str">
        <f>"女"</f>
        <v>女</v>
      </c>
      <c r="E226" s="6" t="str">
        <f>"10960010813"</f>
        <v>10960010813</v>
      </c>
      <c r="F226" s="6">
        <v>8</v>
      </c>
      <c r="G226" s="6">
        <v>13</v>
      </c>
      <c r="H226" s="7">
        <v>57.7</v>
      </c>
      <c r="I226" s="7"/>
    </row>
    <row r="227" ht="14.25" spans="1:9">
      <c r="A227" s="6">
        <v>224</v>
      </c>
      <c r="B227" s="6" t="s">
        <v>10</v>
      </c>
      <c r="C227" s="6" t="str">
        <f>"刘帅"</f>
        <v>刘帅</v>
      </c>
      <c r="D227" s="6" t="str">
        <f>"男"</f>
        <v>男</v>
      </c>
      <c r="E227" s="6" t="str">
        <f>"10960010814"</f>
        <v>10960010814</v>
      </c>
      <c r="F227" s="6">
        <v>8</v>
      </c>
      <c r="G227" s="6">
        <v>14</v>
      </c>
      <c r="H227" s="7" t="s">
        <v>11</v>
      </c>
      <c r="I227" s="7"/>
    </row>
    <row r="228" ht="14.25" spans="1:9">
      <c r="A228" s="6">
        <v>225</v>
      </c>
      <c r="B228" s="6" t="s">
        <v>10</v>
      </c>
      <c r="C228" s="6" t="str">
        <f>"梁晨晨"</f>
        <v>梁晨晨</v>
      </c>
      <c r="D228" s="6" t="str">
        <f>"男"</f>
        <v>男</v>
      </c>
      <c r="E228" s="6" t="str">
        <f>"10960010815"</f>
        <v>10960010815</v>
      </c>
      <c r="F228" s="6">
        <v>8</v>
      </c>
      <c r="G228" s="6">
        <v>15</v>
      </c>
      <c r="H228" s="7" t="s">
        <v>11</v>
      </c>
      <c r="I228" s="7"/>
    </row>
    <row r="229" ht="14.25" spans="1:9">
      <c r="A229" s="6">
        <v>226</v>
      </c>
      <c r="B229" s="6" t="s">
        <v>10</v>
      </c>
      <c r="C229" s="6" t="str">
        <f>"刘统"</f>
        <v>刘统</v>
      </c>
      <c r="D229" s="6" t="str">
        <f>"男"</f>
        <v>男</v>
      </c>
      <c r="E229" s="6" t="str">
        <f>"10960010816"</f>
        <v>10960010816</v>
      </c>
      <c r="F229" s="6">
        <v>8</v>
      </c>
      <c r="G229" s="6">
        <v>16</v>
      </c>
      <c r="H229" s="7" t="s">
        <v>11</v>
      </c>
      <c r="I229" s="7"/>
    </row>
    <row r="230" ht="14.25" spans="1:9">
      <c r="A230" s="6">
        <v>227</v>
      </c>
      <c r="B230" s="6" t="s">
        <v>10</v>
      </c>
      <c r="C230" s="6" t="str">
        <f>"武秋寒"</f>
        <v>武秋寒</v>
      </c>
      <c r="D230" s="6" t="str">
        <f>"女"</f>
        <v>女</v>
      </c>
      <c r="E230" s="6" t="str">
        <f>"10960010817"</f>
        <v>10960010817</v>
      </c>
      <c r="F230" s="6">
        <v>8</v>
      </c>
      <c r="G230" s="6">
        <v>17</v>
      </c>
      <c r="H230" s="7" t="s">
        <v>11</v>
      </c>
      <c r="I230" s="7"/>
    </row>
    <row r="231" ht="14.25" spans="1:9">
      <c r="A231" s="6">
        <v>228</v>
      </c>
      <c r="B231" s="6" t="s">
        <v>10</v>
      </c>
      <c r="C231" s="6" t="str">
        <f>"杨晓柯"</f>
        <v>杨晓柯</v>
      </c>
      <c r="D231" s="6" t="str">
        <f>"女"</f>
        <v>女</v>
      </c>
      <c r="E231" s="6" t="str">
        <f>"10960010818"</f>
        <v>10960010818</v>
      </c>
      <c r="F231" s="6">
        <v>8</v>
      </c>
      <c r="G231" s="6">
        <v>18</v>
      </c>
      <c r="H231" s="7">
        <v>63.4</v>
      </c>
      <c r="I231" s="7"/>
    </row>
    <row r="232" ht="14.25" spans="1:9">
      <c r="A232" s="6">
        <v>229</v>
      </c>
      <c r="B232" s="6" t="s">
        <v>10</v>
      </c>
      <c r="C232" s="6" t="str">
        <f>"赵毅"</f>
        <v>赵毅</v>
      </c>
      <c r="D232" s="6" t="str">
        <f t="shared" ref="D232:D241" si="6">"男"</f>
        <v>男</v>
      </c>
      <c r="E232" s="6" t="str">
        <f>"10960010819"</f>
        <v>10960010819</v>
      </c>
      <c r="F232" s="6">
        <v>8</v>
      </c>
      <c r="G232" s="6">
        <v>19</v>
      </c>
      <c r="H232" s="7">
        <v>59.7</v>
      </c>
      <c r="I232" s="7"/>
    </row>
    <row r="233" ht="14.25" spans="1:9">
      <c r="A233" s="6">
        <v>230</v>
      </c>
      <c r="B233" s="6" t="s">
        <v>12</v>
      </c>
      <c r="C233" s="6" t="str">
        <f>"牛堰"</f>
        <v>牛堰</v>
      </c>
      <c r="D233" s="6" t="str">
        <f t="shared" si="6"/>
        <v>男</v>
      </c>
      <c r="E233" s="6" t="str">
        <f>"10960020820"</f>
        <v>10960020820</v>
      </c>
      <c r="F233" s="6">
        <v>8</v>
      </c>
      <c r="G233" s="6">
        <v>20</v>
      </c>
      <c r="H233" s="7">
        <v>61.2</v>
      </c>
      <c r="I233" s="7"/>
    </row>
    <row r="234" ht="14.25" spans="1:9">
      <c r="A234" s="6">
        <v>231</v>
      </c>
      <c r="B234" s="6" t="s">
        <v>12</v>
      </c>
      <c r="C234" s="6" t="str">
        <f>"罗淏"</f>
        <v>罗淏</v>
      </c>
      <c r="D234" s="6" t="str">
        <f t="shared" si="6"/>
        <v>男</v>
      </c>
      <c r="E234" s="6" t="str">
        <f>"10960020821"</f>
        <v>10960020821</v>
      </c>
      <c r="F234" s="6">
        <v>8</v>
      </c>
      <c r="G234" s="6">
        <v>21</v>
      </c>
      <c r="H234" s="7">
        <v>60</v>
      </c>
      <c r="I234" s="7"/>
    </row>
    <row r="235" ht="14.25" spans="1:9">
      <c r="A235" s="6">
        <v>232</v>
      </c>
      <c r="B235" s="6" t="s">
        <v>12</v>
      </c>
      <c r="C235" s="6" t="str">
        <f>"唐豪"</f>
        <v>唐豪</v>
      </c>
      <c r="D235" s="6" t="str">
        <f t="shared" si="6"/>
        <v>男</v>
      </c>
      <c r="E235" s="6" t="str">
        <f>"10960020822"</f>
        <v>10960020822</v>
      </c>
      <c r="F235" s="6">
        <v>8</v>
      </c>
      <c r="G235" s="6">
        <v>22</v>
      </c>
      <c r="H235" s="7">
        <v>71.7</v>
      </c>
      <c r="I235" s="7"/>
    </row>
    <row r="236" ht="14.25" spans="1:9">
      <c r="A236" s="6">
        <v>233</v>
      </c>
      <c r="B236" s="6" t="s">
        <v>12</v>
      </c>
      <c r="C236" s="6" t="str">
        <f>"钟佳"</f>
        <v>钟佳</v>
      </c>
      <c r="D236" s="6" t="str">
        <f t="shared" si="6"/>
        <v>男</v>
      </c>
      <c r="E236" s="6" t="str">
        <f>"10960020823"</f>
        <v>10960020823</v>
      </c>
      <c r="F236" s="6">
        <v>8</v>
      </c>
      <c r="G236" s="6">
        <v>23</v>
      </c>
      <c r="H236" s="7">
        <v>58.6</v>
      </c>
      <c r="I236" s="7"/>
    </row>
    <row r="237" ht="14.25" spans="1:9">
      <c r="A237" s="6">
        <v>234</v>
      </c>
      <c r="B237" s="6" t="s">
        <v>12</v>
      </c>
      <c r="C237" s="6" t="str">
        <f>"庄申"</f>
        <v>庄申</v>
      </c>
      <c r="D237" s="6" t="str">
        <f t="shared" si="6"/>
        <v>男</v>
      </c>
      <c r="E237" s="6" t="str">
        <f>"10960020824"</f>
        <v>10960020824</v>
      </c>
      <c r="F237" s="6">
        <v>8</v>
      </c>
      <c r="G237" s="6">
        <v>24</v>
      </c>
      <c r="H237" s="7" t="s">
        <v>11</v>
      </c>
      <c r="I237" s="7"/>
    </row>
    <row r="238" ht="14.25" spans="1:9">
      <c r="A238" s="6">
        <v>235</v>
      </c>
      <c r="B238" s="6" t="s">
        <v>12</v>
      </c>
      <c r="C238" s="6" t="str">
        <f>"孙亮"</f>
        <v>孙亮</v>
      </c>
      <c r="D238" s="6" t="str">
        <f t="shared" si="6"/>
        <v>男</v>
      </c>
      <c r="E238" s="6" t="str">
        <f>"10960020825"</f>
        <v>10960020825</v>
      </c>
      <c r="F238" s="6">
        <v>8</v>
      </c>
      <c r="G238" s="6">
        <v>25</v>
      </c>
      <c r="H238" s="7" t="s">
        <v>11</v>
      </c>
      <c r="I238" s="7"/>
    </row>
    <row r="239" ht="14.25" spans="1:9">
      <c r="A239" s="6">
        <v>236</v>
      </c>
      <c r="B239" s="6" t="s">
        <v>12</v>
      </c>
      <c r="C239" s="6" t="str">
        <f>"孙震"</f>
        <v>孙震</v>
      </c>
      <c r="D239" s="6" t="str">
        <f t="shared" si="6"/>
        <v>男</v>
      </c>
      <c r="E239" s="6" t="str">
        <f>"10960020826"</f>
        <v>10960020826</v>
      </c>
      <c r="F239" s="6">
        <v>8</v>
      </c>
      <c r="G239" s="6">
        <v>26</v>
      </c>
      <c r="H239" s="7">
        <v>68.9</v>
      </c>
      <c r="I239" s="7"/>
    </row>
    <row r="240" ht="14.25" spans="1:9">
      <c r="A240" s="6">
        <v>237</v>
      </c>
      <c r="B240" s="6" t="s">
        <v>12</v>
      </c>
      <c r="C240" s="6" t="str">
        <f>"张冬"</f>
        <v>张冬</v>
      </c>
      <c r="D240" s="6" t="str">
        <f t="shared" si="6"/>
        <v>男</v>
      </c>
      <c r="E240" s="6" t="str">
        <f>"10960020827"</f>
        <v>10960020827</v>
      </c>
      <c r="F240" s="6">
        <v>8</v>
      </c>
      <c r="G240" s="6">
        <v>27</v>
      </c>
      <c r="H240" s="7">
        <v>71.6</v>
      </c>
      <c r="I240" s="7"/>
    </row>
    <row r="241" ht="14.25" spans="1:9">
      <c r="A241" s="6">
        <v>238</v>
      </c>
      <c r="B241" s="6" t="s">
        <v>12</v>
      </c>
      <c r="C241" s="6" t="str">
        <f>"穆峥"</f>
        <v>穆峥</v>
      </c>
      <c r="D241" s="6" t="str">
        <f t="shared" si="6"/>
        <v>男</v>
      </c>
      <c r="E241" s="6" t="str">
        <f>"10960020828"</f>
        <v>10960020828</v>
      </c>
      <c r="F241" s="6">
        <v>8</v>
      </c>
      <c r="G241" s="6">
        <v>28</v>
      </c>
      <c r="H241" s="7" t="s">
        <v>11</v>
      </c>
      <c r="I241" s="7"/>
    </row>
    <row r="242" ht="14.25" spans="1:9">
      <c r="A242" s="6">
        <v>239</v>
      </c>
      <c r="B242" s="6" t="s">
        <v>12</v>
      </c>
      <c r="C242" s="6" t="str">
        <f>"李锐"</f>
        <v>李锐</v>
      </c>
      <c r="D242" s="6" t="str">
        <f>"女"</f>
        <v>女</v>
      </c>
      <c r="E242" s="6" t="str">
        <f>"10960020829"</f>
        <v>10960020829</v>
      </c>
      <c r="F242" s="6">
        <v>8</v>
      </c>
      <c r="G242" s="6">
        <v>29</v>
      </c>
      <c r="H242" s="7">
        <v>56.4</v>
      </c>
      <c r="I242" s="7"/>
    </row>
    <row r="243" ht="14.25" spans="1:9">
      <c r="A243" s="6">
        <v>240</v>
      </c>
      <c r="B243" s="6" t="s">
        <v>12</v>
      </c>
      <c r="C243" s="6" t="str">
        <f>"王振坤"</f>
        <v>王振坤</v>
      </c>
      <c r="D243" s="6" t="str">
        <f t="shared" ref="D243:D252" si="7">"男"</f>
        <v>男</v>
      </c>
      <c r="E243" s="6" t="str">
        <f>"10960020830"</f>
        <v>10960020830</v>
      </c>
      <c r="F243" s="6">
        <v>8</v>
      </c>
      <c r="G243" s="6">
        <v>30</v>
      </c>
      <c r="H243" s="7" t="s">
        <v>11</v>
      </c>
      <c r="I243" s="7"/>
    </row>
    <row r="244" ht="14.25" spans="1:9">
      <c r="A244" s="6">
        <v>241</v>
      </c>
      <c r="B244" s="6" t="s">
        <v>12</v>
      </c>
      <c r="C244" s="6" t="str">
        <f>"宋江涛"</f>
        <v>宋江涛</v>
      </c>
      <c r="D244" s="6" t="str">
        <f t="shared" si="7"/>
        <v>男</v>
      </c>
      <c r="E244" s="6" t="str">
        <f>"10960020901"</f>
        <v>10960020901</v>
      </c>
      <c r="F244" s="6">
        <v>9</v>
      </c>
      <c r="G244" s="6">
        <v>1</v>
      </c>
      <c r="H244" s="7">
        <v>59.8</v>
      </c>
      <c r="I244" s="7"/>
    </row>
    <row r="245" ht="14.25" spans="1:9">
      <c r="A245" s="6">
        <v>242</v>
      </c>
      <c r="B245" s="6" t="s">
        <v>12</v>
      </c>
      <c r="C245" s="6" t="str">
        <f>"刘锡坤"</f>
        <v>刘锡坤</v>
      </c>
      <c r="D245" s="6" t="str">
        <f t="shared" si="7"/>
        <v>男</v>
      </c>
      <c r="E245" s="6" t="str">
        <f>"10960020902"</f>
        <v>10960020902</v>
      </c>
      <c r="F245" s="6">
        <v>9</v>
      </c>
      <c r="G245" s="6">
        <v>2</v>
      </c>
      <c r="H245" s="7">
        <v>60</v>
      </c>
      <c r="I245" s="7"/>
    </row>
    <row r="246" ht="14.25" spans="1:9">
      <c r="A246" s="6">
        <v>243</v>
      </c>
      <c r="B246" s="6" t="s">
        <v>12</v>
      </c>
      <c r="C246" s="6" t="str">
        <f>"王森"</f>
        <v>王森</v>
      </c>
      <c r="D246" s="6" t="str">
        <f t="shared" si="7"/>
        <v>男</v>
      </c>
      <c r="E246" s="6" t="str">
        <f>"10960020903"</f>
        <v>10960020903</v>
      </c>
      <c r="F246" s="6">
        <v>9</v>
      </c>
      <c r="G246" s="6">
        <v>3</v>
      </c>
      <c r="H246" s="7">
        <v>64.6</v>
      </c>
      <c r="I246" s="7"/>
    </row>
    <row r="247" ht="14.25" spans="1:9">
      <c r="A247" s="6">
        <v>244</v>
      </c>
      <c r="B247" s="6" t="s">
        <v>12</v>
      </c>
      <c r="C247" s="6" t="str">
        <f>"谷龙龙"</f>
        <v>谷龙龙</v>
      </c>
      <c r="D247" s="6" t="str">
        <f t="shared" si="7"/>
        <v>男</v>
      </c>
      <c r="E247" s="6" t="str">
        <f>"10960020904"</f>
        <v>10960020904</v>
      </c>
      <c r="F247" s="6">
        <v>9</v>
      </c>
      <c r="G247" s="6">
        <v>4</v>
      </c>
      <c r="H247" s="7">
        <v>66.2</v>
      </c>
      <c r="I247" s="7"/>
    </row>
    <row r="248" ht="14.25" spans="1:9">
      <c r="A248" s="6">
        <v>245</v>
      </c>
      <c r="B248" s="6" t="s">
        <v>12</v>
      </c>
      <c r="C248" s="6" t="str">
        <f>"张福"</f>
        <v>张福</v>
      </c>
      <c r="D248" s="6" t="str">
        <f t="shared" si="7"/>
        <v>男</v>
      </c>
      <c r="E248" s="6" t="str">
        <f>"10960020905"</f>
        <v>10960020905</v>
      </c>
      <c r="F248" s="6">
        <v>9</v>
      </c>
      <c r="G248" s="6">
        <v>5</v>
      </c>
      <c r="H248" s="7">
        <v>64.4</v>
      </c>
      <c r="I248" s="7"/>
    </row>
    <row r="249" ht="14.25" spans="1:9">
      <c r="A249" s="6">
        <v>246</v>
      </c>
      <c r="B249" s="6" t="s">
        <v>12</v>
      </c>
      <c r="C249" s="6" t="str">
        <f>"周鹏"</f>
        <v>周鹏</v>
      </c>
      <c r="D249" s="6" t="str">
        <f t="shared" si="7"/>
        <v>男</v>
      </c>
      <c r="E249" s="6" t="str">
        <f>"10960020906"</f>
        <v>10960020906</v>
      </c>
      <c r="F249" s="6">
        <v>9</v>
      </c>
      <c r="G249" s="6">
        <v>6</v>
      </c>
      <c r="H249" s="7">
        <v>69</v>
      </c>
      <c r="I249" s="7"/>
    </row>
    <row r="250" ht="14.25" spans="1:9">
      <c r="A250" s="6">
        <v>247</v>
      </c>
      <c r="B250" s="6" t="s">
        <v>12</v>
      </c>
      <c r="C250" s="6" t="str">
        <f>"郝林超"</f>
        <v>郝林超</v>
      </c>
      <c r="D250" s="6" t="str">
        <f t="shared" si="7"/>
        <v>男</v>
      </c>
      <c r="E250" s="6" t="str">
        <f>"10960020907"</f>
        <v>10960020907</v>
      </c>
      <c r="F250" s="6">
        <v>9</v>
      </c>
      <c r="G250" s="6">
        <v>7</v>
      </c>
      <c r="H250" s="7">
        <v>67.9</v>
      </c>
      <c r="I250" s="7"/>
    </row>
    <row r="251" ht="14.25" spans="1:9">
      <c r="A251" s="6">
        <v>248</v>
      </c>
      <c r="B251" s="6" t="s">
        <v>12</v>
      </c>
      <c r="C251" s="6" t="str">
        <f>"刘洪涛"</f>
        <v>刘洪涛</v>
      </c>
      <c r="D251" s="6" t="str">
        <f t="shared" si="7"/>
        <v>男</v>
      </c>
      <c r="E251" s="6" t="str">
        <f>"10960020908"</f>
        <v>10960020908</v>
      </c>
      <c r="F251" s="6">
        <v>9</v>
      </c>
      <c r="G251" s="6">
        <v>8</v>
      </c>
      <c r="H251" s="7">
        <v>69.2</v>
      </c>
      <c r="I251" s="7"/>
    </row>
    <row r="252" ht="14.25" spans="1:9">
      <c r="A252" s="6">
        <v>249</v>
      </c>
      <c r="B252" s="6" t="s">
        <v>12</v>
      </c>
      <c r="C252" s="6" t="str">
        <f>"李政宇"</f>
        <v>李政宇</v>
      </c>
      <c r="D252" s="6" t="str">
        <f t="shared" si="7"/>
        <v>男</v>
      </c>
      <c r="E252" s="6" t="str">
        <f>"10960020909"</f>
        <v>10960020909</v>
      </c>
      <c r="F252" s="6">
        <v>9</v>
      </c>
      <c r="G252" s="6">
        <v>9</v>
      </c>
      <c r="H252" s="7">
        <v>41.1</v>
      </c>
      <c r="I252" s="7"/>
    </row>
    <row r="253" ht="14.25" spans="1:9">
      <c r="A253" s="6">
        <v>250</v>
      </c>
      <c r="B253" s="6" t="s">
        <v>12</v>
      </c>
      <c r="C253" s="6" t="str">
        <f>"贾梦"</f>
        <v>贾梦</v>
      </c>
      <c r="D253" s="6" t="str">
        <f>"女"</f>
        <v>女</v>
      </c>
      <c r="E253" s="6" t="str">
        <f>"10960020910"</f>
        <v>10960020910</v>
      </c>
      <c r="F253" s="6">
        <v>9</v>
      </c>
      <c r="G253" s="6">
        <v>10</v>
      </c>
      <c r="H253" s="7">
        <v>67.2</v>
      </c>
      <c r="I253" s="7"/>
    </row>
    <row r="254" ht="14.25" spans="1:9">
      <c r="A254" s="6">
        <v>251</v>
      </c>
      <c r="B254" s="6" t="s">
        <v>12</v>
      </c>
      <c r="C254" s="6" t="str">
        <f>"付永昌"</f>
        <v>付永昌</v>
      </c>
      <c r="D254" s="6" t="str">
        <f>"男"</f>
        <v>男</v>
      </c>
      <c r="E254" s="6" t="str">
        <f>"10960020911"</f>
        <v>10960020911</v>
      </c>
      <c r="F254" s="6">
        <v>9</v>
      </c>
      <c r="G254" s="6">
        <v>11</v>
      </c>
      <c r="H254" s="7" t="s">
        <v>11</v>
      </c>
      <c r="I254" s="7"/>
    </row>
  </sheetData>
  <sortState ref="A4:I254">
    <sortCondition ref="A4:A254"/>
  </sortState>
  <mergeCells count="1">
    <mergeCell ref="A1:I2"/>
  </mergeCells>
  <printOptions horizontalCentered="1"/>
  <pageMargins left="0.747916666666667" right="0.700694444444445" top="0.751388888888889" bottom="0.948611111111111" header="0.298611111111111" footer="0.495833333333333"/>
  <pageSetup paperSize="9" orientation="portrait" horizontalDpi="600"/>
  <headerFooter>
    <oddFooter>&amp;C&amp;12&amp;B第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2020-09-08T08:38:00Z</dcterms:created>
  <dcterms:modified xsi:type="dcterms:W3CDTF">2020-09-08T10:55:54Z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