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<sst xmlns="http://schemas.openxmlformats.org/spreadsheetml/2006/main" count="3045" uniqueCount="102">
  <si>
    <t>体能测试人员分组表</t>
  </si>
  <si>
    <t>第一组</t>
  </si>
  <si>
    <t>序号</t>
  </si>
  <si>
    <t>报考   单位</t>
  </si>
  <si>
    <t>考生  姓名</t>
  </si>
  <si>
    <t>性别</t>
  </si>
  <si>
    <t>身份证号码</t>
  </si>
  <si>
    <t>考核时间</t>
  </si>
  <si>
    <t>报到时间</t>
  </si>
  <si>
    <t>备注</t>
  </si>
  <si>
    <t>1</t>
  </si>
  <si>
    <t>男</t>
  </si>
  <si>
    <t>上午8：00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</si>
  <si>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</si>
  <si>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</si>
  <si>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</si>
  <si>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</si>
  <si>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</si>
  <si>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</si>
  <si>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</si>
  <si>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</si>
  <si>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</si>
  <si>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</si>
  <si>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</si>
  <si>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</si>
  <si>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</si>
  <si>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</si>
  <si>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</si>
  <si>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</si>
  <si>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</si>
  <si>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</si>
  <si>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</si>
  <si>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</si>
  <si>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</si>
  <si>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</si>
  <si>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</si>
  <si>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</si>
  <si>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</si>
  <si>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</si>
  <si>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</si>
  <si>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</si>
  <si>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</si>
  <si>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</si>
  <si>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</si>
  <si>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</si>
  <si>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</si>
  <si>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</si>
  <si>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</si>
  <si>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</si>
  <si>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</si>
  <si>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</si>
  <si>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</si>
  <si>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</si>
  <si>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</si>
  <si>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</si>
  <si>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</si>
  <si>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</si>
  <si>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</si>
  <si>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</si>
  <si>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</si>
  <si>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</si>
  <si>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</si>
  <si>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</si>
  <si>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</si>
  <si>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</si>
  <si>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</si>
  <si>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</si>
  <si>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</si>
  <si>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</si>
  <si>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</si>
  <si>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</si>
  <si>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</si>
  <si>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</si>
  <si>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</si>
  <si>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</si>
  <si>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</si>
  <si>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</si>
  <si>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</si>
  <si>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</si>
  <si>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</si>
  <si>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</si>
  <si>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</si>
  <si>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第二组</t>
  </si>
  <si>
    <t>第三组</t>
  </si>
  <si>
    <t>女</t>
  </si>
  <si>
    <t>第四组</t>
  </si>
  <si>
    <t>新客运站派出所</t>
  </si>
  <si>
    <t>第五组</t>
  </si>
  <si>
    <t>上午9：30</t>
  </si>
  <si>
    <t>第六组</t>
  </si>
  <si>
    <t>大石派出所</t>
  </si>
  <si>
    <t>第七组</t>
  </si>
  <si>
    <t>洛溪新城派出所</t>
  </si>
  <si>
    <t>南村派出所</t>
  </si>
  <si>
    <t>第八组</t>
  </si>
  <si>
    <t>第九组</t>
  </si>
  <si>
    <t>上午10：45</t>
  </si>
  <si>
    <t>第十组</t>
  </si>
  <si>
    <t>小谷围派出所</t>
  </si>
  <si>
    <t>第十一组</t>
  </si>
  <si>
    <t>钟村派出所</t>
  </si>
  <si>
    <t>第十二组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</si>
</sst>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8"/>
      <name val="宋体"/>
      <family val="0"/>
    </font>
    <font>
      <sz val="18"/>
      <name val="黑体"/>
      <family val="3"/>
    </font>
    <font>
      <b/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1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5" fillId="0" borderId="0">
      <alignment/>
      <protection/>
    </xf>
  </cellStyleXfs>
  <cellXfs count="21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58" fontId="4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58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11"/>
  <sheetViews>
    <sheetView tabSelected="1" workbookViewId="0" topLeftCell="A370">
      <selection activeCell="P403" sqref="P403"/>
    </sheetView>
  </sheetViews>
  <sheetFormatPr defaultColWidth="9.00390625" defaultRowHeight="14.25"/>
  <cols>
    <col min="1" max="1" width="5.25390625" style="1" customWidth="1"/>
    <col min="2" max="2" width="12.375" style="1" customWidth="1"/>
    <col min="3" max="3" width="7.875" style="1" customWidth="1"/>
    <col min="4" max="4" width="5.50390625" style="1" customWidth="1"/>
    <col min="5" max="5" width="19.25390625" style="1" customWidth="1"/>
    <col min="6" max="6" width="11.50390625" style="1" customWidth="1"/>
    <col min="7" max="7" width="12.00390625" style="1" customWidth="1"/>
    <col min="8" max="8" width="6.75390625" style="1" customWidth="1"/>
    <col min="9" max="16384" width="9.00390625" style="1" customWidth="1"/>
  </cols>
  <sheetData>
    <row r="1" spans="1:8" ht="37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2.5">
      <c r="A2" s="3" t="s">
        <v>1</v>
      </c>
      <c r="B2" s="3"/>
      <c r="C2" s="3"/>
      <c r="D2" s="3"/>
      <c r="E2" s="3"/>
      <c r="F2" s="3"/>
      <c r="G2" s="3"/>
      <c r="H2" s="3"/>
    </row>
    <row r="3" spans="1:8" ht="42" customHeight="1">
      <c r="A3" s="4" t="s">
        <v>2</v>
      </c>
      <c r="B3" s="4" t="s">
        <v>3</v>
      </c>
      <c r="C3" s="5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 t="s">
        <v>9</v>
      </c>
    </row>
    <row r="4" spans="1:8" ht="14.25" customHeight="1">
      <c r="A4" s="6" t="s">
        <v>10</v>
      </c>
      <c r="B4" s="7" t="str">
        <f aca="true" t="shared" si="0" ref="B4:B67">"机动大队"</f>
        <v>机动大队</v>
      </c>
      <c r="C4" s="8" t="str">
        <f>"黄远超"</f>
        <v>黄远超</v>
      </c>
      <c r="D4" s="9" t="s">
        <v>11</v>
      </c>
      <c r="E4" s="8" t="str">
        <f>"441481199611181175"</f>
        <v>441481199611181175</v>
      </c>
      <c r="F4" s="10">
        <v>44082</v>
      </c>
      <c r="G4" s="11" t="s">
        <v>12</v>
      </c>
      <c r="H4" s="11"/>
    </row>
    <row r="5" spans="1:8" ht="14.25" customHeight="1">
      <c r="A5" s="6" t="s">
        <v>13</v>
      </c>
      <c r="B5" s="7" t="str">
        <f t="shared" si="0"/>
        <v>机动大队</v>
      </c>
      <c r="C5" s="8" t="str">
        <f>"潘俊豪"</f>
        <v>潘俊豪</v>
      </c>
      <c r="D5" s="9" t="s">
        <v>11</v>
      </c>
      <c r="E5" s="8" t="str">
        <f>"440183199810092437"</f>
        <v>440183199810092437</v>
      </c>
      <c r="F5" s="10">
        <v>44082</v>
      </c>
      <c r="G5" s="11" t="s">
        <v>12</v>
      </c>
      <c r="H5" s="11"/>
    </row>
    <row r="6" spans="1:8" ht="14.25" customHeight="1">
      <c r="A6" s="6" t="s">
        <v>14</v>
      </c>
      <c r="B6" s="7" t="str">
        <f t="shared" si="0"/>
        <v>机动大队</v>
      </c>
      <c r="C6" s="8" t="str">
        <f>"刘炳钦"</f>
        <v>刘炳钦</v>
      </c>
      <c r="D6" s="9" t="s">
        <v>11</v>
      </c>
      <c r="E6" s="8" t="str">
        <f>"441501199601214555"</f>
        <v>441501199601214555</v>
      </c>
      <c r="F6" s="10">
        <v>44082</v>
      </c>
      <c r="G6" s="11" t="s">
        <v>12</v>
      </c>
      <c r="H6" s="11"/>
    </row>
    <row r="7" spans="1:8" ht="14.25" customHeight="1">
      <c r="A7" s="6" t="s">
        <v>15</v>
      </c>
      <c r="B7" s="7" t="str">
        <f t="shared" si="0"/>
        <v>机动大队</v>
      </c>
      <c r="C7" s="8" t="str">
        <f>"许文乐"</f>
        <v>许文乐</v>
      </c>
      <c r="D7" s="9" t="s">
        <v>11</v>
      </c>
      <c r="E7" s="8" t="str">
        <f>"440181199810258430"</f>
        <v>440181199810258430</v>
      </c>
      <c r="F7" s="10">
        <v>44082</v>
      </c>
      <c r="G7" s="11" t="s">
        <v>12</v>
      </c>
      <c r="H7" s="11"/>
    </row>
    <row r="8" spans="1:8" ht="14.25" customHeight="1">
      <c r="A8" s="6" t="s">
        <v>16</v>
      </c>
      <c r="B8" s="7" t="str">
        <f t="shared" si="0"/>
        <v>机动大队</v>
      </c>
      <c r="C8" s="8" t="str">
        <f>"郭子明"</f>
        <v>郭子明</v>
      </c>
      <c r="D8" s="9" t="s">
        <v>11</v>
      </c>
      <c r="E8" s="8" t="str">
        <f>"440115200001061816"</f>
        <v>440115200001061816</v>
      </c>
      <c r="F8" s="10">
        <v>44082</v>
      </c>
      <c r="G8" s="11" t="s">
        <v>12</v>
      </c>
      <c r="H8" s="11"/>
    </row>
    <row r="9" spans="1:8" ht="14.25" customHeight="1">
      <c r="A9" s="6" t="s">
        <v>17</v>
      </c>
      <c r="B9" s="7" t="str">
        <f t="shared" si="0"/>
        <v>机动大队</v>
      </c>
      <c r="C9" s="8" t="str">
        <f>"蔡楚宏"</f>
        <v>蔡楚宏</v>
      </c>
      <c r="D9" s="9" t="s">
        <v>11</v>
      </c>
      <c r="E9" s="8" t="str">
        <f>"440181199709118417"</f>
        <v>440181199709118417</v>
      </c>
      <c r="F9" s="10">
        <v>44082</v>
      </c>
      <c r="G9" s="11" t="s">
        <v>12</v>
      </c>
      <c r="H9" s="11"/>
    </row>
    <row r="10" spans="1:8" ht="14.25" customHeight="1">
      <c r="A10" s="6" t="s">
        <v>18</v>
      </c>
      <c r="B10" s="7" t="str">
        <f t="shared" si="0"/>
        <v>机动大队</v>
      </c>
      <c r="C10" s="8" t="str">
        <f>"张健勇"</f>
        <v>张健勇</v>
      </c>
      <c r="D10" s="9" t="s">
        <v>11</v>
      </c>
      <c r="E10" s="8" t="str">
        <f>"440181199605304215"</f>
        <v>440181199605304215</v>
      </c>
      <c r="F10" s="10">
        <v>44082</v>
      </c>
      <c r="G10" s="11" t="s">
        <v>12</v>
      </c>
      <c r="H10" s="11"/>
    </row>
    <row r="11" spans="1:8" ht="14.25" customHeight="1">
      <c r="A11" s="6" t="s">
        <v>19</v>
      </c>
      <c r="B11" s="7" t="str">
        <f t="shared" si="0"/>
        <v>机动大队</v>
      </c>
      <c r="C11" s="8" t="str">
        <f>"曾文杰"</f>
        <v>曾文杰</v>
      </c>
      <c r="D11" s="9" t="s">
        <v>11</v>
      </c>
      <c r="E11" s="8" t="str">
        <f>"440183199809053131"</f>
        <v>440183199809053131</v>
      </c>
      <c r="F11" s="10">
        <v>44082</v>
      </c>
      <c r="G11" s="11" t="s">
        <v>12</v>
      </c>
      <c r="H11" s="11"/>
    </row>
    <row r="12" spans="1:8" ht="14.25" customHeight="1">
      <c r="A12" s="6" t="s">
        <v>20</v>
      </c>
      <c r="B12" s="7" t="str">
        <f t="shared" si="0"/>
        <v>机动大队</v>
      </c>
      <c r="C12" s="8" t="str">
        <f>"罗国钰"</f>
        <v>罗国钰</v>
      </c>
      <c r="D12" s="9" t="s">
        <v>11</v>
      </c>
      <c r="E12" s="8" t="str">
        <f>"440181199710011510"</f>
        <v>440181199710011510</v>
      </c>
      <c r="F12" s="10">
        <v>44082</v>
      </c>
      <c r="G12" s="11" t="s">
        <v>12</v>
      </c>
      <c r="H12" s="11"/>
    </row>
    <row r="13" spans="1:8" ht="14.25" customHeight="1">
      <c r="A13" s="6" t="s">
        <v>21</v>
      </c>
      <c r="B13" s="7" t="str">
        <f t="shared" si="0"/>
        <v>机动大队</v>
      </c>
      <c r="C13" s="8" t="str">
        <f>"罗世铭"</f>
        <v>罗世铭</v>
      </c>
      <c r="D13" s="9" t="s">
        <v>11</v>
      </c>
      <c r="E13" s="8" t="str">
        <f>"440181199609097516"</f>
        <v>440181199609097516</v>
      </c>
      <c r="F13" s="10">
        <v>44082</v>
      </c>
      <c r="G13" s="11" t="s">
        <v>12</v>
      </c>
      <c r="H13" s="11"/>
    </row>
    <row r="14" spans="1:8" ht="14.25" customHeight="1">
      <c r="A14" s="6" t="s">
        <v>22</v>
      </c>
      <c r="B14" s="7" t="str">
        <f t="shared" si="0"/>
        <v>机动大队</v>
      </c>
      <c r="C14" s="8" t="str">
        <f>"许昌铿"</f>
        <v>许昌铿</v>
      </c>
      <c r="D14" s="9" t="s">
        <v>11</v>
      </c>
      <c r="E14" s="8" t="str">
        <f>"440923199603012171"</f>
        <v>440923199603012171</v>
      </c>
      <c r="F14" s="10">
        <v>44082</v>
      </c>
      <c r="G14" s="11" t="s">
        <v>12</v>
      </c>
      <c r="H14" s="11"/>
    </row>
    <row r="15" spans="1:8" ht="14.25" customHeight="1">
      <c r="A15" s="6" t="s">
        <v>23</v>
      </c>
      <c r="B15" s="7" t="str">
        <f t="shared" si="0"/>
        <v>机动大队</v>
      </c>
      <c r="C15" s="8" t="str">
        <f>"陈铭炫"</f>
        <v>陈铭炫</v>
      </c>
      <c r="D15" s="9" t="s">
        <v>11</v>
      </c>
      <c r="E15" s="8" t="str">
        <f>"440181199901023610"</f>
        <v>440181199901023610</v>
      </c>
      <c r="F15" s="10">
        <v>44082</v>
      </c>
      <c r="G15" s="11" t="s">
        <v>12</v>
      </c>
      <c r="H15" s="11"/>
    </row>
    <row r="16" spans="1:8" ht="14.25" customHeight="1">
      <c r="A16" s="6" t="s">
        <v>24</v>
      </c>
      <c r="B16" s="7" t="str">
        <f t="shared" si="0"/>
        <v>机动大队</v>
      </c>
      <c r="C16" s="8" t="str">
        <f>"梁海铭"</f>
        <v>梁海铭</v>
      </c>
      <c r="D16" s="9" t="s">
        <v>11</v>
      </c>
      <c r="E16" s="8" t="str">
        <f>"440181199705240618"</f>
        <v>440181199705240618</v>
      </c>
      <c r="F16" s="10">
        <v>44082</v>
      </c>
      <c r="G16" s="11" t="s">
        <v>12</v>
      </c>
      <c r="H16" s="11"/>
    </row>
    <row r="17" spans="1:8" ht="14.25" customHeight="1">
      <c r="A17" s="6" t="s">
        <v>25</v>
      </c>
      <c r="B17" s="7" t="str">
        <f t="shared" si="0"/>
        <v>机动大队</v>
      </c>
      <c r="C17" s="8" t="str">
        <f>"李博"</f>
        <v>李博</v>
      </c>
      <c r="D17" s="9" t="s">
        <v>11</v>
      </c>
      <c r="E17" s="8" t="str">
        <f>"440981199602166818"</f>
        <v>440981199602166818</v>
      </c>
      <c r="F17" s="10">
        <v>44082</v>
      </c>
      <c r="G17" s="11" t="s">
        <v>12</v>
      </c>
      <c r="H17" s="11"/>
    </row>
    <row r="18" spans="1:8" ht="14.25" customHeight="1">
      <c r="A18" s="6" t="s">
        <v>26</v>
      </c>
      <c r="B18" s="7" t="str">
        <f t="shared" si="0"/>
        <v>机动大队</v>
      </c>
      <c r="C18" s="8" t="str">
        <f>"冯铭健"</f>
        <v>冯铭健</v>
      </c>
      <c r="D18" s="9" t="s">
        <v>11</v>
      </c>
      <c r="E18" s="8" t="str">
        <f>"440181199812110632"</f>
        <v>440181199812110632</v>
      </c>
      <c r="F18" s="10">
        <v>44082</v>
      </c>
      <c r="G18" s="11" t="s">
        <v>12</v>
      </c>
      <c r="H18" s="11"/>
    </row>
    <row r="19" spans="1:8" ht="14.25" customHeight="1">
      <c r="A19" s="6" t="s">
        <v>27</v>
      </c>
      <c r="B19" s="7" t="str">
        <f t="shared" si="0"/>
        <v>机动大队</v>
      </c>
      <c r="C19" s="8" t="str">
        <f>"杜泽诚"</f>
        <v>杜泽诚</v>
      </c>
      <c r="D19" s="9" t="s">
        <v>11</v>
      </c>
      <c r="E19" s="8" t="str">
        <f>"440181199901104218"</f>
        <v>440181199901104218</v>
      </c>
      <c r="F19" s="10">
        <v>44082</v>
      </c>
      <c r="G19" s="11" t="s">
        <v>12</v>
      </c>
      <c r="H19" s="11"/>
    </row>
    <row r="20" spans="1:8" ht="14.25" customHeight="1">
      <c r="A20" s="6" t="s">
        <v>28</v>
      </c>
      <c r="B20" s="7" t="str">
        <f t="shared" si="0"/>
        <v>机动大队</v>
      </c>
      <c r="C20" s="8" t="str">
        <f>"黄文武"</f>
        <v>黄文武</v>
      </c>
      <c r="D20" s="9" t="s">
        <v>11</v>
      </c>
      <c r="E20" s="8" t="str">
        <f>"440183199808134837"</f>
        <v>440183199808134837</v>
      </c>
      <c r="F20" s="10">
        <v>44082</v>
      </c>
      <c r="G20" s="11" t="s">
        <v>12</v>
      </c>
      <c r="H20" s="11"/>
    </row>
    <row r="21" spans="1:8" ht="14.25" customHeight="1">
      <c r="A21" s="6" t="s">
        <v>29</v>
      </c>
      <c r="B21" s="7" t="str">
        <f t="shared" si="0"/>
        <v>机动大队</v>
      </c>
      <c r="C21" s="8" t="str">
        <f>"魏力俊"</f>
        <v>魏力俊</v>
      </c>
      <c r="D21" s="9" t="s">
        <v>11</v>
      </c>
      <c r="E21" s="8" t="str">
        <f>"440181199609088118"</f>
        <v>440181199609088118</v>
      </c>
      <c r="F21" s="10">
        <v>44082</v>
      </c>
      <c r="G21" s="11" t="s">
        <v>12</v>
      </c>
      <c r="H21" s="11"/>
    </row>
    <row r="22" spans="1:8" ht="14.25" customHeight="1">
      <c r="A22" s="6" t="s">
        <v>30</v>
      </c>
      <c r="B22" s="7" t="str">
        <f t="shared" si="0"/>
        <v>机动大队</v>
      </c>
      <c r="C22" s="8" t="str">
        <f>"周锦成"</f>
        <v>周锦成</v>
      </c>
      <c r="D22" s="9" t="s">
        <v>11</v>
      </c>
      <c r="E22" s="8" t="str">
        <f>"440181199611103671"</f>
        <v>440181199611103671</v>
      </c>
      <c r="F22" s="10">
        <v>44082</v>
      </c>
      <c r="G22" s="11" t="s">
        <v>12</v>
      </c>
      <c r="H22" s="11"/>
    </row>
    <row r="23" spans="1:8" ht="14.25" customHeight="1">
      <c r="A23" s="6" t="s">
        <v>31</v>
      </c>
      <c r="B23" s="7" t="str">
        <f t="shared" si="0"/>
        <v>机动大队</v>
      </c>
      <c r="C23" s="8" t="str">
        <f>"吴珈玮"</f>
        <v>吴珈玮</v>
      </c>
      <c r="D23" s="9" t="s">
        <v>11</v>
      </c>
      <c r="E23" s="8" t="str">
        <f>"440181199812297513"</f>
        <v>440181199812297513</v>
      </c>
      <c r="F23" s="10">
        <v>44082</v>
      </c>
      <c r="G23" s="11" t="s">
        <v>12</v>
      </c>
      <c r="H23" s="11"/>
    </row>
    <row r="24" spans="1:8" ht="14.25" customHeight="1">
      <c r="A24" s="6" t="s">
        <v>32</v>
      </c>
      <c r="B24" s="7" t="str">
        <f t="shared" si="0"/>
        <v>机动大队</v>
      </c>
      <c r="C24" s="8" t="str">
        <f>"刘铭聪"</f>
        <v>刘铭聪</v>
      </c>
      <c r="D24" s="9" t="s">
        <v>11</v>
      </c>
      <c r="E24" s="8" t="str">
        <f>"440181199904100634"</f>
        <v>440181199904100634</v>
      </c>
      <c r="F24" s="10">
        <v>44082</v>
      </c>
      <c r="G24" s="11" t="s">
        <v>12</v>
      </c>
      <c r="H24" s="11"/>
    </row>
    <row r="25" spans="1:8" ht="14.25" customHeight="1">
      <c r="A25" s="6" t="s">
        <v>33</v>
      </c>
      <c r="B25" s="7" t="str">
        <f t="shared" si="0"/>
        <v>机动大队</v>
      </c>
      <c r="C25" s="8" t="str">
        <f>"何显颖"</f>
        <v>何显颖</v>
      </c>
      <c r="D25" s="9" t="s">
        <v>11</v>
      </c>
      <c r="E25" s="8" t="str">
        <f>"440181199512270618"</f>
        <v>440181199512270618</v>
      </c>
      <c r="F25" s="10">
        <v>44082</v>
      </c>
      <c r="G25" s="11" t="s">
        <v>12</v>
      </c>
      <c r="H25" s="11"/>
    </row>
    <row r="26" spans="1:8" ht="14.25" customHeight="1">
      <c r="A26" s="6" t="s">
        <v>34</v>
      </c>
      <c r="B26" s="7" t="str">
        <f t="shared" si="0"/>
        <v>机动大队</v>
      </c>
      <c r="C26" s="8" t="str">
        <f>"曾俊华"</f>
        <v>曾俊华</v>
      </c>
      <c r="D26" s="9" t="s">
        <v>11</v>
      </c>
      <c r="E26" s="8" t="str">
        <f>"441621200109155553"</f>
        <v>441621200109155553</v>
      </c>
      <c r="F26" s="10">
        <v>44082</v>
      </c>
      <c r="G26" s="11" t="s">
        <v>12</v>
      </c>
      <c r="H26" s="11"/>
    </row>
    <row r="27" spans="1:8" ht="14.25" customHeight="1">
      <c r="A27" s="6" t="s">
        <v>35</v>
      </c>
      <c r="B27" s="7" t="str">
        <f t="shared" si="0"/>
        <v>机动大队</v>
      </c>
      <c r="C27" s="8" t="str">
        <f>"吕伟健"</f>
        <v>吕伟健</v>
      </c>
      <c r="D27" s="9" t="s">
        <v>11</v>
      </c>
      <c r="E27" s="8" t="str">
        <f>"440181199608166911"</f>
        <v>440181199608166911</v>
      </c>
      <c r="F27" s="10">
        <v>44082</v>
      </c>
      <c r="G27" s="11" t="s">
        <v>12</v>
      </c>
      <c r="H27" s="11"/>
    </row>
    <row r="28" spans="1:8" ht="14.25" customHeight="1">
      <c r="A28" s="6" t="s">
        <v>36</v>
      </c>
      <c r="B28" s="7" t="str">
        <f t="shared" si="0"/>
        <v>机动大队</v>
      </c>
      <c r="C28" s="8" t="str">
        <f>"许梓熙"</f>
        <v>许梓熙</v>
      </c>
      <c r="D28" s="9" t="s">
        <v>11</v>
      </c>
      <c r="E28" s="8" t="str">
        <f>"45092119960722121X"</f>
        <v>45092119960722121X</v>
      </c>
      <c r="F28" s="10">
        <v>44082</v>
      </c>
      <c r="G28" s="11" t="s">
        <v>12</v>
      </c>
      <c r="H28" s="11"/>
    </row>
    <row r="29" spans="1:8" ht="14.25" customHeight="1">
      <c r="A29" s="6" t="s">
        <v>37</v>
      </c>
      <c r="B29" s="7" t="str">
        <f t="shared" si="0"/>
        <v>机动大队</v>
      </c>
      <c r="C29" s="8" t="str">
        <f>"岑轩雨"</f>
        <v>岑轩雨</v>
      </c>
      <c r="D29" s="9" t="s">
        <v>11</v>
      </c>
      <c r="E29" s="8" t="str">
        <f>"44010320000312271X"</f>
        <v>44010320000312271X</v>
      </c>
      <c r="F29" s="10">
        <v>44082</v>
      </c>
      <c r="G29" s="11" t="s">
        <v>12</v>
      </c>
      <c r="H29" s="11"/>
    </row>
    <row r="30" spans="1:8" ht="14.25" customHeight="1">
      <c r="A30" s="6" t="s">
        <v>38</v>
      </c>
      <c r="B30" s="7" t="str">
        <f t="shared" si="0"/>
        <v>机动大队</v>
      </c>
      <c r="C30" s="8" t="str">
        <f>"麦耀煊"</f>
        <v>麦耀煊</v>
      </c>
      <c r="D30" s="9" t="s">
        <v>11</v>
      </c>
      <c r="E30" s="8" t="str">
        <f>"440181199908264214"</f>
        <v>440181199908264214</v>
      </c>
      <c r="F30" s="10">
        <v>44082</v>
      </c>
      <c r="G30" s="11" t="s">
        <v>12</v>
      </c>
      <c r="H30" s="11"/>
    </row>
    <row r="31" spans="1:8" ht="14.25" customHeight="1">
      <c r="A31" s="6" t="s">
        <v>39</v>
      </c>
      <c r="B31" s="7" t="str">
        <f t="shared" si="0"/>
        <v>机动大队</v>
      </c>
      <c r="C31" s="8" t="str">
        <f>"梁洛钧"</f>
        <v>梁洛钧</v>
      </c>
      <c r="D31" s="9" t="s">
        <v>11</v>
      </c>
      <c r="E31" s="8" t="str">
        <f>"440181199803221816"</f>
        <v>440181199803221816</v>
      </c>
      <c r="F31" s="10">
        <v>44082</v>
      </c>
      <c r="G31" s="11" t="s">
        <v>12</v>
      </c>
      <c r="H31" s="11"/>
    </row>
    <row r="32" spans="1:8" ht="14.25" customHeight="1">
      <c r="A32" s="6" t="s">
        <v>40</v>
      </c>
      <c r="B32" s="7" t="str">
        <f t="shared" si="0"/>
        <v>机动大队</v>
      </c>
      <c r="C32" s="8" t="str">
        <f>"杨旭"</f>
        <v>杨旭</v>
      </c>
      <c r="D32" s="9" t="s">
        <v>11</v>
      </c>
      <c r="E32" s="8" t="str">
        <f>"513030199801045017"</f>
        <v>513030199801045017</v>
      </c>
      <c r="F32" s="10">
        <v>44082</v>
      </c>
      <c r="G32" s="11" t="s">
        <v>12</v>
      </c>
      <c r="H32" s="11"/>
    </row>
    <row r="33" spans="1:8" ht="14.25" customHeight="1">
      <c r="A33" s="6" t="s">
        <v>41</v>
      </c>
      <c r="B33" s="7" t="str">
        <f t="shared" si="0"/>
        <v>机动大队</v>
      </c>
      <c r="C33" s="8" t="str">
        <f>"梁梓铭"</f>
        <v>梁梓铭</v>
      </c>
      <c r="D33" s="9" t="s">
        <v>11</v>
      </c>
      <c r="E33" s="8" t="str">
        <f>"440181200005071513"</f>
        <v>440181200005071513</v>
      </c>
      <c r="F33" s="10">
        <v>44082</v>
      </c>
      <c r="G33" s="11" t="s">
        <v>12</v>
      </c>
      <c r="H33" s="11"/>
    </row>
    <row r="34" spans="1:8" ht="14.25" customHeight="1">
      <c r="A34" s="6" t="s">
        <v>42</v>
      </c>
      <c r="B34" s="7" t="str">
        <f t="shared" si="0"/>
        <v>机动大队</v>
      </c>
      <c r="C34" s="8" t="str">
        <f>"梁振邦"</f>
        <v>梁振邦</v>
      </c>
      <c r="D34" s="9" t="s">
        <v>11</v>
      </c>
      <c r="E34" s="8" t="str">
        <f>"44018119981128063X"</f>
        <v>44018119981128063X</v>
      </c>
      <c r="F34" s="10">
        <v>44082</v>
      </c>
      <c r="G34" s="11" t="s">
        <v>12</v>
      </c>
      <c r="H34" s="11"/>
    </row>
    <row r="35" spans="1:8" ht="14.25" customHeight="1">
      <c r="A35" s="6" t="s">
        <v>43</v>
      </c>
      <c r="B35" s="7" t="str">
        <f t="shared" si="0"/>
        <v>机动大队</v>
      </c>
      <c r="C35" s="8" t="str">
        <f>"张鉴槟"</f>
        <v>张鉴槟</v>
      </c>
      <c r="D35" s="9" t="s">
        <v>11</v>
      </c>
      <c r="E35" s="8" t="str">
        <f>"440181199610151217"</f>
        <v>440181199610151217</v>
      </c>
      <c r="F35" s="10">
        <v>44082</v>
      </c>
      <c r="G35" s="11" t="s">
        <v>12</v>
      </c>
      <c r="H35" s="11"/>
    </row>
    <row r="36" spans="1:8" ht="14.25" customHeight="1">
      <c r="A36" s="6" t="s">
        <v>44</v>
      </c>
      <c r="B36" s="7" t="str">
        <f t="shared" si="0"/>
        <v>机动大队</v>
      </c>
      <c r="C36" s="8" t="str">
        <f>"陈伟杰"</f>
        <v>陈伟杰</v>
      </c>
      <c r="D36" s="9" t="s">
        <v>11</v>
      </c>
      <c r="E36" s="8" t="str">
        <f>"445381199709151714"</f>
        <v>445381199709151714</v>
      </c>
      <c r="F36" s="10">
        <v>44082</v>
      </c>
      <c r="G36" s="11" t="s">
        <v>12</v>
      </c>
      <c r="H36" s="11"/>
    </row>
    <row r="37" spans="1:8" ht="14.25" customHeight="1">
      <c r="A37" s="6" t="s">
        <v>45</v>
      </c>
      <c r="B37" s="7" t="str">
        <f t="shared" si="0"/>
        <v>机动大队</v>
      </c>
      <c r="C37" s="8" t="str">
        <f>"袁镇浩"</f>
        <v>袁镇浩</v>
      </c>
      <c r="D37" s="9" t="s">
        <v>11</v>
      </c>
      <c r="E37" s="8" t="str">
        <f>"440181199612286617"</f>
        <v>440181199612286617</v>
      </c>
      <c r="F37" s="10">
        <v>44082</v>
      </c>
      <c r="G37" s="11" t="s">
        <v>12</v>
      </c>
      <c r="H37" s="11"/>
    </row>
    <row r="38" spans="1:8" ht="14.25" customHeight="1">
      <c r="A38" s="6" t="s">
        <v>46</v>
      </c>
      <c r="B38" s="7" t="str">
        <f t="shared" si="0"/>
        <v>机动大队</v>
      </c>
      <c r="C38" s="8" t="str">
        <f>"梁永健"</f>
        <v>梁永健</v>
      </c>
      <c r="D38" s="9" t="s">
        <v>11</v>
      </c>
      <c r="E38" s="8" t="str">
        <f>"44018119960904123X"</f>
        <v>44018119960904123X</v>
      </c>
      <c r="F38" s="10">
        <v>44082</v>
      </c>
      <c r="G38" s="11" t="s">
        <v>12</v>
      </c>
      <c r="H38" s="11"/>
    </row>
    <row r="39" spans="1:8" ht="14.25" customHeight="1">
      <c r="A39" s="6" t="s">
        <v>47</v>
      </c>
      <c r="B39" s="7" t="str">
        <f t="shared" si="0"/>
        <v>机动大队</v>
      </c>
      <c r="C39" s="8" t="str">
        <f>"梁亦聪"</f>
        <v>梁亦聪</v>
      </c>
      <c r="D39" s="9" t="s">
        <v>11</v>
      </c>
      <c r="E39" s="8" t="str">
        <f>"441224199608023231"</f>
        <v>441224199608023231</v>
      </c>
      <c r="F39" s="10">
        <v>44082</v>
      </c>
      <c r="G39" s="11" t="s">
        <v>12</v>
      </c>
      <c r="H39" s="11"/>
    </row>
    <row r="40" spans="1:8" ht="14.25" customHeight="1">
      <c r="A40" s="6" t="s">
        <v>48</v>
      </c>
      <c r="B40" s="7" t="str">
        <f t="shared" si="0"/>
        <v>机动大队</v>
      </c>
      <c r="C40" s="8" t="str">
        <f>"邓伟然"</f>
        <v>邓伟然</v>
      </c>
      <c r="D40" s="9" t="s">
        <v>11</v>
      </c>
      <c r="E40" s="8" t="str">
        <f>"440181199908205716"</f>
        <v>440181199908205716</v>
      </c>
      <c r="F40" s="10">
        <v>44082</v>
      </c>
      <c r="G40" s="11" t="s">
        <v>12</v>
      </c>
      <c r="H40" s="11"/>
    </row>
    <row r="41" spans="1:8" ht="14.25" customHeight="1">
      <c r="A41" s="6" t="s">
        <v>49</v>
      </c>
      <c r="B41" s="7" t="str">
        <f t="shared" si="0"/>
        <v>机动大队</v>
      </c>
      <c r="C41" s="8" t="str">
        <f>"杜汶霏"</f>
        <v>杜汶霏</v>
      </c>
      <c r="D41" s="9" t="s">
        <v>11</v>
      </c>
      <c r="E41" s="8" t="str">
        <f>"441225199809090015"</f>
        <v>441225199809090015</v>
      </c>
      <c r="F41" s="10">
        <v>44082</v>
      </c>
      <c r="G41" s="11" t="s">
        <v>12</v>
      </c>
      <c r="H41" s="11"/>
    </row>
    <row r="42" spans="1:8" ht="14.25" customHeight="1">
      <c r="A42" s="6" t="s">
        <v>50</v>
      </c>
      <c r="B42" s="7" t="str">
        <f t="shared" si="0"/>
        <v>机动大队</v>
      </c>
      <c r="C42" s="8" t="str">
        <f>"彭文轩"</f>
        <v>彭文轩</v>
      </c>
      <c r="D42" s="9" t="s">
        <v>11</v>
      </c>
      <c r="E42" s="8" t="str">
        <f>"440181199911073312"</f>
        <v>440181199911073312</v>
      </c>
      <c r="F42" s="10">
        <v>44082</v>
      </c>
      <c r="G42" s="11" t="s">
        <v>12</v>
      </c>
      <c r="H42" s="11"/>
    </row>
    <row r="43" spans="1:8" ht="14.25" customHeight="1">
      <c r="A43" s="6" t="s">
        <v>51</v>
      </c>
      <c r="B43" s="7" t="str">
        <f t="shared" si="0"/>
        <v>机动大队</v>
      </c>
      <c r="C43" s="8" t="str">
        <f>"李嘉超"</f>
        <v>李嘉超</v>
      </c>
      <c r="D43" s="9" t="s">
        <v>11</v>
      </c>
      <c r="E43" s="8" t="str">
        <f>"440281199602070439"</f>
        <v>440281199602070439</v>
      </c>
      <c r="F43" s="10">
        <v>44082</v>
      </c>
      <c r="G43" s="11" t="s">
        <v>12</v>
      </c>
      <c r="H43" s="11"/>
    </row>
    <row r="44" spans="1:8" ht="14.25" customHeight="1">
      <c r="A44" s="6" t="s">
        <v>52</v>
      </c>
      <c r="B44" s="7" t="str">
        <f t="shared" si="0"/>
        <v>机动大队</v>
      </c>
      <c r="C44" s="8" t="str">
        <f>"黄梓辉"</f>
        <v>黄梓辉</v>
      </c>
      <c r="D44" s="9" t="s">
        <v>11</v>
      </c>
      <c r="E44" s="8" t="str">
        <f>"440181199804118116"</f>
        <v>440181199804118116</v>
      </c>
      <c r="F44" s="10">
        <v>44082</v>
      </c>
      <c r="G44" s="11" t="s">
        <v>12</v>
      </c>
      <c r="H44" s="11"/>
    </row>
    <row r="45" spans="1:8" ht="14.25" customHeight="1">
      <c r="A45" s="6" t="s">
        <v>53</v>
      </c>
      <c r="B45" s="7" t="str">
        <f t="shared" si="0"/>
        <v>机动大队</v>
      </c>
      <c r="C45" s="8" t="str">
        <f>"谢少斌"</f>
        <v>谢少斌</v>
      </c>
      <c r="D45" s="9" t="s">
        <v>11</v>
      </c>
      <c r="E45" s="8" t="str">
        <f>"44058219960112723X"</f>
        <v>44058219960112723X</v>
      </c>
      <c r="F45" s="10">
        <v>44082</v>
      </c>
      <c r="G45" s="11" t="s">
        <v>12</v>
      </c>
      <c r="H45" s="11"/>
    </row>
    <row r="46" spans="1:8" ht="14.25" customHeight="1">
      <c r="A46" s="6" t="s">
        <v>54</v>
      </c>
      <c r="B46" s="7" t="str">
        <f t="shared" si="0"/>
        <v>机动大队</v>
      </c>
      <c r="C46" s="8" t="str">
        <f>"邓云天"</f>
        <v>邓云天</v>
      </c>
      <c r="D46" s="9" t="s">
        <v>11</v>
      </c>
      <c r="E46" s="8" t="str">
        <f>"440921199711265755"</f>
        <v>440921199711265755</v>
      </c>
      <c r="F46" s="10">
        <v>44082</v>
      </c>
      <c r="G46" s="11" t="s">
        <v>12</v>
      </c>
      <c r="H46" s="11"/>
    </row>
    <row r="47" spans="1:8" ht="14.25" customHeight="1">
      <c r="A47" s="6" t="s">
        <v>55</v>
      </c>
      <c r="B47" s="7" t="str">
        <f t="shared" si="0"/>
        <v>机动大队</v>
      </c>
      <c r="C47" s="8" t="str">
        <f>"罗雨龙"</f>
        <v>罗雨龙</v>
      </c>
      <c r="D47" s="9" t="s">
        <v>11</v>
      </c>
      <c r="E47" s="8" t="str">
        <f>"440224199707312871"</f>
        <v>440224199707312871</v>
      </c>
      <c r="F47" s="10">
        <v>44082</v>
      </c>
      <c r="G47" s="11" t="s">
        <v>12</v>
      </c>
      <c r="H47" s="11"/>
    </row>
    <row r="48" spans="1:8" ht="14.25" customHeight="1">
      <c r="A48" s="6" t="s">
        <v>56</v>
      </c>
      <c r="B48" s="7" t="str">
        <f t="shared" si="0"/>
        <v>机动大队</v>
      </c>
      <c r="C48" s="8" t="str">
        <f>"梁文健"</f>
        <v>梁文健</v>
      </c>
      <c r="D48" s="9" t="s">
        <v>11</v>
      </c>
      <c r="E48" s="8" t="str">
        <f>"440181199512090916"</f>
        <v>440181199512090916</v>
      </c>
      <c r="F48" s="10">
        <v>44082</v>
      </c>
      <c r="G48" s="11" t="s">
        <v>12</v>
      </c>
      <c r="H48" s="11"/>
    </row>
    <row r="49" spans="1:8" ht="14.25" customHeight="1">
      <c r="A49" s="6" t="s">
        <v>57</v>
      </c>
      <c r="B49" s="7" t="str">
        <f t="shared" si="0"/>
        <v>机动大队</v>
      </c>
      <c r="C49" s="8" t="str">
        <f>"黄力浩"</f>
        <v>黄力浩</v>
      </c>
      <c r="D49" s="9" t="s">
        <v>11</v>
      </c>
      <c r="E49" s="8" t="str">
        <f>"441823199811061512"</f>
        <v>441823199811061512</v>
      </c>
      <c r="F49" s="10">
        <v>44082</v>
      </c>
      <c r="G49" s="11" t="s">
        <v>12</v>
      </c>
      <c r="H49" s="11"/>
    </row>
    <row r="50" spans="1:8" ht="14.25" customHeight="1">
      <c r="A50" s="6" t="s">
        <v>58</v>
      </c>
      <c r="B50" s="7" t="str">
        <f t="shared" si="0"/>
        <v>机动大队</v>
      </c>
      <c r="C50" s="8" t="str">
        <f>"彭启康"</f>
        <v>彭启康</v>
      </c>
      <c r="D50" s="9" t="s">
        <v>11</v>
      </c>
      <c r="E50" s="8" t="str">
        <f>"440181199905191515"</f>
        <v>440181199905191515</v>
      </c>
      <c r="F50" s="10">
        <v>44082</v>
      </c>
      <c r="G50" s="11" t="s">
        <v>12</v>
      </c>
      <c r="H50" s="11"/>
    </row>
    <row r="51" spans="1:8" ht="14.25" customHeight="1">
      <c r="A51" s="6" t="s">
        <v>59</v>
      </c>
      <c r="B51" s="7" t="str">
        <f t="shared" si="0"/>
        <v>机动大队</v>
      </c>
      <c r="C51" s="8" t="str">
        <f>"林志彪"</f>
        <v>林志彪</v>
      </c>
      <c r="D51" s="9" t="s">
        <v>11</v>
      </c>
      <c r="E51" s="8" t="str">
        <f>"441381199803214116"</f>
        <v>441381199803214116</v>
      </c>
      <c r="F51" s="10">
        <v>44082</v>
      </c>
      <c r="G51" s="11" t="s">
        <v>12</v>
      </c>
      <c r="H51" s="11"/>
    </row>
    <row r="52" spans="1:8" ht="14.25" customHeight="1">
      <c r="A52" s="6" t="s">
        <v>60</v>
      </c>
      <c r="B52" s="7" t="str">
        <f t="shared" si="0"/>
        <v>机动大队</v>
      </c>
      <c r="C52" s="8" t="str">
        <f>"陈环宇"</f>
        <v>陈环宇</v>
      </c>
      <c r="D52" s="9" t="s">
        <v>11</v>
      </c>
      <c r="E52" s="8" t="str">
        <f>"430626199711242119"</f>
        <v>430626199711242119</v>
      </c>
      <c r="F52" s="10">
        <v>44082</v>
      </c>
      <c r="G52" s="11" t="s">
        <v>12</v>
      </c>
      <c r="H52" s="11"/>
    </row>
    <row r="53" spans="1:8" s="1" customFormat="1" ht="14.25" customHeight="1">
      <c r="A53" s="6" t="s">
        <v>61</v>
      </c>
      <c r="B53" s="7" t="str">
        <f t="shared" si="0"/>
        <v>机动大队</v>
      </c>
      <c r="C53" s="8" t="str">
        <f>"许钊文"</f>
        <v>许钊文</v>
      </c>
      <c r="D53" s="9" t="s">
        <v>11</v>
      </c>
      <c r="E53" s="8" t="str">
        <f>"440181199603013932"</f>
        <v>440181199603013932</v>
      </c>
      <c r="F53" s="10">
        <v>44082</v>
      </c>
      <c r="G53" s="11" t="s">
        <v>12</v>
      </c>
      <c r="H53" s="11"/>
    </row>
    <row r="54" spans="1:8" s="1" customFormat="1" ht="14.25" customHeight="1">
      <c r="A54" s="6" t="s">
        <v>62</v>
      </c>
      <c r="B54" s="7" t="str">
        <f t="shared" si="0"/>
        <v>机动大队</v>
      </c>
      <c r="C54" s="8" t="str">
        <f>"陈俊杰"</f>
        <v>陈俊杰</v>
      </c>
      <c r="D54" s="9" t="s">
        <v>11</v>
      </c>
      <c r="E54" s="8" t="str">
        <f>"440181199703077511"</f>
        <v>440181199703077511</v>
      </c>
      <c r="F54" s="10">
        <v>44082</v>
      </c>
      <c r="G54" s="11" t="s">
        <v>12</v>
      </c>
      <c r="H54" s="11"/>
    </row>
    <row r="55" spans="1:8" s="1" customFormat="1" ht="14.25" customHeight="1">
      <c r="A55" s="6" t="s">
        <v>63</v>
      </c>
      <c r="B55" s="7" t="str">
        <f t="shared" si="0"/>
        <v>机动大队</v>
      </c>
      <c r="C55" s="8" t="str">
        <f>"陈政恒"</f>
        <v>陈政恒</v>
      </c>
      <c r="D55" s="9" t="s">
        <v>11</v>
      </c>
      <c r="E55" s="8" t="str">
        <f>"440181199601257538"</f>
        <v>440181199601257538</v>
      </c>
      <c r="F55" s="10">
        <v>44082</v>
      </c>
      <c r="G55" s="11" t="s">
        <v>12</v>
      </c>
      <c r="H55" s="11"/>
    </row>
    <row r="56" spans="1:8" s="1" customFormat="1" ht="14.25" customHeight="1">
      <c r="A56" s="6" t="s">
        <v>64</v>
      </c>
      <c r="B56" s="7" t="str">
        <f t="shared" si="0"/>
        <v>机动大队</v>
      </c>
      <c r="C56" s="8" t="str">
        <f>"梁颖贤"</f>
        <v>梁颖贤</v>
      </c>
      <c r="D56" s="9" t="s">
        <v>11</v>
      </c>
      <c r="E56" s="8" t="str">
        <f>"440181199809141219"</f>
        <v>440181199809141219</v>
      </c>
      <c r="F56" s="10">
        <v>44082</v>
      </c>
      <c r="G56" s="11" t="s">
        <v>12</v>
      </c>
      <c r="H56" s="11"/>
    </row>
    <row r="57" spans="1:8" s="1" customFormat="1" ht="14.25" customHeight="1">
      <c r="A57" s="6" t="s">
        <v>65</v>
      </c>
      <c r="B57" s="7" t="str">
        <f t="shared" si="0"/>
        <v>机动大队</v>
      </c>
      <c r="C57" s="8" t="str">
        <f>"梁浩贤"</f>
        <v>梁浩贤</v>
      </c>
      <c r="D57" s="9" t="s">
        <v>11</v>
      </c>
      <c r="E57" s="8" t="str">
        <f>"44018119951124061X"</f>
        <v>44018119951124061X</v>
      </c>
      <c r="F57" s="10">
        <v>44082</v>
      </c>
      <c r="G57" s="11" t="s">
        <v>12</v>
      </c>
      <c r="H57" s="11"/>
    </row>
    <row r="58" spans="1:8" s="1" customFormat="1" ht="14.25" customHeight="1">
      <c r="A58" s="6" t="s">
        <v>66</v>
      </c>
      <c r="B58" s="7" t="str">
        <f t="shared" si="0"/>
        <v>机动大队</v>
      </c>
      <c r="C58" s="8" t="str">
        <f>"彭锦佳"</f>
        <v>彭锦佳</v>
      </c>
      <c r="D58" s="9" t="s">
        <v>11</v>
      </c>
      <c r="E58" s="8" t="str">
        <f>"440181199703145414"</f>
        <v>440181199703145414</v>
      </c>
      <c r="F58" s="10">
        <v>44082</v>
      </c>
      <c r="G58" s="11" t="s">
        <v>12</v>
      </c>
      <c r="H58" s="11"/>
    </row>
    <row r="59" spans="1:8" s="1" customFormat="1" ht="14.25" customHeight="1">
      <c r="A59" s="6" t="s">
        <v>67</v>
      </c>
      <c r="B59" s="7" t="str">
        <f t="shared" si="0"/>
        <v>机动大队</v>
      </c>
      <c r="C59" s="8" t="str">
        <f>"冯湛桃"</f>
        <v>冯湛桃</v>
      </c>
      <c r="D59" s="9" t="s">
        <v>11</v>
      </c>
      <c r="E59" s="8" t="str">
        <f>"440181199708071514"</f>
        <v>440181199708071514</v>
      </c>
      <c r="F59" s="10">
        <v>44082</v>
      </c>
      <c r="G59" s="11" t="s">
        <v>12</v>
      </c>
      <c r="H59" s="11"/>
    </row>
    <row r="60" spans="1:8" s="1" customFormat="1" ht="14.25" customHeight="1">
      <c r="A60" s="6" t="s">
        <v>68</v>
      </c>
      <c r="B60" s="7" t="str">
        <f t="shared" si="0"/>
        <v>机动大队</v>
      </c>
      <c r="C60" s="8" t="str">
        <f>"陈汇添"</f>
        <v>陈汇添</v>
      </c>
      <c r="D60" s="9" t="s">
        <v>11</v>
      </c>
      <c r="E60" s="8" t="str">
        <f>"440181199611054515"</f>
        <v>440181199611054515</v>
      </c>
      <c r="F60" s="10">
        <v>44082</v>
      </c>
      <c r="G60" s="11" t="s">
        <v>12</v>
      </c>
      <c r="H60" s="11"/>
    </row>
    <row r="61" spans="1:8" s="1" customFormat="1" ht="14.25" customHeight="1">
      <c r="A61" s="6" t="s">
        <v>69</v>
      </c>
      <c r="B61" s="7" t="str">
        <f t="shared" si="0"/>
        <v>机动大队</v>
      </c>
      <c r="C61" s="8" t="str">
        <f>"冯炫铭"</f>
        <v>冯炫铭</v>
      </c>
      <c r="D61" s="9" t="s">
        <v>11</v>
      </c>
      <c r="E61" s="8" t="str">
        <f>"440181199904186917"</f>
        <v>440181199904186917</v>
      </c>
      <c r="F61" s="10">
        <v>44082</v>
      </c>
      <c r="G61" s="11" t="s">
        <v>12</v>
      </c>
      <c r="H61" s="11"/>
    </row>
    <row r="62" spans="1:8" s="1" customFormat="1" ht="14.25" customHeight="1">
      <c r="A62" s="6" t="s">
        <v>70</v>
      </c>
      <c r="B62" s="7" t="str">
        <f t="shared" si="0"/>
        <v>机动大队</v>
      </c>
      <c r="C62" s="8" t="str">
        <f>"黄伟杰"</f>
        <v>黄伟杰</v>
      </c>
      <c r="D62" s="9" t="s">
        <v>11</v>
      </c>
      <c r="E62" s="8" t="str">
        <f>"440181199710300937"</f>
        <v>440181199710300937</v>
      </c>
      <c r="F62" s="10">
        <v>44082</v>
      </c>
      <c r="G62" s="11" t="s">
        <v>12</v>
      </c>
      <c r="H62" s="11"/>
    </row>
    <row r="63" spans="1:8" s="1" customFormat="1" ht="14.25" customHeight="1">
      <c r="A63" s="6" t="s">
        <v>71</v>
      </c>
      <c r="B63" s="7" t="str">
        <f t="shared" si="0"/>
        <v>机动大队</v>
      </c>
      <c r="C63" s="8" t="str">
        <f>"李坤琪"</f>
        <v>李坤琪</v>
      </c>
      <c r="D63" s="9" t="s">
        <v>11</v>
      </c>
      <c r="E63" s="8" t="str">
        <f>"440982199702031431"</f>
        <v>440982199702031431</v>
      </c>
      <c r="F63" s="10">
        <v>44082</v>
      </c>
      <c r="G63" s="11" t="s">
        <v>12</v>
      </c>
      <c r="H63" s="11"/>
    </row>
    <row r="64" spans="1:8" s="1" customFormat="1" ht="14.25" customHeight="1">
      <c r="A64" s="6" t="s">
        <v>72</v>
      </c>
      <c r="B64" s="7" t="str">
        <f t="shared" si="0"/>
        <v>机动大队</v>
      </c>
      <c r="C64" s="8" t="str">
        <f>"袁思侠"</f>
        <v>袁思侠</v>
      </c>
      <c r="D64" s="9" t="s">
        <v>11</v>
      </c>
      <c r="E64" s="8" t="str">
        <f>"440882199902132338"</f>
        <v>440882199902132338</v>
      </c>
      <c r="F64" s="10">
        <v>44082</v>
      </c>
      <c r="G64" s="11" t="s">
        <v>12</v>
      </c>
      <c r="H64" s="11"/>
    </row>
    <row r="65" spans="1:8" s="1" customFormat="1" ht="14.25" customHeight="1">
      <c r="A65" s="6" t="s">
        <v>73</v>
      </c>
      <c r="B65" s="7" t="str">
        <f t="shared" si="0"/>
        <v>机动大队</v>
      </c>
      <c r="C65" s="8" t="str">
        <f>"赵伟聪"</f>
        <v>赵伟聪</v>
      </c>
      <c r="D65" s="9" t="s">
        <v>11</v>
      </c>
      <c r="E65" s="8" t="str">
        <f>"44018120000509781X"</f>
        <v>44018120000509781X</v>
      </c>
      <c r="F65" s="10">
        <v>44082</v>
      </c>
      <c r="G65" s="11" t="s">
        <v>12</v>
      </c>
      <c r="H65" s="11"/>
    </row>
    <row r="66" spans="1:8" s="1" customFormat="1" ht="14.25" customHeight="1">
      <c r="A66" s="6" t="s">
        <v>74</v>
      </c>
      <c r="B66" s="7" t="str">
        <f t="shared" si="0"/>
        <v>机动大队</v>
      </c>
      <c r="C66" s="8" t="str">
        <f>"刘亚吉"</f>
        <v>刘亚吉</v>
      </c>
      <c r="D66" s="9" t="s">
        <v>11</v>
      </c>
      <c r="E66" s="8" t="str">
        <f>"431024199710011875"</f>
        <v>431024199710011875</v>
      </c>
      <c r="F66" s="10">
        <v>44082</v>
      </c>
      <c r="G66" s="11" t="s">
        <v>12</v>
      </c>
      <c r="H66" s="11"/>
    </row>
    <row r="67" spans="1:8" s="1" customFormat="1" ht="14.25" customHeight="1">
      <c r="A67" s="6" t="s">
        <v>75</v>
      </c>
      <c r="B67" s="7" t="str">
        <f t="shared" si="0"/>
        <v>机动大队</v>
      </c>
      <c r="C67" s="8" t="str">
        <f>"戴英文"</f>
        <v>戴英文</v>
      </c>
      <c r="D67" s="9" t="s">
        <v>11</v>
      </c>
      <c r="E67" s="8" t="str">
        <f>"440181199604123631"</f>
        <v>440181199604123631</v>
      </c>
      <c r="F67" s="10">
        <v>44082</v>
      </c>
      <c r="G67" s="11" t="s">
        <v>12</v>
      </c>
      <c r="H67" s="11"/>
    </row>
    <row r="68" spans="1:8" s="1" customFormat="1" ht="14.25" customHeight="1">
      <c r="A68" s="6" t="s">
        <v>76</v>
      </c>
      <c r="B68" s="7" t="str">
        <f aca="true" t="shared" si="1" ref="B68:B73">"机动大队"</f>
        <v>机动大队</v>
      </c>
      <c r="C68" s="8" t="str">
        <f>"林溢轩"</f>
        <v>林溢轩</v>
      </c>
      <c r="D68" s="9" t="s">
        <v>11</v>
      </c>
      <c r="E68" s="8" t="str">
        <f>"440784199901154815"</f>
        <v>440784199901154815</v>
      </c>
      <c r="F68" s="10">
        <v>44082</v>
      </c>
      <c r="G68" s="11" t="s">
        <v>12</v>
      </c>
      <c r="H68" s="11"/>
    </row>
    <row r="69" spans="1:8" s="1" customFormat="1" ht="14.25" customHeight="1">
      <c r="A69" s="6" t="s">
        <v>77</v>
      </c>
      <c r="B69" s="7" t="str">
        <f t="shared" si="1"/>
        <v>机动大队</v>
      </c>
      <c r="C69" s="8" t="str">
        <f>"林启斌"</f>
        <v>林启斌</v>
      </c>
      <c r="D69" s="9" t="s">
        <v>11</v>
      </c>
      <c r="E69" s="8" t="str">
        <f>"440181199604243019"</f>
        <v>440181199604243019</v>
      </c>
      <c r="F69" s="10">
        <v>44082</v>
      </c>
      <c r="G69" s="11" t="s">
        <v>12</v>
      </c>
      <c r="H69" s="11"/>
    </row>
    <row r="70" spans="1:8" s="1" customFormat="1" ht="14.25" customHeight="1">
      <c r="A70" s="6" t="s">
        <v>78</v>
      </c>
      <c r="B70" s="7" t="str">
        <f t="shared" si="1"/>
        <v>机动大队</v>
      </c>
      <c r="C70" s="8" t="str">
        <f>"林铭津"</f>
        <v>林铭津</v>
      </c>
      <c r="D70" s="9" t="s">
        <v>11</v>
      </c>
      <c r="E70" s="8" t="str">
        <f>"440181199604052714"</f>
        <v>440181199604052714</v>
      </c>
      <c r="F70" s="10">
        <v>44082</v>
      </c>
      <c r="G70" s="11" t="s">
        <v>12</v>
      </c>
      <c r="H70" s="11"/>
    </row>
    <row r="71" spans="1:8" s="1" customFormat="1" ht="14.25" customHeight="1">
      <c r="A71" s="6" t="s">
        <v>79</v>
      </c>
      <c r="B71" s="7" t="str">
        <f t="shared" si="1"/>
        <v>机动大队</v>
      </c>
      <c r="C71" s="8" t="str">
        <f>"郭凯沦"</f>
        <v>郭凯沦</v>
      </c>
      <c r="D71" s="9" t="s">
        <v>11</v>
      </c>
      <c r="E71" s="8" t="str">
        <f>"440181199705121213"</f>
        <v>440181199705121213</v>
      </c>
      <c r="F71" s="10">
        <v>44082</v>
      </c>
      <c r="G71" s="11" t="s">
        <v>12</v>
      </c>
      <c r="H71" s="11"/>
    </row>
    <row r="72" spans="1:8" s="1" customFormat="1" ht="14.25" customHeight="1">
      <c r="A72" s="6" t="s">
        <v>80</v>
      </c>
      <c r="B72" s="7" t="str">
        <f t="shared" si="1"/>
        <v>机动大队</v>
      </c>
      <c r="C72" s="8" t="str">
        <f>"黎英健"</f>
        <v>黎英健</v>
      </c>
      <c r="D72" s="9" t="s">
        <v>11</v>
      </c>
      <c r="E72" s="8" t="str">
        <f>"440181199511294810"</f>
        <v>440181199511294810</v>
      </c>
      <c r="F72" s="10">
        <v>44082</v>
      </c>
      <c r="G72" s="11" t="s">
        <v>12</v>
      </c>
      <c r="H72" s="11"/>
    </row>
    <row r="73" spans="1:8" s="1" customFormat="1" ht="14.25" customHeight="1">
      <c r="A73" s="6" t="s">
        <v>81</v>
      </c>
      <c r="B73" s="7" t="str">
        <f t="shared" si="1"/>
        <v>机动大队</v>
      </c>
      <c r="C73" s="8" t="str">
        <f>"邓铭杰"</f>
        <v>邓铭杰</v>
      </c>
      <c r="D73" s="9" t="s">
        <v>11</v>
      </c>
      <c r="E73" s="8" t="str">
        <f>"440181199708115716"</f>
        <v>440181199708115716</v>
      </c>
      <c r="F73" s="10">
        <v>44082</v>
      </c>
      <c r="G73" s="11" t="s">
        <v>12</v>
      </c>
      <c r="H73" s="11"/>
    </row>
    <row r="74" spans="1:8" ht="22.5">
      <c r="A74" s="3" t="s">
        <v>82</v>
      </c>
      <c r="B74" s="3"/>
      <c r="C74" s="3"/>
      <c r="D74" s="3"/>
      <c r="E74" s="3"/>
      <c r="F74" s="3"/>
      <c r="G74" s="3"/>
      <c r="H74" s="3"/>
    </row>
    <row r="75" spans="1:8" ht="37.5">
      <c r="A75" s="4" t="s">
        <v>2</v>
      </c>
      <c r="B75" s="4" t="s">
        <v>3</v>
      </c>
      <c r="C75" s="5" t="s">
        <v>4</v>
      </c>
      <c r="D75" s="4" t="s">
        <v>5</v>
      </c>
      <c r="E75" s="5" t="s">
        <v>6</v>
      </c>
      <c r="F75" s="4" t="s">
        <v>7</v>
      </c>
      <c r="G75" s="4" t="s">
        <v>8</v>
      </c>
      <c r="H75" s="4" t="s">
        <v>9</v>
      </c>
    </row>
    <row r="76" spans="1:8" ht="14.25" customHeight="1">
      <c r="A76" s="6" t="s">
        <v>10</v>
      </c>
      <c r="B76" s="7" t="str">
        <f aca="true" t="shared" si="2" ref="B76:B123">"机动大队"</f>
        <v>机动大队</v>
      </c>
      <c r="C76" s="8" t="str">
        <f>"郭镇业"</f>
        <v>郭镇业</v>
      </c>
      <c r="D76" s="9" t="s">
        <v>11</v>
      </c>
      <c r="E76" s="8" t="str">
        <f>"440181199611151534"</f>
        <v>440181199611151534</v>
      </c>
      <c r="F76" s="10">
        <v>44082</v>
      </c>
      <c r="G76" s="11" t="s">
        <v>12</v>
      </c>
      <c r="H76" s="12"/>
    </row>
    <row r="77" spans="1:8" ht="14.25" customHeight="1">
      <c r="A77" s="6" t="s">
        <v>13</v>
      </c>
      <c r="B77" s="7" t="str">
        <f t="shared" si="2"/>
        <v>机动大队</v>
      </c>
      <c r="C77" s="8" t="str">
        <f>"邓栋森"</f>
        <v>邓栋森</v>
      </c>
      <c r="D77" s="9" t="s">
        <v>11</v>
      </c>
      <c r="E77" s="8" t="str">
        <f>"440181199801035710"</f>
        <v>440181199801035710</v>
      </c>
      <c r="F77" s="10">
        <v>44082</v>
      </c>
      <c r="G77" s="11" t="s">
        <v>12</v>
      </c>
      <c r="H77" s="12"/>
    </row>
    <row r="78" spans="1:8" ht="14.25" customHeight="1">
      <c r="A78" s="6" t="s">
        <v>14</v>
      </c>
      <c r="B78" s="7" t="str">
        <f t="shared" si="2"/>
        <v>机动大队</v>
      </c>
      <c r="C78" s="8" t="str">
        <f>"李焕坤"</f>
        <v>李焕坤</v>
      </c>
      <c r="D78" s="9" t="s">
        <v>11</v>
      </c>
      <c r="E78" s="8" t="str">
        <f>"440583199606221619"</f>
        <v>440583199606221619</v>
      </c>
      <c r="F78" s="10">
        <v>44082</v>
      </c>
      <c r="G78" s="11" t="s">
        <v>12</v>
      </c>
      <c r="H78" s="12"/>
    </row>
    <row r="79" spans="1:8" ht="14.25" customHeight="1">
      <c r="A79" s="6" t="s">
        <v>15</v>
      </c>
      <c r="B79" s="7" t="str">
        <f t="shared" si="2"/>
        <v>机动大队</v>
      </c>
      <c r="C79" s="8" t="str">
        <f>"吴浚华"</f>
        <v>吴浚华</v>
      </c>
      <c r="D79" s="9" t="s">
        <v>11</v>
      </c>
      <c r="E79" s="8" t="str">
        <f>"440181199704240915"</f>
        <v>440181199704240915</v>
      </c>
      <c r="F79" s="10">
        <v>44082</v>
      </c>
      <c r="G79" s="11" t="s">
        <v>12</v>
      </c>
      <c r="H79" s="12"/>
    </row>
    <row r="80" spans="1:8" ht="14.25" customHeight="1">
      <c r="A80" s="6" t="s">
        <v>16</v>
      </c>
      <c r="B80" s="7" t="str">
        <f t="shared" si="2"/>
        <v>机动大队</v>
      </c>
      <c r="C80" s="8" t="str">
        <f>"陈志伟"</f>
        <v>陈志伟</v>
      </c>
      <c r="D80" s="9" t="s">
        <v>11</v>
      </c>
      <c r="E80" s="8" t="str">
        <f>"44018119960628421X"</f>
        <v>44018119960628421X</v>
      </c>
      <c r="F80" s="10">
        <v>44082</v>
      </c>
      <c r="G80" s="11" t="s">
        <v>12</v>
      </c>
      <c r="H80" s="12"/>
    </row>
    <row r="81" spans="1:8" ht="14.25" customHeight="1">
      <c r="A81" s="6" t="s">
        <v>17</v>
      </c>
      <c r="B81" s="7" t="str">
        <f t="shared" si="2"/>
        <v>机动大队</v>
      </c>
      <c r="C81" s="8" t="str">
        <f>"梁卓斌"</f>
        <v>梁卓斌</v>
      </c>
      <c r="D81" s="9" t="s">
        <v>11</v>
      </c>
      <c r="E81" s="8" t="str">
        <f>"440181199811115714"</f>
        <v>440181199811115714</v>
      </c>
      <c r="F81" s="10">
        <v>44082</v>
      </c>
      <c r="G81" s="11" t="s">
        <v>12</v>
      </c>
      <c r="H81" s="12"/>
    </row>
    <row r="82" spans="1:8" ht="14.25" customHeight="1">
      <c r="A82" s="6" t="s">
        <v>18</v>
      </c>
      <c r="B82" s="7" t="str">
        <f t="shared" si="2"/>
        <v>机动大队</v>
      </c>
      <c r="C82" s="8" t="str">
        <f>"陈浩强"</f>
        <v>陈浩强</v>
      </c>
      <c r="D82" s="9" t="s">
        <v>11</v>
      </c>
      <c r="E82" s="8" t="str">
        <f>"440181199702224516"</f>
        <v>440181199702224516</v>
      </c>
      <c r="F82" s="10">
        <v>44082</v>
      </c>
      <c r="G82" s="11" t="s">
        <v>12</v>
      </c>
      <c r="H82" s="12"/>
    </row>
    <row r="83" spans="1:8" ht="14.25" customHeight="1">
      <c r="A83" s="6" t="s">
        <v>19</v>
      </c>
      <c r="B83" s="7" t="str">
        <f t="shared" si="2"/>
        <v>机动大队</v>
      </c>
      <c r="C83" s="8" t="str">
        <f>"李泽贤"</f>
        <v>李泽贤</v>
      </c>
      <c r="D83" s="9" t="s">
        <v>11</v>
      </c>
      <c r="E83" s="8" t="str">
        <f>"440184199905200919"</f>
        <v>440184199905200919</v>
      </c>
      <c r="F83" s="10">
        <v>44082</v>
      </c>
      <c r="G83" s="11" t="s">
        <v>12</v>
      </c>
      <c r="H83" s="12"/>
    </row>
    <row r="84" spans="1:8" ht="14.25" customHeight="1">
      <c r="A84" s="6" t="s">
        <v>20</v>
      </c>
      <c r="B84" s="7" t="str">
        <f t="shared" si="2"/>
        <v>机动大队</v>
      </c>
      <c r="C84" s="8" t="str">
        <f>"曾龙浠"</f>
        <v>曾龙浠</v>
      </c>
      <c r="D84" s="9" t="s">
        <v>11</v>
      </c>
      <c r="E84" s="8" t="str">
        <f>"440181200002271210"</f>
        <v>440181200002271210</v>
      </c>
      <c r="F84" s="10">
        <v>44082</v>
      </c>
      <c r="G84" s="11" t="s">
        <v>12</v>
      </c>
      <c r="H84" s="12"/>
    </row>
    <row r="85" spans="1:8" ht="14.25" customHeight="1">
      <c r="A85" s="6" t="s">
        <v>21</v>
      </c>
      <c r="B85" s="7" t="str">
        <f t="shared" si="2"/>
        <v>机动大队</v>
      </c>
      <c r="C85" s="8" t="str">
        <f>"古盛才"</f>
        <v>古盛才</v>
      </c>
      <c r="D85" s="9" t="s">
        <v>11</v>
      </c>
      <c r="E85" s="8" t="str">
        <f>"450981199602263919"</f>
        <v>450981199602263919</v>
      </c>
      <c r="F85" s="10">
        <v>44082</v>
      </c>
      <c r="G85" s="11" t="s">
        <v>12</v>
      </c>
      <c r="H85" s="12"/>
    </row>
    <row r="86" spans="1:8" ht="14.25" customHeight="1">
      <c r="A86" s="6" t="s">
        <v>22</v>
      </c>
      <c r="B86" s="7" t="str">
        <f t="shared" si="2"/>
        <v>机动大队</v>
      </c>
      <c r="C86" s="8" t="str">
        <f>"吴冠华"</f>
        <v>吴冠华</v>
      </c>
      <c r="D86" s="9" t="s">
        <v>11</v>
      </c>
      <c r="E86" s="8" t="str">
        <f>"440113199911271814"</f>
        <v>440113199911271814</v>
      </c>
      <c r="F86" s="10">
        <v>44082</v>
      </c>
      <c r="G86" s="11" t="s">
        <v>12</v>
      </c>
      <c r="H86" s="12"/>
    </row>
    <row r="87" spans="1:8" ht="14.25" customHeight="1">
      <c r="A87" s="6" t="s">
        <v>23</v>
      </c>
      <c r="B87" s="7" t="str">
        <f t="shared" si="2"/>
        <v>机动大队</v>
      </c>
      <c r="C87" s="8" t="str">
        <f>"龙华锋"</f>
        <v>龙华锋</v>
      </c>
      <c r="D87" s="9" t="s">
        <v>11</v>
      </c>
      <c r="E87" s="8" t="str">
        <f>"44538119960911289X"</f>
        <v>44538119960911289X</v>
      </c>
      <c r="F87" s="10">
        <v>44082</v>
      </c>
      <c r="G87" s="11" t="s">
        <v>12</v>
      </c>
      <c r="H87" s="12"/>
    </row>
    <row r="88" spans="1:8" ht="14.25" customHeight="1">
      <c r="A88" s="6" t="s">
        <v>24</v>
      </c>
      <c r="B88" s="7" t="str">
        <f t="shared" si="2"/>
        <v>机动大队</v>
      </c>
      <c r="C88" s="8" t="str">
        <f>"高汉业"</f>
        <v>高汉业</v>
      </c>
      <c r="D88" s="9" t="s">
        <v>11</v>
      </c>
      <c r="E88" s="8" t="str">
        <f>"440181199705254219"</f>
        <v>440181199705254219</v>
      </c>
      <c r="F88" s="10">
        <v>44082</v>
      </c>
      <c r="G88" s="11" t="s">
        <v>12</v>
      </c>
      <c r="H88" s="12"/>
    </row>
    <row r="89" spans="1:8" ht="14.25" customHeight="1">
      <c r="A89" s="6" t="s">
        <v>25</v>
      </c>
      <c r="B89" s="7" t="str">
        <f t="shared" si="2"/>
        <v>机动大队</v>
      </c>
      <c r="C89" s="8" t="str">
        <f>"胡伟健"</f>
        <v>胡伟健</v>
      </c>
      <c r="D89" s="9" t="s">
        <v>11</v>
      </c>
      <c r="E89" s="8" t="str">
        <f>"440181199803203917"</f>
        <v>440181199803203917</v>
      </c>
      <c r="F89" s="10">
        <v>44082</v>
      </c>
      <c r="G89" s="11" t="s">
        <v>12</v>
      </c>
      <c r="H89" s="12"/>
    </row>
    <row r="90" spans="1:8" ht="14.25" customHeight="1">
      <c r="A90" s="6" t="s">
        <v>26</v>
      </c>
      <c r="B90" s="7" t="str">
        <f t="shared" si="2"/>
        <v>机动大队</v>
      </c>
      <c r="C90" s="8" t="str">
        <f>"崔纳文"</f>
        <v>崔纳文</v>
      </c>
      <c r="D90" s="9" t="s">
        <v>11</v>
      </c>
      <c r="E90" s="8" t="str">
        <f>"440181199712310311"</f>
        <v>440181199712310311</v>
      </c>
      <c r="F90" s="10">
        <v>44082</v>
      </c>
      <c r="G90" s="11" t="s">
        <v>12</v>
      </c>
      <c r="H90" s="12"/>
    </row>
    <row r="91" spans="1:8" ht="14.25" customHeight="1">
      <c r="A91" s="6" t="s">
        <v>27</v>
      </c>
      <c r="B91" s="7" t="str">
        <f t="shared" si="2"/>
        <v>机动大队</v>
      </c>
      <c r="C91" s="8" t="str">
        <f>"黄家旗"</f>
        <v>黄家旗</v>
      </c>
      <c r="D91" s="9" t="s">
        <v>11</v>
      </c>
      <c r="E91" s="8" t="str">
        <f>"445381199609232197"</f>
        <v>445381199609232197</v>
      </c>
      <c r="F91" s="10">
        <v>44082</v>
      </c>
      <c r="G91" s="11" t="s">
        <v>12</v>
      </c>
      <c r="H91" s="12"/>
    </row>
    <row r="92" spans="1:8" ht="14.25" customHeight="1">
      <c r="A92" s="6" t="s">
        <v>28</v>
      </c>
      <c r="B92" s="7" t="str">
        <f t="shared" si="2"/>
        <v>机动大队</v>
      </c>
      <c r="C92" s="8" t="str">
        <f>"陈家亮"</f>
        <v>陈家亮</v>
      </c>
      <c r="D92" s="9" t="s">
        <v>11</v>
      </c>
      <c r="E92" s="8" t="str">
        <f>"440681199601242317"</f>
        <v>440681199601242317</v>
      </c>
      <c r="F92" s="10">
        <v>44082</v>
      </c>
      <c r="G92" s="11" t="s">
        <v>12</v>
      </c>
      <c r="H92" s="12"/>
    </row>
    <row r="93" spans="1:8" ht="14.25" customHeight="1">
      <c r="A93" s="6" t="s">
        <v>29</v>
      </c>
      <c r="B93" s="7" t="str">
        <f t="shared" si="2"/>
        <v>机动大队</v>
      </c>
      <c r="C93" s="8" t="str">
        <f>"毛健"</f>
        <v>毛健</v>
      </c>
      <c r="D93" s="9" t="s">
        <v>11</v>
      </c>
      <c r="E93" s="8" t="str">
        <f>"431123199511023012"</f>
        <v>431123199511023012</v>
      </c>
      <c r="F93" s="10">
        <v>44082</v>
      </c>
      <c r="G93" s="11" t="s">
        <v>12</v>
      </c>
      <c r="H93" s="12"/>
    </row>
    <row r="94" spans="1:8" ht="14.25" customHeight="1">
      <c r="A94" s="6" t="s">
        <v>30</v>
      </c>
      <c r="B94" s="7" t="str">
        <f t="shared" si="2"/>
        <v>机动大队</v>
      </c>
      <c r="C94" s="8" t="str">
        <f>"简键威"</f>
        <v>简键威</v>
      </c>
      <c r="D94" s="9" t="s">
        <v>11</v>
      </c>
      <c r="E94" s="8" t="str">
        <f>"440181199804055418"</f>
        <v>440181199804055418</v>
      </c>
      <c r="F94" s="10">
        <v>44082</v>
      </c>
      <c r="G94" s="11" t="s">
        <v>12</v>
      </c>
      <c r="H94" s="12"/>
    </row>
    <row r="95" spans="1:8" ht="14.25" customHeight="1">
      <c r="A95" s="6" t="s">
        <v>31</v>
      </c>
      <c r="B95" s="7" t="str">
        <f t="shared" si="2"/>
        <v>机动大队</v>
      </c>
      <c r="C95" s="8" t="str">
        <f>"黄伟杰"</f>
        <v>黄伟杰</v>
      </c>
      <c r="D95" s="9" t="s">
        <v>11</v>
      </c>
      <c r="E95" s="8" t="str">
        <f>"440181199806041255"</f>
        <v>440181199806041255</v>
      </c>
      <c r="F95" s="10">
        <v>44082</v>
      </c>
      <c r="G95" s="11" t="s">
        <v>12</v>
      </c>
      <c r="H95" s="12"/>
    </row>
    <row r="96" spans="1:8" ht="14.25" customHeight="1">
      <c r="A96" s="6" t="s">
        <v>32</v>
      </c>
      <c r="B96" s="7" t="str">
        <f t="shared" si="2"/>
        <v>机动大队</v>
      </c>
      <c r="C96" s="8" t="str">
        <f>"伍洪成"</f>
        <v>伍洪成</v>
      </c>
      <c r="D96" s="9" t="s">
        <v>11</v>
      </c>
      <c r="E96" s="8" t="str">
        <f>"513021199809077674"</f>
        <v>513021199809077674</v>
      </c>
      <c r="F96" s="10">
        <v>44082</v>
      </c>
      <c r="G96" s="11" t="s">
        <v>12</v>
      </c>
      <c r="H96" s="12"/>
    </row>
    <row r="97" spans="1:8" ht="14.25" customHeight="1">
      <c r="A97" s="6" t="s">
        <v>33</v>
      </c>
      <c r="B97" s="7" t="str">
        <f t="shared" si="2"/>
        <v>机动大队</v>
      </c>
      <c r="C97" s="8" t="str">
        <f>"芦霆彬"</f>
        <v>芦霆彬</v>
      </c>
      <c r="D97" s="9" t="s">
        <v>11</v>
      </c>
      <c r="E97" s="8" t="str">
        <f>"440181199712111216"</f>
        <v>440181199712111216</v>
      </c>
      <c r="F97" s="10">
        <v>44082</v>
      </c>
      <c r="G97" s="11" t="s">
        <v>12</v>
      </c>
      <c r="H97" s="12"/>
    </row>
    <row r="98" spans="1:8" ht="14.25" customHeight="1">
      <c r="A98" s="6" t="s">
        <v>34</v>
      </c>
      <c r="B98" s="7" t="str">
        <f t="shared" si="2"/>
        <v>机动大队</v>
      </c>
      <c r="C98" s="8" t="str">
        <f>"陈德明"</f>
        <v>陈德明</v>
      </c>
      <c r="D98" s="9" t="s">
        <v>11</v>
      </c>
      <c r="E98" s="8" t="str">
        <f>"440181200004157518"</f>
        <v>440181200004157518</v>
      </c>
      <c r="F98" s="10">
        <v>44082</v>
      </c>
      <c r="G98" s="11" t="s">
        <v>12</v>
      </c>
      <c r="H98" s="12"/>
    </row>
    <row r="99" spans="1:8" ht="14.25" customHeight="1">
      <c r="A99" s="6" t="s">
        <v>35</v>
      </c>
      <c r="B99" s="7" t="str">
        <f t="shared" si="2"/>
        <v>机动大队</v>
      </c>
      <c r="C99" s="8" t="str">
        <f>"高铭浩"</f>
        <v>高铭浩</v>
      </c>
      <c r="D99" s="9" t="s">
        <v>11</v>
      </c>
      <c r="E99" s="8" t="str">
        <f>"440181199804093633"</f>
        <v>440181199804093633</v>
      </c>
      <c r="F99" s="10">
        <v>44082</v>
      </c>
      <c r="G99" s="11" t="s">
        <v>12</v>
      </c>
      <c r="H99" s="12"/>
    </row>
    <row r="100" spans="1:8" ht="14.25" customHeight="1">
      <c r="A100" s="6" t="s">
        <v>36</v>
      </c>
      <c r="B100" s="7" t="str">
        <f t="shared" si="2"/>
        <v>机动大队</v>
      </c>
      <c r="C100" s="8" t="str">
        <f>"陈德宇"</f>
        <v>陈德宇</v>
      </c>
      <c r="D100" s="9" t="s">
        <v>11</v>
      </c>
      <c r="E100" s="8" t="str">
        <f>"440181199510235114"</f>
        <v>440181199510235114</v>
      </c>
      <c r="F100" s="10">
        <v>44082</v>
      </c>
      <c r="G100" s="11" t="s">
        <v>12</v>
      </c>
      <c r="H100" s="12"/>
    </row>
    <row r="101" spans="1:8" ht="14.25" customHeight="1">
      <c r="A101" s="6" t="s">
        <v>37</v>
      </c>
      <c r="B101" s="7" t="str">
        <f t="shared" si="2"/>
        <v>机动大队</v>
      </c>
      <c r="C101" s="8" t="str">
        <f>"王嘉豪"</f>
        <v>王嘉豪</v>
      </c>
      <c r="D101" s="9" t="s">
        <v>11</v>
      </c>
      <c r="E101" s="8" t="str">
        <f>"440181199706058412"</f>
        <v>440181199706058412</v>
      </c>
      <c r="F101" s="10">
        <v>44082</v>
      </c>
      <c r="G101" s="11" t="s">
        <v>12</v>
      </c>
      <c r="H101" s="12"/>
    </row>
    <row r="102" spans="1:8" ht="14.25" customHeight="1">
      <c r="A102" s="6" t="s">
        <v>38</v>
      </c>
      <c r="B102" s="7" t="str">
        <f t="shared" si="2"/>
        <v>机动大队</v>
      </c>
      <c r="C102" s="8" t="str">
        <f>"王子轩"</f>
        <v>王子轩</v>
      </c>
      <c r="D102" s="9" t="s">
        <v>11</v>
      </c>
      <c r="E102" s="8" t="str">
        <f>"440181199905130632"</f>
        <v>440181199905130632</v>
      </c>
      <c r="F102" s="10">
        <v>44082</v>
      </c>
      <c r="G102" s="11" t="s">
        <v>12</v>
      </c>
      <c r="H102" s="11"/>
    </row>
    <row r="103" spans="1:8" ht="14.25" customHeight="1">
      <c r="A103" s="6" t="s">
        <v>39</v>
      </c>
      <c r="B103" s="7" t="str">
        <f t="shared" si="2"/>
        <v>机动大队</v>
      </c>
      <c r="C103" s="8" t="str">
        <f>"王梓健"</f>
        <v>王梓健</v>
      </c>
      <c r="D103" s="9" t="s">
        <v>11</v>
      </c>
      <c r="E103" s="8" t="str">
        <f>"440181199712251518"</f>
        <v>440181199712251518</v>
      </c>
      <c r="F103" s="10">
        <v>44082</v>
      </c>
      <c r="G103" s="11" t="s">
        <v>12</v>
      </c>
      <c r="H103" s="11"/>
    </row>
    <row r="104" spans="1:8" ht="14.25" customHeight="1">
      <c r="A104" s="6" t="s">
        <v>40</v>
      </c>
      <c r="B104" s="7" t="str">
        <f t="shared" si="2"/>
        <v>机动大队</v>
      </c>
      <c r="C104" s="8" t="str">
        <f>"黄键彬"</f>
        <v>黄键彬</v>
      </c>
      <c r="D104" s="9" t="s">
        <v>11</v>
      </c>
      <c r="E104" s="8" t="str">
        <f>"440181199612068417"</f>
        <v>440181199612068417</v>
      </c>
      <c r="F104" s="10">
        <v>44082</v>
      </c>
      <c r="G104" s="11" t="s">
        <v>12</v>
      </c>
      <c r="H104" s="11"/>
    </row>
    <row r="105" spans="1:8" ht="14.25" customHeight="1">
      <c r="A105" s="6" t="s">
        <v>41</v>
      </c>
      <c r="B105" s="7" t="str">
        <f t="shared" si="2"/>
        <v>机动大队</v>
      </c>
      <c r="C105" s="8" t="str">
        <f>"冯劲"</f>
        <v>冯劲</v>
      </c>
      <c r="D105" s="9" t="s">
        <v>11</v>
      </c>
      <c r="E105" s="8" t="str">
        <f>"440981199608137516"</f>
        <v>440981199608137516</v>
      </c>
      <c r="F105" s="10">
        <v>44082</v>
      </c>
      <c r="G105" s="11" t="s">
        <v>12</v>
      </c>
      <c r="H105" s="11"/>
    </row>
    <row r="106" spans="1:8" ht="14.25" customHeight="1">
      <c r="A106" s="6" t="s">
        <v>42</v>
      </c>
      <c r="B106" s="7" t="str">
        <f t="shared" si="2"/>
        <v>机动大队</v>
      </c>
      <c r="C106" s="8" t="str">
        <f>"刘文科"</f>
        <v>刘文科</v>
      </c>
      <c r="D106" s="9" t="s">
        <v>11</v>
      </c>
      <c r="E106" s="8" t="str">
        <f>"441424199710173333"</f>
        <v>441424199710173333</v>
      </c>
      <c r="F106" s="10">
        <v>44082</v>
      </c>
      <c r="G106" s="11" t="s">
        <v>12</v>
      </c>
      <c r="H106" s="11"/>
    </row>
    <row r="107" spans="1:8" ht="14.25" customHeight="1">
      <c r="A107" s="6" t="s">
        <v>43</v>
      </c>
      <c r="B107" s="7" t="str">
        <f t="shared" si="2"/>
        <v>机动大队</v>
      </c>
      <c r="C107" s="8" t="str">
        <f>"龚文杰"</f>
        <v>龚文杰</v>
      </c>
      <c r="D107" s="9" t="s">
        <v>11</v>
      </c>
      <c r="E107" s="8" t="str">
        <f>"440181199601204217"</f>
        <v>440181199601204217</v>
      </c>
      <c r="F107" s="10">
        <v>44082</v>
      </c>
      <c r="G107" s="11" t="s">
        <v>12</v>
      </c>
      <c r="H107" s="11"/>
    </row>
    <row r="108" spans="1:8" ht="14.25" customHeight="1">
      <c r="A108" s="6" t="s">
        <v>44</v>
      </c>
      <c r="B108" s="7" t="str">
        <f t="shared" si="2"/>
        <v>机动大队</v>
      </c>
      <c r="C108" s="8" t="str">
        <f>"唐华琛"</f>
        <v>唐华琛</v>
      </c>
      <c r="D108" s="9" t="s">
        <v>11</v>
      </c>
      <c r="E108" s="8" t="str">
        <f>"440106199810290318"</f>
        <v>440106199810290318</v>
      </c>
      <c r="F108" s="10">
        <v>44082</v>
      </c>
      <c r="G108" s="11" t="s">
        <v>12</v>
      </c>
      <c r="H108" s="11"/>
    </row>
    <row r="109" spans="1:8" ht="14.25" customHeight="1">
      <c r="A109" s="6" t="s">
        <v>45</v>
      </c>
      <c r="B109" s="7" t="str">
        <f t="shared" si="2"/>
        <v>机动大队</v>
      </c>
      <c r="C109" s="8" t="str">
        <f>"叶镇昇"</f>
        <v>叶镇昇</v>
      </c>
      <c r="D109" s="9" t="s">
        <v>11</v>
      </c>
      <c r="E109" s="8" t="str">
        <f>"440181199701108118"</f>
        <v>440181199701108118</v>
      </c>
      <c r="F109" s="10">
        <v>44082</v>
      </c>
      <c r="G109" s="11" t="s">
        <v>12</v>
      </c>
      <c r="H109" s="11"/>
    </row>
    <row r="110" spans="1:8" ht="14.25" customHeight="1">
      <c r="A110" s="6" t="s">
        <v>46</v>
      </c>
      <c r="B110" s="7" t="str">
        <f t="shared" si="2"/>
        <v>机动大队</v>
      </c>
      <c r="C110" s="8" t="str">
        <f>"叶紫和"</f>
        <v>叶紫和</v>
      </c>
      <c r="D110" s="9" t="s">
        <v>11</v>
      </c>
      <c r="E110" s="8" t="str">
        <f>"440181199601161210"</f>
        <v>440181199601161210</v>
      </c>
      <c r="F110" s="10">
        <v>44082</v>
      </c>
      <c r="G110" s="11" t="s">
        <v>12</v>
      </c>
      <c r="H110" s="11"/>
    </row>
    <row r="111" spans="1:8" ht="14.25" customHeight="1">
      <c r="A111" s="6" t="s">
        <v>47</v>
      </c>
      <c r="B111" s="7" t="str">
        <f t="shared" si="2"/>
        <v>机动大队</v>
      </c>
      <c r="C111" s="8" t="str">
        <f>"彭金雄"</f>
        <v>彭金雄</v>
      </c>
      <c r="D111" s="9" t="s">
        <v>11</v>
      </c>
      <c r="E111" s="8" t="str">
        <f>"440181199806055411"</f>
        <v>440181199806055411</v>
      </c>
      <c r="F111" s="10">
        <v>44082</v>
      </c>
      <c r="G111" s="11" t="s">
        <v>12</v>
      </c>
      <c r="H111" s="11"/>
    </row>
    <row r="112" spans="1:8" ht="14.25" customHeight="1">
      <c r="A112" s="6" t="s">
        <v>48</v>
      </c>
      <c r="B112" s="7" t="str">
        <f t="shared" si="2"/>
        <v>机动大队</v>
      </c>
      <c r="C112" s="8" t="str">
        <f>"林广浩"</f>
        <v>林广浩</v>
      </c>
      <c r="D112" s="9" t="s">
        <v>11</v>
      </c>
      <c r="E112" s="8" t="str">
        <f>"440181199512250916"</f>
        <v>440181199512250916</v>
      </c>
      <c r="F112" s="10">
        <v>44082</v>
      </c>
      <c r="G112" s="11" t="s">
        <v>12</v>
      </c>
      <c r="H112" s="11"/>
    </row>
    <row r="113" spans="1:8" ht="14.25" customHeight="1">
      <c r="A113" s="6" t="s">
        <v>49</v>
      </c>
      <c r="B113" s="7" t="str">
        <f t="shared" si="2"/>
        <v>机动大队</v>
      </c>
      <c r="C113" s="8" t="str">
        <f>"郭家宇"</f>
        <v>郭家宇</v>
      </c>
      <c r="D113" s="9" t="s">
        <v>11</v>
      </c>
      <c r="E113" s="8" t="str">
        <f>"440181199703131514"</f>
        <v>440181199703131514</v>
      </c>
      <c r="F113" s="10">
        <v>44082</v>
      </c>
      <c r="G113" s="11" t="s">
        <v>12</v>
      </c>
      <c r="H113" s="11"/>
    </row>
    <row r="114" spans="1:8" ht="14.25" customHeight="1">
      <c r="A114" s="6" t="s">
        <v>50</v>
      </c>
      <c r="B114" s="7" t="str">
        <f t="shared" si="2"/>
        <v>机动大队</v>
      </c>
      <c r="C114" s="8" t="str">
        <f>"李沛甫"</f>
        <v>李沛甫</v>
      </c>
      <c r="D114" s="9" t="s">
        <v>11</v>
      </c>
      <c r="E114" s="8" t="str">
        <f>"441224199811153277"</f>
        <v>441224199811153277</v>
      </c>
      <c r="F114" s="10">
        <v>44082</v>
      </c>
      <c r="G114" s="11" t="s">
        <v>12</v>
      </c>
      <c r="H114" s="11"/>
    </row>
    <row r="115" spans="1:8" ht="14.25" customHeight="1">
      <c r="A115" s="6" t="s">
        <v>51</v>
      </c>
      <c r="B115" s="7" t="str">
        <f t="shared" si="2"/>
        <v>机动大队</v>
      </c>
      <c r="C115" s="8" t="str">
        <f>"冯剑雄"</f>
        <v>冯剑雄</v>
      </c>
      <c r="D115" s="9" t="s">
        <v>11</v>
      </c>
      <c r="E115" s="8" t="str">
        <f>"440181199605261219"</f>
        <v>440181199605261219</v>
      </c>
      <c r="F115" s="10">
        <v>44082</v>
      </c>
      <c r="G115" s="11" t="s">
        <v>12</v>
      </c>
      <c r="H115" s="11"/>
    </row>
    <row r="116" spans="1:8" ht="14.25" customHeight="1">
      <c r="A116" s="6" t="s">
        <v>52</v>
      </c>
      <c r="B116" s="7" t="str">
        <f t="shared" si="2"/>
        <v>机动大队</v>
      </c>
      <c r="C116" s="8" t="str">
        <f>"吴浩贤"</f>
        <v>吴浩贤</v>
      </c>
      <c r="D116" s="9" t="s">
        <v>11</v>
      </c>
      <c r="E116" s="8" t="str">
        <f>"430621199903304116"</f>
        <v>430621199903304116</v>
      </c>
      <c r="F116" s="10">
        <v>44082</v>
      </c>
      <c r="G116" s="11" t="s">
        <v>12</v>
      </c>
      <c r="H116" s="11"/>
    </row>
    <row r="117" spans="1:8" ht="14.25" customHeight="1">
      <c r="A117" s="6" t="s">
        <v>53</v>
      </c>
      <c r="B117" s="7" t="str">
        <f t="shared" si="2"/>
        <v>机动大队</v>
      </c>
      <c r="C117" s="8" t="str">
        <f>"黄浩辉"</f>
        <v>黄浩辉</v>
      </c>
      <c r="D117" s="9" t="s">
        <v>11</v>
      </c>
      <c r="E117" s="8" t="str">
        <f>"440181199903140917"</f>
        <v>440181199903140917</v>
      </c>
      <c r="F117" s="10">
        <v>44082</v>
      </c>
      <c r="G117" s="11" t="s">
        <v>12</v>
      </c>
      <c r="H117" s="11"/>
    </row>
    <row r="118" spans="1:8" ht="14.25" customHeight="1">
      <c r="A118" s="6" t="s">
        <v>54</v>
      </c>
      <c r="B118" s="7" t="str">
        <f t="shared" si="2"/>
        <v>机动大队</v>
      </c>
      <c r="C118" s="8" t="str">
        <f>"钟福群"</f>
        <v>钟福群</v>
      </c>
      <c r="D118" s="9" t="s">
        <v>11</v>
      </c>
      <c r="E118" s="8" t="str">
        <f>"460003199509245410"</f>
        <v>460003199509245410</v>
      </c>
      <c r="F118" s="10">
        <v>44082</v>
      </c>
      <c r="G118" s="11" t="s">
        <v>12</v>
      </c>
      <c r="H118" s="11"/>
    </row>
    <row r="119" spans="1:8" ht="14.25" customHeight="1">
      <c r="A119" s="6" t="s">
        <v>55</v>
      </c>
      <c r="B119" s="7" t="str">
        <f t="shared" si="2"/>
        <v>机动大队</v>
      </c>
      <c r="C119" s="8" t="str">
        <f>"陈学明"</f>
        <v>陈学明</v>
      </c>
      <c r="D119" s="9" t="s">
        <v>11</v>
      </c>
      <c r="E119" s="8" t="str">
        <f>"440181199811033612"</f>
        <v>440181199811033612</v>
      </c>
      <c r="F119" s="10">
        <v>44082</v>
      </c>
      <c r="G119" s="11" t="s">
        <v>12</v>
      </c>
      <c r="H119" s="11"/>
    </row>
    <row r="120" spans="1:8" ht="14.25" customHeight="1">
      <c r="A120" s="6" t="s">
        <v>56</v>
      </c>
      <c r="B120" s="7" t="str">
        <f t="shared" si="2"/>
        <v>机动大队</v>
      </c>
      <c r="C120" s="8" t="str">
        <f>"林伟天"</f>
        <v>林伟天</v>
      </c>
      <c r="D120" s="9" t="s">
        <v>11</v>
      </c>
      <c r="E120" s="8" t="str">
        <f>"441581199806187775"</f>
        <v>441581199806187775</v>
      </c>
      <c r="F120" s="10">
        <v>44082</v>
      </c>
      <c r="G120" s="11" t="s">
        <v>12</v>
      </c>
      <c r="H120" s="11"/>
    </row>
    <row r="121" spans="1:8" ht="14.25" customHeight="1">
      <c r="A121" s="6" t="s">
        <v>57</v>
      </c>
      <c r="B121" s="7" t="str">
        <f t="shared" si="2"/>
        <v>机动大队</v>
      </c>
      <c r="C121" s="8" t="str">
        <f>"闭永其"</f>
        <v>闭永其</v>
      </c>
      <c r="D121" s="9" t="s">
        <v>11</v>
      </c>
      <c r="E121" s="8" t="str">
        <f>"450802200105083858"</f>
        <v>450802200105083858</v>
      </c>
      <c r="F121" s="10">
        <v>44082</v>
      </c>
      <c r="G121" s="11" t="s">
        <v>12</v>
      </c>
      <c r="H121" s="11"/>
    </row>
    <row r="122" spans="1:8" ht="14.25" customHeight="1">
      <c r="A122" s="6" t="s">
        <v>58</v>
      </c>
      <c r="B122" s="7" t="str">
        <f t="shared" si="2"/>
        <v>机动大队</v>
      </c>
      <c r="C122" s="8" t="str">
        <f>"何俊毅"</f>
        <v>何俊毅</v>
      </c>
      <c r="D122" s="9" t="s">
        <v>11</v>
      </c>
      <c r="E122" s="8" t="str">
        <f>"440181199612210954"</f>
        <v>440181199612210954</v>
      </c>
      <c r="F122" s="10">
        <v>44082</v>
      </c>
      <c r="G122" s="11" t="s">
        <v>12</v>
      </c>
      <c r="H122" s="11"/>
    </row>
    <row r="123" spans="1:8" ht="14.25" customHeight="1">
      <c r="A123" s="6" t="s">
        <v>59</v>
      </c>
      <c r="B123" s="7" t="str">
        <f t="shared" si="2"/>
        <v>机动大队</v>
      </c>
      <c r="C123" s="8" t="str">
        <f>"肖启钧"</f>
        <v>肖启钧</v>
      </c>
      <c r="D123" s="9" t="s">
        <v>11</v>
      </c>
      <c r="E123" s="8" t="str">
        <f>"440181199606235717"</f>
        <v>440181199606235717</v>
      </c>
      <c r="F123" s="10">
        <v>44082</v>
      </c>
      <c r="G123" s="11" t="s">
        <v>12</v>
      </c>
      <c r="H123" s="11"/>
    </row>
    <row r="124" spans="1:8" ht="14.25" customHeight="1">
      <c r="A124" s="6" t="s">
        <v>60</v>
      </c>
      <c r="B124" s="7" t="str">
        <f aca="true" t="shared" si="3" ref="B124:B146">"机动大队"</f>
        <v>机动大队</v>
      </c>
      <c r="C124" s="8" t="str">
        <f>"李泽弘"</f>
        <v>李泽弘</v>
      </c>
      <c r="D124" s="9" t="s">
        <v>11</v>
      </c>
      <c r="E124" s="8" t="str">
        <f>"440181199806103911"</f>
        <v>440181199806103911</v>
      </c>
      <c r="F124" s="10">
        <v>44082</v>
      </c>
      <c r="G124" s="11" t="s">
        <v>12</v>
      </c>
      <c r="H124" s="11"/>
    </row>
    <row r="125" spans="1:8" ht="14.25" customHeight="1">
      <c r="A125" s="6" t="s">
        <v>61</v>
      </c>
      <c r="B125" s="7" t="str">
        <f t="shared" si="3"/>
        <v>机动大队</v>
      </c>
      <c r="C125" s="8" t="str">
        <f>"何健文"</f>
        <v>何健文</v>
      </c>
      <c r="D125" s="9" t="s">
        <v>11</v>
      </c>
      <c r="E125" s="8" t="str">
        <f>"440281199609184850"</f>
        <v>440281199609184850</v>
      </c>
      <c r="F125" s="10">
        <v>44082</v>
      </c>
      <c r="G125" s="11" t="s">
        <v>12</v>
      </c>
      <c r="H125" s="11"/>
    </row>
    <row r="126" spans="1:8" s="1" customFormat="1" ht="14.25" customHeight="1">
      <c r="A126" s="6" t="s">
        <v>62</v>
      </c>
      <c r="B126" s="7" t="str">
        <f t="shared" si="3"/>
        <v>机动大队</v>
      </c>
      <c r="C126" s="8" t="str">
        <f>"陈奕漩"</f>
        <v>陈奕漩</v>
      </c>
      <c r="D126" s="9" t="s">
        <v>11</v>
      </c>
      <c r="E126" s="8" t="str">
        <f>"441723199611161011"</f>
        <v>441723199611161011</v>
      </c>
      <c r="F126" s="10">
        <v>44082</v>
      </c>
      <c r="G126" s="11" t="s">
        <v>12</v>
      </c>
      <c r="H126" s="11"/>
    </row>
    <row r="127" spans="1:8" s="1" customFormat="1" ht="14.25" customHeight="1">
      <c r="A127" s="6" t="s">
        <v>63</v>
      </c>
      <c r="B127" s="7" t="str">
        <f t="shared" si="3"/>
        <v>机动大队</v>
      </c>
      <c r="C127" s="8" t="str">
        <f>"杨天乐"</f>
        <v>杨天乐</v>
      </c>
      <c r="D127" s="9" t="s">
        <v>11</v>
      </c>
      <c r="E127" s="8" t="str">
        <f>"440181199907190911"</f>
        <v>440181199907190911</v>
      </c>
      <c r="F127" s="10">
        <v>44082</v>
      </c>
      <c r="G127" s="11" t="s">
        <v>12</v>
      </c>
      <c r="H127" s="11"/>
    </row>
    <row r="128" spans="1:8" s="1" customFormat="1" ht="14.25" customHeight="1">
      <c r="A128" s="6" t="s">
        <v>64</v>
      </c>
      <c r="B128" s="7" t="str">
        <f t="shared" si="3"/>
        <v>机动大队</v>
      </c>
      <c r="C128" s="8" t="str">
        <f>"姜家誉"</f>
        <v>姜家誉</v>
      </c>
      <c r="D128" s="9" t="s">
        <v>11</v>
      </c>
      <c r="E128" s="8" t="str">
        <f>"44088119970707691X"</f>
        <v>44088119970707691X</v>
      </c>
      <c r="F128" s="10">
        <v>44082</v>
      </c>
      <c r="G128" s="11" t="s">
        <v>12</v>
      </c>
      <c r="H128" s="11"/>
    </row>
    <row r="129" spans="1:8" s="1" customFormat="1" ht="14.25" customHeight="1">
      <c r="A129" s="6" t="s">
        <v>65</v>
      </c>
      <c r="B129" s="7" t="str">
        <f t="shared" si="3"/>
        <v>机动大队</v>
      </c>
      <c r="C129" s="8" t="str">
        <f>"周子杰"</f>
        <v>周子杰</v>
      </c>
      <c r="D129" s="9" t="s">
        <v>11</v>
      </c>
      <c r="E129" s="8" t="str">
        <f>"440802199807280437"</f>
        <v>440802199807280437</v>
      </c>
      <c r="F129" s="10">
        <v>44082</v>
      </c>
      <c r="G129" s="11" t="s">
        <v>12</v>
      </c>
      <c r="H129" s="11"/>
    </row>
    <row r="130" spans="1:8" s="1" customFormat="1" ht="14.25" customHeight="1">
      <c r="A130" s="6" t="s">
        <v>66</v>
      </c>
      <c r="B130" s="7" t="str">
        <f t="shared" si="3"/>
        <v>机动大队</v>
      </c>
      <c r="C130" s="8" t="str">
        <f>"杨河南"</f>
        <v>杨河南</v>
      </c>
      <c r="D130" s="9" t="s">
        <v>11</v>
      </c>
      <c r="E130" s="8" t="str">
        <f>"441424199510081418"</f>
        <v>441424199510081418</v>
      </c>
      <c r="F130" s="10">
        <v>44082</v>
      </c>
      <c r="G130" s="11" t="s">
        <v>12</v>
      </c>
      <c r="H130" s="11"/>
    </row>
    <row r="131" spans="1:8" s="1" customFormat="1" ht="14.25" customHeight="1">
      <c r="A131" s="6" t="s">
        <v>67</v>
      </c>
      <c r="B131" s="7" t="str">
        <f t="shared" si="3"/>
        <v>机动大队</v>
      </c>
      <c r="C131" s="8" t="str">
        <f>"陈浩升"</f>
        <v>陈浩升</v>
      </c>
      <c r="D131" s="9" t="s">
        <v>11</v>
      </c>
      <c r="E131" s="8" t="str">
        <f>"440181199707112716"</f>
        <v>440181199707112716</v>
      </c>
      <c r="F131" s="10">
        <v>44082</v>
      </c>
      <c r="G131" s="11" t="s">
        <v>12</v>
      </c>
      <c r="H131" s="11"/>
    </row>
    <row r="132" spans="1:8" s="1" customFormat="1" ht="14.25" customHeight="1">
      <c r="A132" s="6" t="s">
        <v>68</v>
      </c>
      <c r="B132" s="7" t="str">
        <f t="shared" si="3"/>
        <v>机动大队</v>
      </c>
      <c r="C132" s="8" t="str">
        <f>"陆永祥"</f>
        <v>陆永祥</v>
      </c>
      <c r="D132" s="9" t="s">
        <v>11</v>
      </c>
      <c r="E132" s="8" t="str">
        <f>"440981199801084639"</f>
        <v>440981199801084639</v>
      </c>
      <c r="F132" s="10">
        <v>44082</v>
      </c>
      <c r="G132" s="11" t="s">
        <v>12</v>
      </c>
      <c r="H132" s="11"/>
    </row>
    <row r="133" spans="1:8" s="1" customFormat="1" ht="14.25" customHeight="1">
      <c r="A133" s="6" t="s">
        <v>69</v>
      </c>
      <c r="B133" s="7" t="str">
        <f t="shared" si="3"/>
        <v>机动大队</v>
      </c>
      <c r="C133" s="8" t="str">
        <f>"江源鸿"</f>
        <v>江源鸿</v>
      </c>
      <c r="D133" s="9" t="s">
        <v>11</v>
      </c>
      <c r="E133" s="8" t="str">
        <f>"440881199912287775"</f>
        <v>440881199912287775</v>
      </c>
      <c r="F133" s="10">
        <v>44082</v>
      </c>
      <c r="G133" s="11" t="s">
        <v>12</v>
      </c>
      <c r="H133" s="11"/>
    </row>
    <row r="134" spans="1:8" s="1" customFormat="1" ht="14.25" customHeight="1">
      <c r="A134" s="6" t="s">
        <v>70</v>
      </c>
      <c r="B134" s="7" t="str">
        <f t="shared" si="3"/>
        <v>机动大队</v>
      </c>
      <c r="C134" s="8" t="str">
        <f>"方立斌"</f>
        <v>方立斌</v>
      </c>
      <c r="D134" s="9" t="s">
        <v>11</v>
      </c>
      <c r="E134" s="8" t="str">
        <f>"440181199609285410"</f>
        <v>440181199609285410</v>
      </c>
      <c r="F134" s="10">
        <v>44082</v>
      </c>
      <c r="G134" s="11" t="s">
        <v>12</v>
      </c>
      <c r="H134" s="11"/>
    </row>
    <row r="135" spans="1:8" s="1" customFormat="1" ht="14.25" customHeight="1">
      <c r="A135" s="6" t="s">
        <v>71</v>
      </c>
      <c r="B135" s="7" t="str">
        <f t="shared" si="3"/>
        <v>机动大队</v>
      </c>
      <c r="C135" s="8" t="str">
        <f>"钟华健"</f>
        <v>钟华健</v>
      </c>
      <c r="D135" s="9" t="s">
        <v>11</v>
      </c>
      <c r="E135" s="8" t="str">
        <f>"440981199601092255"</f>
        <v>440981199601092255</v>
      </c>
      <c r="F135" s="10">
        <v>44082</v>
      </c>
      <c r="G135" s="11" t="s">
        <v>12</v>
      </c>
      <c r="H135" s="11"/>
    </row>
    <row r="136" spans="1:8" s="1" customFormat="1" ht="14.25" customHeight="1">
      <c r="A136" s="6" t="s">
        <v>72</v>
      </c>
      <c r="B136" s="7" t="str">
        <f t="shared" si="3"/>
        <v>机动大队</v>
      </c>
      <c r="C136" s="8" t="str">
        <f>"简俊鸿"</f>
        <v>简俊鸿</v>
      </c>
      <c r="D136" s="9" t="s">
        <v>11</v>
      </c>
      <c r="E136" s="8" t="str">
        <f>"440606199807140017"</f>
        <v>440606199807140017</v>
      </c>
      <c r="F136" s="10">
        <v>44082</v>
      </c>
      <c r="G136" s="11" t="s">
        <v>12</v>
      </c>
      <c r="H136" s="11"/>
    </row>
    <row r="137" spans="1:8" s="1" customFormat="1" ht="14.25" customHeight="1">
      <c r="A137" s="6" t="s">
        <v>73</v>
      </c>
      <c r="B137" s="7" t="str">
        <f t="shared" si="3"/>
        <v>机动大队</v>
      </c>
      <c r="C137" s="8" t="str">
        <f>"梁天宝"</f>
        <v>梁天宝</v>
      </c>
      <c r="D137" s="9" t="s">
        <v>11</v>
      </c>
      <c r="E137" s="8" t="str">
        <f>"440921200207032114"</f>
        <v>440921200207032114</v>
      </c>
      <c r="F137" s="10">
        <v>44082</v>
      </c>
      <c r="G137" s="11" t="s">
        <v>12</v>
      </c>
      <c r="H137" s="11"/>
    </row>
    <row r="138" spans="1:8" s="1" customFormat="1" ht="14.25" customHeight="1">
      <c r="A138" s="6" t="s">
        <v>74</v>
      </c>
      <c r="B138" s="7" t="str">
        <f t="shared" si="3"/>
        <v>机动大队</v>
      </c>
      <c r="C138" s="8" t="str">
        <f>"吴嘉俊"</f>
        <v>吴嘉俊</v>
      </c>
      <c r="D138" s="9" t="s">
        <v>11</v>
      </c>
      <c r="E138" s="8" t="str">
        <f>"440181199907293013"</f>
        <v>440181199907293013</v>
      </c>
      <c r="F138" s="10">
        <v>44082</v>
      </c>
      <c r="G138" s="11" t="s">
        <v>12</v>
      </c>
      <c r="H138" s="11"/>
    </row>
    <row r="139" spans="1:8" s="1" customFormat="1" ht="14.25" customHeight="1">
      <c r="A139" s="6" t="s">
        <v>75</v>
      </c>
      <c r="B139" s="7" t="str">
        <f t="shared" si="3"/>
        <v>机动大队</v>
      </c>
      <c r="C139" s="8" t="str">
        <f>"郑浩贤"</f>
        <v>郑浩贤</v>
      </c>
      <c r="D139" s="9" t="s">
        <v>11</v>
      </c>
      <c r="E139" s="8" t="str">
        <f>"440181199704237513"</f>
        <v>440181199704237513</v>
      </c>
      <c r="F139" s="10">
        <v>44082</v>
      </c>
      <c r="G139" s="11" t="s">
        <v>12</v>
      </c>
      <c r="H139" s="11"/>
    </row>
    <row r="140" spans="1:8" s="1" customFormat="1" ht="14.25" customHeight="1">
      <c r="A140" s="6" t="s">
        <v>76</v>
      </c>
      <c r="B140" s="7" t="str">
        <f t="shared" si="3"/>
        <v>机动大队</v>
      </c>
      <c r="C140" s="8" t="str">
        <f>"李智辉"</f>
        <v>李智辉</v>
      </c>
      <c r="D140" s="9" t="s">
        <v>11</v>
      </c>
      <c r="E140" s="8" t="str">
        <f>"440183199912154811"</f>
        <v>440183199912154811</v>
      </c>
      <c r="F140" s="10">
        <v>44082</v>
      </c>
      <c r="G140" s="11" t="s">
        <v>12</v>
      </c>
      <c r="H140" s="11"/>
    </row>
    <row r="141" spans="1:8" s="1" customFormat="1" ht="14.25" customHeight="1">
      <c r="A141" s="6" t="s">
        <v>77</v>
      </c>
      <c r="B141" s="7" t="str">
        <f t="shared" si="3"/>
        <v>机动大队</v>
      </c>
      <c r="C141" s="8" t="str">
        <f>"关广兴"</f>
        <v>关广兴</v>
      </c>
      <c r="D141" s="9" t="s">
        <v>11</v>
      </c>
      <c r="E141" s="8" t="str">
        <f>"440181199612074817"</f>
        <v>440181199612074817</v>
      </c>
      <c r="F141" s="10">
        <v>44082</v>
      </c>
      <c r="G141" s="11" t="s">
        <v>12</v>
      </c>
      <c r="H141" s="11"/>
    </row>
    <row r="142" spans="1:8" s="1" customFormat="1" ht="14.25" customHeight="1">
      <c r="A142" s="6" t="s">
        <v>78</v>
      </c>
      <c r="B142" s="7" t="str">
        <f t="shared" si="3"/>
        <v>机动大队</v>
      </c>
      <c r="C142" s="8" t="str">
        <f>"张志海"</f>
        <v>张志海</v>
      </c>
      <c r="D142" s="9" t="s">
        <v>11</v>
      </c>
      <c r="E142" s="8" t="str">
        <f>"440802199901090015"</f>
        <v>440802199901090015</v>
      </c>
      <c r="F142" s="10">
        <v>44082</v>
      </c>
      <c r="G142" s="11" t="s">
        <v>12</v>
      </c>
      <c r="H142" s="11"/>
    </row>
    <row r="143" spans="1:8" s="1" customFormat="1" ht="14.25" customHeight="1">
      <c r="A143" s="6" t="s">
        <v>79</v>
      </c>
      <c r="B143" s="7" t="str">
        <f t="shared" si="3"/>
        <v>机动大队</v>
      </c>
      <c r="C143" s="8" t="str">
        <f>"区健标"</f>
        <v>区健标</v>
      </c>
      <c r="D143" s="9" t="s">
        <v>11</v>
      </c>
      <c r="E143" s="8" t="str">
        <f>"440181199809075418"</f>
        <v>440181199809075418</v>
      </c>
      <c r="F143" s="10">
        <v>44082</v>
      </c>
      <c r="G143" s="11" t="s">
        <v>12</v>
      </c>
      <c r="H143" s="11"/>
    </row>
    <row r="144" spans="1:8" s="1" customFormat="1" ht="14.25" customHeight="1">
      <c r="A144" s="6" t="s">
        <v>80</v>
      </c>
      <c r="B144" s="7" t="str">
        <f t="shared" si="3"/>
        <v>机动大队</v>
      </c>
      <c r="C144" s="8" t="str">
        <f>"刘俊峰"</f>
        <v>刘俊峰</v>
      </c>
      <c r="D144" s="9" t="s">
        <v>11</v>
      </c>
      <c r="E144" s="8" t="str">
        <f>"441622199803160054"</f>
        <v>441622199803160054</v>
      </c>
      <c r="F144" s="10">
        <v>44082</v>
      </c>
      <c r="G144" s="11" t="s">
        <v>12</v>
      </c>
      <c r="H144" s="11"/>
    </row>
    <row r="145" spans="1:8" s="1" customFormat="1" ht="14.25" customHeight="1">
      <c r="A145" s="6" t="s">
        <v>81</v>
      </c>
      <c r="B145" s="7" t="str">
        <f t="shared" si="3"/>
        <v>机动大队</v>
      </c>
      <c r="C145" s="8" t="str">
        <f>"梁伟龙"</f>
        <v>梁伟龙</v>
      </c>
      <c r="D145" s="9" t="s">
        <v>11</v>
      </c>
      <c r="E145" s="8" t="str">
        <f>"440181199809230932"</f>
        <v>440181199809230932</v>
      </c>
      <c r="F145" s="10">
        <v>44082</v>
      </c>
      <c r="G145" s="11" t="s">
        <v>12</v>
      </c>
      <c r="H145" s="11"/>
    </row>
    <row r="146" spans="1:8" ht="22.5">
      <c r="A146" s="3" t="s">
        <v>83</v>
      </c>
      <c r="B146" s="3"/>
      <c r="C146" s="3"/>
      <c r="D146" s="3"/>
      <c r="E146" s="3"/>
      <c r="F146" s="3"/>
      <c r="G146" s="3"/>
      <c r="H146" s="3"/>
    </row>
    <row r="147" spans="1:8" ht="37.5">
      <c r="A147" s="4" t="s">
        <v>2</v>
      </c>
      <c r="B147" s="4" t="s">
        <v>3</v>
      </c>
      <c r="C147" s="5" t="s">
        <v>4</v>
      </c>
      <c r="D147" s="4" t="s">
        <v>5</v>
      </c>
      <c r="E147" s="5" t="s">
        <v>6</v>
      </c>
      <c r="F147" s="4" t="s">
        <v>7</v>
      </c>
      <c r="G147" s="4" t="s">
        <v>8</v>
      </c>
      <c r="H147" s="4" t="s">
        <v>9</v>
      </c>
    </row>
    <row r="148" spans="1:8" ht="14.25" customHeight="1">
      <c r="A148" s="6" t="s">
        <v>10</v>
      </c>
      <c r="B148" s="7" t="str">
        <f aca="true" t="shared" si="4" ref="B146:B211">"机动大队"</f>
        <v>机动大队</v>
      </c>
      <c r="C148" s="8" t="str">
        <f>"冯伟津"</f>
        <v>冯伟津</v>
      </c>
      <c r="D148" s="9" t="s">
        <v>11</v>
      </c>
      <c r="E148" s="8" t="str">
        <f>"440181199706134235"</f>
        <v>440181199706134235</v>
      </c>
      <c r="F148" s="10">
        <v>44082</v>
      </c>
      <c r="G148" s="11" t="s">
        <v>12</v>
      </c>
      <c r="H148" s="12"/>
    </row>
    <row r="149" spans="1:8" ht="14.25" customHeight="1">
      <c r="A149" s="6" t="s">
        <v>13</v>
      </c>
      <c r="B149" s="7" t="str">
        <f t="shared" si="4"/>
        <v>机动大队</v>
      </c>
      <c r="C149" s="8" t="str">
        <f>"陆永琪"</f>
        <v>陆永琪</v>
      </c>
      <c r="D149" s="9" t="s">
        <v>11</v>
      </c>
      <c r="E149" s="8" t="str">
        <f>"440184199912150614"</f>
        <v>440184199912150614</v>
      </c>
      <c r="F149" s="10">
        <v>44082</v>
      </c>
      <c r="G149" s="11" t="s">
        <v>12</v>
      </c>
      <c r="H149" s="12"/>
    </row>
    <row r="150" spans="1:8" ht="14.25" customHeight="1">
      <c r="A150" s="6" t="s">
        <v>14</v>
      </c>
      <c r="B150" s="7" t="str">
        <f t="shared" si="4"/>
        <v>机动大队</v>
      </c>
      <c r="C150" s="8" t="str">
        <f>"何梓龙"</f>
        <v>何梓龙</v>
      </c>
      <c r="D150" s="9" t="s">
        <v>11</v>
      </c>
      <c r="E150" s="8" t="str">
        <f>"440181199610205115"</f>
        <v>440181199610205115</v>
      </c>
      <c r="F150" s="10">
        <v>44082</v>
      </c>
      <c r="G150" s="11" t="s">
        <v>12</v>
      </c>
      <c r="H150" s="12"/>
    </row>
    <row r="151" spans="1:8" ht="14.25" customHeight="1">
      <c r="A151" s="6" t="s">
        <v>15</v>
      </c>
      <c r="B151" s="7" t="str">
        <f t="shared" si="4"/>
        <v>机动大队</v>
      </c>
      <c r="C151" s="8" t="str">
        <f>"黎子贤"</f>
        <v>黎子贤</v>
      </c>
      <c r="D151" s="9" t="s">
        <v>11</v>
      </c>
      <c r="E151" s="8" t="str">
        <f>"440181199809123619"</f>
        <v>440181199809123619</v>
      </c>
      <c r="F151" s="10">
        <v>44082</v>
      </c>
      <c r="G151" s="11" t="s">
        <v>12</v>
      </c>
      <c r="H151" s="12"/>
    </row>
    <row r="152" spans="1:8" ht="14.25" customHeight="1">
      <c r="A152" s="6" t="s">
        <v>16</v>
      </c>
      <c r="B152" s="7" t="str">
        <f t="shared" si="4"/>
        <v>机动大队</v>
      </c>
      <c r="C152" s="8" t="str">
        <f>"范子轩"</f>
        <v>范子轩</v>
      </c>
      <c r="D152" s="9" t="s">
        <v>11</v>
      </c>
      <c r="E152" s="8" t="str">
        <f>"441224200003273233"</f>
        <v>441224200003273233</v>
      </c>
      <c r="F152" s="10">
        <v>44082</v>
      </c>
      <c r="G152" s="11" t="s">
        <v>12</v>
      </c>
      <c r="H152" s="12"/>
    </row>
    <row r="153" spans="1:8" ht="14.25" customHeight="1">
      <c r="A153" s="6" t="s">
        <v>17</v>
      </c>
      <c r="B153" s="7" t="str">
        <f t="shared" si="4"/>
        <v>机动大队</v>
      </c>
      <c r="C153" s="8" t="str">
        <f>"劳益"</f>
        <v>劳益</v>
      </c>
      <c r="D153" s="9" t="s">
        <v>11</v>
      </c>
      <c r="E153" s="8" t="str">
        <f>"440882199711138614"</f>
        <v>440882199711138614</v>
      </c>
      <c r="F153" s="10">
        <v>44082</v>
      </c>
      <c r="G153" s="11" t="s">
        <v>12</v>
      </c>
      <c r="H153" s="12"/>
    </row>
    <row r="154" spans="1:8" ht="14.25" customHeight="1">
      <c r="A154" s="6" t="s">
        <v>18</v>
      </c>
      <c r="B154" s="7" t="str">
        <f t="shared" si="4"/>
        <v>机动大队</v>
      </c>
      <c r="C154" s="8" t="str">
        <f>"苏镇威"</f>
        <v>苏镇威</v>
      </c>
      <c r="D154" s="9" t="s">
        <v>11</v>
      </c>
      <c r="E154" s="8" t="str">
        <f>"440181199806145716"</f>
        <v>440181199806145716</v>
      </c>
      <c r="F154" s="10">
        <v>44082</v>
      </c>
      <c r="G154" s="11" t="s">
        <v>12</v>
      </c>
      <c r="H154" s="12"/>
    </row>
    <row r="155" spans="1:8" ht="14.25" customHeight="1">
      <c r="A155" s="6" t="s">
        <v>19</v>
      </c>
      <c r="B155" s="7" t="str">
        <f t="shared" si="4"/>
        <v>机动大队</v>
      </c>
      <c r="C155" s="8" t="str">
        <f>"彭健业"</f>
        <v>彭健业</v>
      </c>
      <c r="D155" s="9" t="s">
        <v>11</v>
      </c>
      <c r="E155" s="8" t="str">
        <f>"440181199809121816"</f>
        <v>440181199809121816</v>
      </c>
      <c r="F155" s="10">
        <v>44082</v>
      </c>
      <c r="G155" s="11" t="s">
        <v>12</v>
      </c>
      <c r="H155" s="12"/>
    </row>
    <row r="156" spans="1:8" ht="14.25" customHeight="1">
      <c r="A156" s="6" t="s">
        <v>20</v>
      </c>
      <c r="B156" s="7" t="str">
        <f t="shared" si="4"/>
        <v>机动大队</v>
      </c>
      <c r="C156" s="8" t="str">
        <f>"冯廷逸"</f>
        <v>冯廷逸</v>
      </c>
      <c r="D156" s="9" t="s">
        <v>11</v>
      </c>
      <c r="E156" s="8" t="str">
        <f>"440181199805257812"</f>
        <v>440181199805257812</v>
      </c>
      <c r="F156" s="10">
        <v>44082</v>
      </c>
      <c r="G156" s="11" t="s">
        <v>12</v>
      </c>
      <c r="H156" s="12"/>
    </row>
    <row r="157" spans="1:8" ht="14.25" customHeight="1">
      <c r="A157" s="6" t="s">
        <v>21</v>
      </c>
      <c r="B157" s="7" t="str">
        <f t="shared" si="4"/>
        <v>机动大队</v>
      </c>
      <c r="C157" s="8" t="str">
        <f>"张家俊"</f>
        <v>张家俊</v>
      </c>
      <c r="D157" s="9" t="s">
        <v>11</v>
      </c>
      <c r="E157" s="8" t="str">
        <f>"440181199908130013"</f>
        <v>440181199908130013</v>
      </c>
      <c r="F157" s="10">
        <v>44082</v>
      </c>
      <c r="G157" s="11" t="s">
        <v>12</v>
      </c>
      <c r="H157" s="12"/>
    </row>
    <row r="158" spans="1:8" ht="14.25" customHeight="1">
      <c r="A158" s="6" t="s">
        <v>22</v>
      </c>
      <c r="B158" s="7" t="str">
        <f t="shared" si="4"/>
        <v>机动大队</v>
      </c>
      <c r="C158" s="8" t="str">
        <f>"吴岳展"</f>
        <v>吴岳展</v>
      </c>
      <c r="D158" s="9" t="s">
        <v>11</v>
      </c>
      <c r="E158" s="8" t="str">
        <f>"44512220000227351X"</f>
        <v>44512220000227351X</v>
      </c>
      <c r="F158" s="10">
        <v>44082</v>
      </c>
      <c r="G158" s="11" t="s">
        <v>12</v>
      </c>
      <c r="H158" s="12"/>
    </row>
    <row r="159" spans="1:8" ht="14.25" customHeight="1">
      <c r="A159" s="6" t="s">
        <v>23</v>
      </c>
      <c r="B159" s="7" t="str">
        <f t="shared" si="4"/>
        <v>机动大队</v>
      </c>
      <c r="C159" s="8" t="str">
        <f>"冯俊伟"</f>
        <v>冯俊伟</v>
      </c>
      <c r="D159" s="9" t="s">
        <v>11</v>
      </c>
      <c r="E159" s="8" t="str">
        <f>"440181199802024255"</f>
        <v>440181199802024255</v>
      </c>
      <c r="F159" s="10">
        <v>44082</v>
      </c>
      <c r="G159" s="11" t="s">
        <v>12</v>
      </c>
      <c r="H159" s="12"/>
    </row>
    <row r="160" spans="1:8" ht="14.25" customHeight="1">
      <c r="A160" s="6" t="s">
        <v>24</v>
      </c>
      <c r="B160" s="7" t="str">
        <f t="shared" si="4"/>
        <v>机动大队</v>
      </c>
      <c r="C160" s="8" t="str">
        <f>"罗允棋"</f>
        <v>罗允棋</v>
      </c>
      <c r="D160" s="9" t="s">
        <v>11</v>
      </c>
      <c r="E160" s="8" t="str">
        <f>"440181199912171512"</f>
        <v>440181199912171512</v>
      </c>
      <c r="F160" s="10">
        <v>44082</v>
      </c>
      <c r="G160" s="11" t="s">
        <v>12</v>
      </c>
      <c r="H160" s="12"/>
    </row>
    <row r="161" spans="1:8" ht="14.25" customHeight="1">
      <c r="A161" s="6" t="s">
        <v>25</v>
      </c>
      <c r="B161" s="7" t="str">
        <f t="shared" si="4"/>
        <v>机动大队</v>
      </c>
      <c r="C161" s="8" t="str">
        <f>"何仲达"</f>
        <v>何仲达</v>
      </c>
      <c r="D161" s="9" t="s">
        <v>11</v>
      </c>
      <c r="E161" s="8" t="str">
        <f>"44018119961228155X"</f>
        <v>44018119961228155X</v>
      </c>
      <c r="F161" s="10">
        <v>44082</v>
      </c>
      <c r="G161" s="11" t="s">
        <v>12</v>
      </c>
      <c r="H161" s="12"/>
    </row>
    <row r="162" spans="1:8" ht="14.25" customHeight="1">
      <c r="A162" s="6" t="s">
        <v>26</v>
      </c>
      <c r="B162" s="7" t="str">
        <f t="shared" si="4"/>
        <v>机动大队</v>
      </c>
      <c r="C162" s="8" t="str">
        <f>"何非凡"</f>
        <v>何非凡</v>
      </c>
      <c r="D162" s="9" t="s">
        <v>11</v>
      </c>
      <c r="E162" s="8" t="str">
        <f>"44522219980915241X"</f>
        <v>44522219980915241X</v>
      </c>
      <c r="F162" s="10">
        <v>44082</v>
      </c>
      <c r="G162" s="11" t="s">
        <v>12</v>
      </c>
      <c r="H162" s="12"/>
    </row>
    <row r="163" spans="1:8" ht="14.25" customHeight="1">
      <c r="A163" s="6" t="s">
        <v>27</v>
      </c>
      <c r="B163" s="7" t="str">
        <f t="shared" si="4"/>
        <v>机动大队</v>
      </c>
      <c r="C163" s="8" t="str">
        <f>"王润彬"</f>
        <v>王润彬</v>
      </c>
      <c r="D163" s="9" t="s">
        <v>11</v>
      </c>
      <c r="E163" s="8" t="str">
        <f>"440181199806175712"</f>
        <v>440181199806175712</v>
      </c>
      <c r="F163" s="10">
        <v>44082</v>
      </c>
      <c r="G163" s="11" t="s">
        <v>12</v>
      </c>
      <c r="H163" s="11"/>
    </row>
    <row r="164" spans="1:8" ht="14.25" customHeight="1">
      <c r="A164" s="6" t="s">
        <v>28</v>
      </c>
      <c r="B164" s="7" t="str">
        <f t="shared" si="4"/>
        <v>机动大队</v>
      </c>
      <c r="C164" s="8" t="str">
        <f>"周子龙"</f>
        <v>周子龙</v>
      </c>
      <c r="D164" s="9" t="s">
        <v>11</v>
      </c>
      <c r="E164" s="8" t="str">
        <f>"430424200004067632"</f>
        <v>430424200004067632</v>
      </c>
      <c r="F164" s="10">
        <v>44082</v>
      </c>
      <c r="G164" s="11" t="s">
        <v>12</v>
      </c>
      <c r="H164" s="11"/>
    </row>
    <row r="165" spans="1:8" ht="14.25" customHeight="1">
      <c r="A165" s="6" t="s">
        <v>29</v>
      </c>
      <c r="B165" s="7" t="str">
        <f t="shared" si="4"/>
        <v>机动大队</v>
      </c>
      <c r="C165" s="8" t="str">
        <f>"张学兴"</f>
        <v>张学兴</v>
      </c>
      <c r="D165" s="9" t="s">
        <v>11</v>
      </c>
      <c r="E165" s="8" t="str">
        <f>"441225199806103511"</f>
        <v>441225199806103511</v>
      </c>
      <c r="F165" s="10">
        <v>44082</v>
      </c>
      <c r="G165" s="11" t="s">
        <v>12</v>
      </c>
      <c r="H165" s="11"/>
    </row>
    <row r="166" spans="1:8" ht="14.25" customHeight="1">
      <c r="A166" s="6" t="s">
        <v>30</v>
      </c>
      <c r="B166" s="7" t="str">
        <f t="shared" si="4"/>
        <v>机动大队</v>
      </c>
      <c r="C166" s="8" t="str">
        <f>"谢灿锋"</f>
        <v>谢灿锋</v>
      </c>
      <c r="D166" s="9" t="s">
        <v>11</v>
      </c>
      <c r="E166" s="8" t="str">
        <f>"440111199904012758"</f>
        <v>440111199904012758</v>
      </c>
      <c r="F166" s="10">
        <v>44082</v>
      </c>
      <c r="G166" s="11" t="s">
        <v>12</v>
      </c>
      <c r="H166" s="11"/>
    </row>
    <row r="167" spans="1:8" ht="14.25" customHeight="1">
      <c r="A167" s="6" t="s">
        <v>31</v>
      </c>
      <c r="B167" s="7" t="str">
        <f t="shared" si="4"/>
        <v>机动大队</v>
      </c>
      <c r="C167" s="8" t="str">
        <f>"陈永贤"</f>
        <v>陈永贤</v>
      </c>
      <c r="D167" s="9" t="s">
        <v>11</v>
      </c>
      <c r="E167" s="8" t="str">
        <f>"440181199612231253"</f>
        <v>440181199612231253</v>
      </c>
      <c r="F167" s="10">
        <v>44082</v>
      </c>
      <c r="G167" s="11" t="s">
        <v>12</v>
      </c>
      <c r="H167" s="11"/>
    </row>
    <row r="168" spans="1:8" ht="14.25" customHeight="1">
      <c r="A168" s="6" t="s">
        <v>32</v>
      </c>
      <c r="B168" s="7" t="str">
        <f t="shared" si="4"/>
        <v>机动大队</v>
      </c>
      <c r="C168" s="8" t="str">
        <f>"谢锦崧"</f>
        <v>谢锦崧</v>
      </c>
      <c r="D168" s="9" t="s">
        <v>11</v>
      </c>
      <c r="E168" s="8" t="str">
        <f>"44132219980724403x"</f>
        <v>44132219980724403x</v>
      </c>
      <c r="F168" s="10">
        <v>44082</v>
      </c>
      <c r="G168" s="11" t="s">
        <v>12</v>
      </c>
      <c r="H168" s="11"/>
    </row>
    <row r="169" spans="1:8" ht="14.25" customHeight="1">
      <c r="A169" s="6" t="s">
        <v>33</v>
      </c>
      <c r="B169" s="7" t="str">
        <f t="shared" si="4"/>
        <v>机动大队</v>
      </c>
      <c r="C169" s="8" t="str">
        <f>"褚智铭"</f>
        <v>褚智铭</v>
      </c>
      <c r="D169" s="9" t="s">
        <v>11</v>
      </c>
      <c r="E169" s="8" t="str">
        <f>"440181199906070619"</f>
        <v>440181199906070619</v>
      </c>
      <c r="F169" s="10">
        <v>44082</v>
      </c>
      <c r="G169" s="11" t="s">
        <v>12</v>
      </c>
      <c r="H169" s="11"/>
    </row>
    <row r="170" spans="1:8" ht="14.25" customHeight="1">
      <c r="A170" s="6" t="s">
        <v>34</v>
      </c>
      <c r="B170" s="7" t="str">
        <f t="shared" si="4"/>
        <v>机动大队</v>
      </c>
      <c r="C170" s="8" t="str">
        <f>"李成志"</f>
        <v>李成志</v>
      </c>
      <c r="D170" s="9" t="s">
        <v>11</v>
      </c>
      <c r="E170" s="8" t="str">
        <f>"440181199909282414"</f>
        <v>440181199909282414</v>
      </c>
      <c r="F170" s="10">
        <v>44082</v>
      </c>
      <c r="G170" s="11" t="s">
        <v>12</v>
      </c>
      <c r="H170" s="11"/>
    </row>
    <row r="171" spans="1:8" ht="14.25" customHeight="1">
      <c r="A171" s="6" t="s">
        <v>35</v>
      </c>
      <c r="B171" s="7" t="str">
        <f t="shared" si="4"/>
        <v>机动大队</v>
      </c>
      <c r="C171" s="8" t="str">
        <f>"张燕玲"</f>
        <v>张燕玲</v>
      </c>
      <c r="D171" s="9" t="s">
        <v>84</v>
      </c>
      <c r="E171" s="8" t="str">
        <f>"440181199907124228"</f>
        <v>440181199907124228</v>
      </c>
      <c r="F171" s="10">
        <v>44082</v>
      </c>
      <c r="G171" s="11" t="s">
        <v>12</v>
      </c>
      <c r="H171" s="11"/>
    </row>
    <row r="172" spans="1:8" ht="14.25" customHeight="1">
      <c r="A172" s="6" t="s">
        <v>36</v>
      </c>
      <c r="B172" s="7" t="str">
        <f t="shared" si="4"/>
        <v>机动大队</v>
      </c>
      <c r="C172" s="8" t="str">
        <f>"吴茜欣"</f>
        <v>吴茜欣</v>
      </c>
      <c r="D172" s="9" t="s">
        <v>84</v>
      </c>
      <c r="E172" s="8" t="str">
        <f>"440107200106140326"</f>
        <v>440107200106140326</v>
      </c>
      <c r="F172" s="10">
        <v>44082</v>
      </c>
      <c r="G172" s="11" t="s">
        <v>12</v>
      </c>
      <c r="H172" s="11"/>
    </row>
    <row r="173" spans="1:8" ht="14.25" customHeight="1">
      <c r="A173" s="6" t="s">
        <v>37</v>
      </c>
      <c r="B173" s="7" t="str">
        <f t="shared" si="4"/>
        <v>机动大队</v>
      </c>
      <c r="C173" s="8" t="str">
        <f>"杨白冰"</f>
        <v>杨白冰</v>
      </c>
      <c r="D173" s="9" t="s">
        <v>84</v>
      </c>
      <c r="E173" s="8" t="str">
        <f>"44098219960930276x"</f>
        <v>44098219960930276x</v>
      </c>
      <c r="F173" s="10">
        <v>44082</v>
      </c>
      <c r="G173" s="11" t="s">
        <v>12</v>
      </c>
      <c r="H173" s="11"/>
    </row>
    <row r="174" spans="1:8" ht="14.25" customHeight="1">
      <c r="A174" s="6" t="s">
        <v>38</v>
      </c>
      <c r="B174" s="7" t="str">
        <f t="shared" si="4"/>
        <v>机动大队</v>
      </c>
      <c r="C174" s="8" t="str">
        <f>"江连娣"</f>
        <v>江连娣</v>
      </c>
      <c r="D174" s="9" t="s">
        <v>84</v>
      </c>
      <c r="E174" s="8" t="str">
        <f>"440281199810112840"</f>
        <v>440281199810112840</v>
      </c>
      <c r="F174" s="10">
        <v>44082</v>
      </c>
      <c r="G174" s="11" t="s">
        <v>12</v>
      </c>
      <c r="H174" s="11"/>
    </row>
    <row r="175" spans="1:8" ht="14.25" customHeight="1">
      <c r="A175" s="6" t="s">
        <v>39</v>
      </c>
      <c r="B175" s="7" t="str">
        <f t="shared" si="4"/>
        <v>机动大队</v>
      </c>
      <c r="C175" s="8" t="str">
        <f>"徐文雅"</f>
        <v>徐文雅</v>
      </c>
      <c r="D175" s="9" t="s">
        <v>84</v>
      </c>
      <c r="E175" s="8" t="str">
        <f>"430224199802167244"</f>
        <v>430224199802167244</v>
      </c>
      <c r="F175" s="10">
        <v>44082</v>
      </c>
      <c r="G175" s="11" t="s">
        <v>12</v>
      </c>
      <c r="H175" s="11"/>
    </row>
    <row r="176" spans="1:8" ht="14.25" customHeight="1">
      <c r="A176" s="6" t="s">
        <v>40</v>
      </c>
      <c r="B176" s="7" t="str">
        <f t="shared" si="4"/>
        <v>机动大队</v>
      </c>
      <c r="C176" s="8" t="str">
        <f>"黎敏婷"</f>
        <v>黎敏婷</v>
      </c>
      <c r="D176" s="9" t="s">
        <v>84</v>
      </c>
      <c r="E176" s="8" t="str">
        <f>"440181199707084524"</f>
        <v>440181199707084524</v>
      </c>
      <c r="F176" s="10">
        <v>44082</v>
      </c>
      <c r="G176" s="11" t="s">
        <v>12</v>
      </c>
      <c r="H176" s="11"/>
    </row>
    <row r="177" spans="1:8" ht="14.25" customHeight="1">
      <c r="A177" s="6" t="s">
        <v>41</v>
      </c>
      <c r="B177" s="7" t="str">
        <f t="shared" si="4"/>
        <v>机动大队</v>
      </c>
      <c r="C177" s="8" t="str">
        <f>"陈莉玟"</f>
        <v>陈莉玟</v>
      </c>
      <c r="D177" s="9" t="s">
        <v>84</v>
      </c>
      <c r="E177" s="8" t="str">
        <f>"445281199807051607"</f>
        <v>445281199807051607</v>
      </c>
      <c r="F177" s="10">
        <v>44082</v>
      </c>
      <c r="G177" s="11" t="s">
        <v>12</v>
      </c>
      <c r="H177" s="11"/>
    </row>
    <row r="178" spans="1:8" ht="14.25" customHeight="1">
      <c r="A178" s="6" t="s">
        <v>42</v>
      </c>
      <c r="B178" s="7" t="str">
        <f t="shared" si="4"/>
        <v>机动大队</v>
      </c>
      <c r="C178" s="8" t="str">
        <f>"吕婕"</f>
        <v>吕婕</v>
      </c>
      <c r="D178" s="9" t="s">
        <v>84</v>
      </c>
      <c r="E178" s="8" t="str">
        <f>"440281199807160729"</f>
        <v>440281199807160729</v>
      </c>
      <c r="F178" s="10">
        <v>44082</v>
      </c>
      <c r="G178" s="11" t="s">
        <v>12</v>
      </c>
      <c r="H178" s="11"/>
    </row>
    <row r="179" spans="1:8" ht="14.25" customHeight="1">
      <c r="A179" s="6" t="s">
        <v>43</v>
      </c>
      <c r="B179" s="7" t="str">
        <f t="shared" si="4"/>
        <v>机动大队</v>
      </c>
      <c r="C179" s="8" t="str">
        <f>"谢韵莉"</f>
        <v>谢韵莉</v>
      </c>
      <c r="D179" s="9" t="s">
        <v>84</v>
      </c>
      <c r="E179" s="8" t="str">
        <f>"440181199709120664"</f>
        <v>440181199709120664</v>
      </c>
      <c r="F179" s="10">
        <v>44082</v>
      </c>
      <c r="G179" s="11" t="s">
        <v>12</v>
      </c>
      <c r="H179" s="11"/>
    </row>
    <row r="180" spans="1:8" ht="14.25" customHeight="1">
      <c r="A180" s="6" t="s">
        <v>44</v>
      </c>
      <c r="B180" s="7" t="str">
        <f t="shared" si="4"/>
        <v>机动大队</v>
      </c>
      <c r="C180" s="8" t="str">
        <f>"马钰瑶"</f>
        <v>马钰瑶</v>
      </c>
      <c r="D180" s="9" t="s">
        <v>84</v>
      </c>
      <c r="E180" s="8" t="str">
        <f>"440181199901015426"</f>
        <v>440181199901015426</v>
      </c>
      <c r="F180" s="10">
        <v>44082</v>
      </c>
      <c r="G180" s="11" t="s">
        <v>12</v>
      </c>
      <c r="H180" s="11"/>
    </row>
    <row r="181" spans="1:8" ht="14.25" customHeight="1">
      <c r="A181" s="6" t="s">
        <v>45</v>
      </c>
      <c r="B181" s="7" t="str">
        <f t="shared" si="4"/>
        <v>机动大队</v>
      </c>
      <c r="C181" s="8" t="str">
        <f>"梁琬婷"</f>
        <v>梁琬婷</v>
      </c>
      <c r="D181" s="9" t="s">
        <v>84</v>
      </c>
      <c r="E181" s="8" t="str">
        <f>"440883199803130026"</f>
        <v>440883199803130026</v>
      </c>
      <c r="F181" s="10">
        <v>44082</v>
      </c>
      <c r="G181" s="11" t="s">
        <v>12</v>
      </c>
      <c r="H181" s="11"/>
    </row>
    <row r="182" spans="1:8" ht="14.25" customHeight="1">
      <c r="A182" s="6" t="s">
        <v>46</v>
      </c>
      <c r="B182" s="7" t="str">
        <f t="shared" si="4"/>
        <v>机动大队</v>
      </c>
      <c r="C182" s="8" t="str">
        <f>"刘梓晴"</f>
        <v>刘梓晴</v>
      </c>
      <c r="D182" s="9" t="s">
        <v>84</v>
      </c>
      <c r="E182" s="8" t="str">
        <f>"440181199511230649"</f>
        <v>440181199511230649</v>
      </c>
      <c r="F182" s="10">
        <v>44082</v>
      </c>
      <c r="G182" s="11" t="s">
        <v>12</v>
      </c>
      <c r="H182" s="11"/>
    </row>
    <row r="183" spans="1:8" ht="14.25" customHeight="1">
      <c r="A183" s="6" t="s">
        <v>47</v>
      </c>
      <c r="B183" s="7" t="str">
        <f t="shared" si="4"/>
        <v>机动大队</v>
      </c>
      <c r="C183" s="8" t="str">
        <f>"何倚祺"</f>
        <v>何倚祺</v>
      </c>
      <c r="D183" s="9" t="s">
        <v>84</v>
      </c>
      <c r="E183" s="8" t="str">
        <f>"440181200008151244"</f>
        <v>440181200008151244</v>
      </c>
      <c r="F183" s="10">
        <v>44082</v>
      </c>
      <c r="G183" s="11" t="s">
        <v>12</v>
      </c>
      <c r="H183" s="11"/>
    </row>
    <row r="184" spans="1:8" ht="14.25" customHeight="1">
      <c r="A184" s="6" t="s">
        <v>48</v>
      </c>
      <c r="B184" s="7" t="str">
        <f t="shared" si="4"/>
        <v>机动大队</v>
      </c>
      <c r="C184" s="8" t="str">
        <f>"马绮珊"</f>
        <v>马绮珊</v>
      </c>
      <c r="D184" s="9" t="s">
        <v>84</v>
      </c>
      <c r="E184" s="8" t="str">
        <f>"440111199810291821"</f>
        <v>440111199810291821</v>
      </c>
      <c r="F184" s="10">
        <v>44082</v>
      </c>
      <c r="G184" s="11" t="s">
        <v>12</v>
      </c>
      <c r="H184" s="11"/>
    </row>
    <row r="185" spans="1:8" ht="14.25" customHeight="1">
      <c r="A185" s="6" t="s">
        <v>49</v>
      </c>
      <c r="B185" s="7" t="str">
        <f t="shared" si="4"/>
        <v>机动大队</v>
      </c>
      <c r="C185" s="8" t="str">
        <f>"余丽姗"</f>
        <v>余丽姗</v>
      </c>
      <c r="D185" s="9" t="s">
        <v>84</v>
      </c>
      <c r="E185" s="8" t="str">
        <f>"440181199708115724"</f>
        <v>440181199708115724</v>
      </c>
      <c r="F185" s="10">
        <v>44082</v>
      </c>
      <c r="G185" s="11" t="s">
        <v>12</v>
      </c>
      <c r="H185" s="11"/>
    </row>
    <row r="186" spans="1:8" ht="14.25" customHeight="1">
      <c r="A186" s="6" t="s">
        <v>50</v>
      </c>
      <c r="B186" s="7" t="str">
        <f t="shared" si="4"/>
        <v>机动大队</v>
      </c>
      <c r="C186" s="8" t="str">
        <f>"冯佩珊"</f>
        <v>冯佩珊</v>
      </c>
      <c r="D186" s="9" t="s">
        <v>84</v>
      </c>
      <c r="E186" s="8" t="str">
        <f>"44018119990114122X"</f>
        <v>44018119990114122X</v>
      </c>
      <c r="F186" s="10">
        <v>44082</v>
      </c>
      <c r="G186" s="11" t="s">
        <v>12</v>
      </c>
      <c r="H186" s="11"/>
    </row>
    <row r="187" spans="1:8" ht="14.25" customHeight="1">
      <c r="A187" s="6" t="s">
        <v>51</v>
      </c>
      <c r="B187" s="7" t="str">
        <f t="shared" si="4"/>
        <v>机动大队</v>
      </c>
      <c r="C187" s="8" t="str">
        <f>"陈燕"</f>
        <v>陈燕</v>
      </c>
      <c r="D187" s="9" t="s">
        <v>84</v>
      </c>
      <c r="E187" s="8" t="str">
        <f>"36073119960306486X"</f>
        <v>36073119960306486X</v>
      </c>
      <c r="F187" s="10">
        <v>44082</v>
      </c>
      <c r="G187" s="11" t="s">
        <v>12</v>
      </c>
      <c r="H187" s="11"/>
    </row>
    <row r="188" spans="1:8" ht="14.25" customHeight="1">
      <c r="A188" s="6" t="s">
        <v>52</v>
      </c>
      <c r="B188" s="7" t="str">
        <f t="shared" si="4"/>
        <v>机动大队</v>
      </c>
      <c r="C188" s="8" t="str">
        <f>"黄煊"</f>
        <v>黄煊</v>
      </c>
      <c r="D188" s="9" t="s">
        <v>84</v>
      </c>
      <c r="E188" s="8" t="str">
        <f>"362324200004230047"</f>
        <v>362324200004230047</v>
      </c>
      <c r="F188" s="10">
        <v>44082</v>
      </c>
      <c r="G188" s="11" t="s">
        <v>12</v>
      </c>
      <c r="H188" s="11"/>
    </row>
    <row r="189" spans="1:8" ht="14.25" customHeight="1">
      <c r="A189" s="6" t="s">
        <v>53</v>
      </c>
      <c r="B189" s="7" t="str">
        <f t="shared" si="4"/>
        <v>机动大队</v>
      </c>
      <c r="C189" s="8" t="str">
        <f>"何泳贤"</f>
        <v>何泳贤</v>
      </c>
      <c r="D189" s="9" t="s">
        <v>84</v>
      </c>
      <c r="E189" s="8" t="str">
        <f>"440181199903190623"</f>
        <v>440181199903190623</v>
      </c>
      <c r="F189" s="10">
        <v>44082</v>
      </c>
      <c r="G189" s="11" t="s">
        <v>12</v>
      </c>
      <c r="H189" s="11"/>
    </row>
    <row r="190" spans="1:8" ht="14.25" customHeight="1">
      <c r="A190" s="6" t="s">
        <v>54</v>
      </c>
      <c r="B190" s="7" t="str">
        <f t="shared" si="4"/>
        <v>机动大队</v>
      </c>
      <c r="C190" s="8" t="str">
        <f>"黎影雪"</f>
        <v>黎影雪</v>
      </c>
      <c r="D190" s="9" t="s">
        <v>84</v>
      </c>
      <c r="E190" s="8" t="str">
        <f>"440181199907223023"</f>
        <v>440181199907223023</v>
      </c>
      <c r="F190" s="10">
        <v>44082</v>
      </c>
      <c r="G190" s="11" t="s">
        <v>12</v>
      </c>
      <c r="H190" s="11"/>
    </row>
    <row r="191" spans="1:8" ht="14.25" customHeight="1">
      <c r="A191" s="6" t="s">
        <v>55</v>
      </c>
      <c r="B191" s="7" t="str">
        <f t="shared" si="4"/>
        <v>机动大队</v>
      </c>
      <c r="C191" s="8" t="str">
        <f>"卢晓桦"</f>
        <v>卢晓桦</v>
      </c>
      <c r="D191" s="9" t="s">
        <v>84</v>
      </c>
      <c r="E191" s="8" t="str">
        <f>"440181200002191325"</f>
        <v>440181200002191325</v>
      </c>
      <c r="F191" s="10">
        <v>44082</v>
      </c>
      <c r="G191" s="11" t="s">
        <v>12</v>
      </c>
      <c r="H191" s="11"/>
    </row>
    <row r="192" spans="1:8" s="1" customFormat="1" ht="14.25" customHeight="1">
      <c r="A192" s="6" t="s">
        <v>56</v>
      </c>
      <c r="B192" s="7" t="str">
        <f t="shared" si="4"/>
        <v>机动大队</v>
      </c>
      <c r="C192" s="8" t="str">
        <f>"罗玉清"</f>
        <v>罗玉清</v>
      </c>
      <c r="D192" s="9" t="s">
        <v>84</v>
      </c>
      <c r="E192" s="8" t="str">
        <f>"430181200001088826"</f>
        <v>430181200001088826</v>
      </c>
      <c r="F192" s="10">
        <v>44082</v>
      </c>
      <c r="G192" s="11" t="s">
        <v>12</v>
      </c>
      <c r="H192" s="11"/>
    </row>
    <row r="193" spans="1:8" s="1" customFormat="1" ht="14.25" customHeight="1">
      <c r="A193" s="6" t="s">
        <v>57</v>
      </c>
      <c r="B193" s="7" t="str">
        <f t="shared" si="4"/>
        <v>机动大队</v>
      </c>
      <c r="C193" s="8" t="str">
        <f>"刘阳"</f>
        <v>刘阳</v>
      </c>
      <c r="D193" s="9" t="s">
        <v>84</v>
      </c>
      <c r="E193" s="8" t="str">
        <f>"440181199701200029"</f>
        <v>440181199701200029</v>
      </c>
      <c r="F193" s="10">
        <v>44082</v>
      </c>
      <c r="G193" s="11" t="s">
        <v>12</v>
      </c>
      <c r="H193" s="11"/>
    </row>
    <row r="194" spans="1:8" s="1" customFormat="1" ht="14.25" customHeight="1">
      <c r="A194" s="6" t="s">
        <v>58</v>
      </c>
      <c r="B194" s="7" t="str">
        <f t="shared" si="4"/>
        <v>机动大队</v>
      </c>
      <c r="C194" s="8" t="str">
        <f>"梁丽珍"</f>
        <v>梁丽珍</v>
      </c>
      <c r="D194" s="9" t="s">
        <v>84</v>
      </c>
      <c r="E194" s="8" t="str">
        <f>"441224199801191122"</f>
        <v>441224199801191122</v>
      </c>
      <c r="F194" s="10">
        <v>44082</v>
      </c>
      <c r="G194" s="11" t="s">
        <v>12</v>
      </c>
      <c r="H194" s="11"/>
    </row>
    <row r="195" spans="1:8" s="1" customFormat="1" ht="14.25" customHeight="1">
      <c r="A195" s="6" t="s">
        <v>59</v>
      </c>
      <c r="B195" s="7" t="str">
        <f t="shared" si="4"/>
        <v>机动大队</v>
      </c>
      <c r="C195" s="8" t="str">
        <f>"高岚"</f>
        <v>高岚</v>
      </c>
      <c r="D195" s="9" t="s">
        <v>84</v>
      </c>
      <c r="E195" s="8" t="str">
        <f>"440181200003143640"</f>
        <v>440181200003143640</v>
      </c>
      <c r="F195" s="10">
        <v>44082</v>
      </c>
      <c r="G195" s="11" t="s">
        <v>12</v>
      </c>
      <c r="H195" s="11"/>
    </row>
    <row r="196" spans="1:8" s="1" customFormat="1" ht="14.25" customHeight="1">
      <c r="A196" s="6" t="s">
        <v>60</v>
      </c>
      <c r="B196" s="7" t="str">
        <f t="shared" si="4"/>
        <v>机动大队</v>
      </c>
      <c r="C196" s="8" t="str">
        <f>"黄海婷"</f>
        <v>黄海婷</v>
      </c>
      <c r="D196" s="9" t="s">
        <v>84</v>
      </c>
      <c r="E196" s="8" t="str">
        <f>"445224199707114829"</f>
        <v>445224199707114829</v>
      </c>
      <c r="F196" s="10">
        <v>44082</v>
      </c>
      <c r="G196" s="11" t="s">
        <v>12</v>
      </c>
      <c r="H196" s="11"/>
    </row>
    <row r="197" spans="1:8" s="1" customFormat="1" ht="14.25" customHeight="1">
      <c r="A197" s="6" t="s">
        <v>61</v>
      </c>
      <c r="B197" s="7" t="str">
        <f t="shared" si="4"/>
        <v>机动大队</v>
      </c>
      <c r="C197" s="8" t="str">
        <f>"谢淳"</f>
        <v>谢淳</v>
      </c>
      <c r="D197" s="9" t="s">
        <v>84</v>
      </c>
      <c r="E197" s="8" t="str">
        <f>"445102199704061924"</f>
        <v>445102199704061924</v>
      </c>
      <c r="F197" s="10">
        <v>44082</v>
      </c>
      <c r="G197" s="11" t="s">
        <v>12</v>
      </c>
      <c r="H197" s="11"/>
    </row>
    <row r="198" spans="1:8" s="1" customFormat="1" ht="14.25" customHeight="1">
      <c r="A198" s="6" t="s">
        <v>62</v>
      </c>
      <c r="B198" s="7" t="str">
        <f t="shared" si="4"/>
        <v>机动大队</v>
      </c>
      <c r="C198" s="8" t="str">
        <f>"罗嘉鸣"</f>
        <v>罗嘉鸣</v>
      </c>
      <c r="D198" s="9" t="s">
        <v>84</v>
      </c>
      <c r="E198" s="8" t="str">
        <f>"44018119980512004X"</f>
        <v>44018119980512004X</v>
      </c>
      <c r="F198" s="10">
        <v>44082</v>
      </c>
      <c r="G198" s="11" t="s">
        <v>12</v>
      </c>
      <c r="H198" s="11"/>
    </row>
    <row r="199" spans="1:8" s="1" customFormat="1" ht="14.25" customHeight="1">
      <c r="A199" s="6" t="s">
        <v>63</v>
      </c>
      <c r="B199" s="7" t="str">
        <f t="shared" si="4"/>
        <v>机动大队</v>
      </c>
      <c r="C199" s="8" t="str">
        <f>"朱淑慧"</f>
        <v>朱淑慧</v>
      </c>
      <c r="D199" s="9" t="s">
        <v>84</v>
      </c>
      <c r="E199" s="8" t="str">
        <f>"440181199707132426"</f>
        <v>440181199707132426</v>
      </c>
      <c r="F199" s="10">
        <v>44082</v>
      </c>
      <c r="G199" s="11" t="s">
        <v>12</v>
      </c>
      <c r="H199" s="11"/>
    </row>
    <row r="200" spans="1:8" s="1" customFormat="1" ht="14.25" customHeight="1">
      <c r="A200" s="6" t="s">
        <v>64</v>
      </c>
      <c r="B200" s="7" t="str">
        <f t="shared" si="4"/>
        <v>机动大队</v>
      </c>
      <c r="C200" s="8" t="str">
        <f>"麦思铭"</f>
        <v>麦思铭</v>
      </c>
      <c r="D200" s="9" t="s">
        <v>84</v>
      </c>
      <c r="E200" s="8" t="str">
        <f>"440181199712231525"</f>
        <v>440181199712231525</v>
      </c>
      <c r="F200" s="10">
        <v>44082</v>
      </c>
      <c r="G200" s="11" t="s">
        <v>12</v>
      </c>
      <c r="H200" s="11"/>
    </row>
    <row r="201" spans="1:8" s="1" customFormat="1" ht="14.25" customHeight="1">
      <c r="A201" s="6" t="s">
        <v>65</v>
      </c>
      <c r="B201" s="7" t="str">
        <f t="shared" si="4"/>
        <v>机动大队</v>
      </c>
      <c r="C201" s="8" t="str">
        <f>"赵佩莉"</f>
        <v>赵佩莉</v>
      </c>
      <c r="D201" s="9" t="s">
        <v>84</v>
      </c>
      <c r="E201" s="8" t="str">
        <f>"360430199704171127"</f>
        <v>360430199704171127</v>
      </c>
      <c r="F201" s="10">
        <v>44082</v>
      </c>
      <c r="G201" s="11" t="s">
        <v>12</v>
      </c>
      <c r="H201" s="11"/>
    </row>
    <row r="202" spans="1:8" s="1" customFormat="1" ht="14.25" customHeight="1">
      <c r="A202" s="6" t="s">
        <v>66</v>
      </c>
      <c r="B202" s="7" t="str">
        <f t="shared" si="4"/>
        <v>机动大队</v>
      </c>
      <c r="C202" s="8" t="str">
        <f>"谢艳艳"</f>
        <v>谢艳艳</v>
      </c>
      <c r="D202" s="9" t="s">
        <v>84</v>
      </c>
      <c r="E202" s="8" t="str">
        <f>"440281199806207628"</f>
        <v>440281199806207628</v>
      </c>
      <c r="F202" s="10">
        <v>44082</v>
      </c>
      <c r="G202" s="11" t="s">
        <v>12</v>
      </c>
      <c r="H202" s="11"/>
    </row>
    <row r="203" spans="1:8" s="1" customFormat="1" ht="14.25" customHeight="1">
      <c r="A203" s="6" t="s">
        <v>67</v>
      </c>
      <c r="B203" s="7" t="str">
        <f t="shared" si="4"/>
        <v>机动大队</v>
      </c>
      <c r="C203" s="8" t="str">
        <f>"李曼清"</f>
        <v>李曼清</v>
      </c>
      <c r="D203" s="9" t="s">
        <v>84</v>
      </c>
      <c r="E203" s="8" t="str">
        <f>"441426199904090029"</f>
        <v>441426199904090029</v>
      </c>
      <c r="F203" s="10">
        <v>44082</v>
      </c>
      <c r="G203" s="11" t="s">
        <v>12</v>
      </c>
      <c r="H203" s="11"/>
    </row>
    <row r="204" spans="1:8" s="1" customFormat="1" ht="14.25" customHeight="1">
      <c r="A204" s="6" t="s">
        <v>68</v>
      </c>
      <c r="B204" s="7" t="str">
        <f t="shared" si="4"/>
        <v>机动大队</v>
      </c>
      <c r="C204" s="8" t="str">
        <f>"黄泳欣"</f>
        <v>黄泳欣</v>
      </c>
      <c r="D204" s="9" t="s">
        <v>84</v>
      </c>
      <c r="E204" s="8" t="str">
        <f>"440181199809158424"</f>
        <v>440181199809158424</v>
      </c>
      <c r="F204" s="10">
        <v>44082</v>
      </c>
      <c r="G204" s="11" t="s">
        <v>12</v>
      </c>
      <c r="H204" s="11"/>
    </row>
    <row r="205" spans="1:8" s="1" customFormat="1" ht="14.25" customHeight="1">
      <c r="A205" s="6" t="s">
        <v>69</v>
      </c>
      <c r="B205" s="7" t="str">
        <f t="shared" si="4"/>
        <v>机动大队</v>
      </c>
      <c r="C205" s="8" t="str">
        <f>"邓颖婷"</f>
        <v>邓颖婷</v>
      </c>
      <c r="D205" s="9" t="s">
        <v>84</v>
      </c>
      <c r="E205" s="8" t="str">
        <f>"440281199702195626"</f>
        <v>440281199702195626</v>
      </c>
      <c r="F205" s="10">
        <v>44082</v>
      </c>
      <c r="G205" s="11" t="s">
        <v>12</v>
      </c>
      <c r="H205" s="11"/>
    </row>
    <row r="206" spans="1:8" s="1" customFormat="1" ht="14.25" customHeight="1">
      <c r="A206" s="6" t="s">
        <v>70</v>
      </c>
      <c r="B206" s="7" t="str">
        <f t="shared" si="4"/>
        <v>机动大队</v>
      </c>
      <c r="C206" s="8" t="str">
        <f>"温蕙瑜"</f>
        <v>温蕙瑜</v>
      </c>
      <c r="D206" s="9" t="s">
        <v>84</v>
      </c>
      <c r="E206" s="8" t="str">
        <f>"441323200104275026"</f>
        <v>441323200104275026</v>
      </c>
      <c r="F206" s="10">
        <v>44082</v>
      </c>
      <c r="G206" s="11" t="s">
        <v>12</v>
      </c>
      <c r="H206" s="11"/>
    </row>
    <row r="207" spans="1:8" s="1" customFormat="1" ht="14.25" customHeight="1">
      <c r="A207" s="6" t="s">
        <v>71</v>
      </c>
      <c r="B207" s="7" t="str">
        <f t="shared" si="4"/>
        <v>机动大队</v>
      </c>
      <c r="C207" s="8" t="str">
        <f>"黄伊琪"</f>
        <v>黄伊琪</v>
      </c>
      <c r="D207" s="9" t="s">
        <v>84</v>
      </c>
      <c r="E207" s="8" t="str">
        <f>"445122199902115423"</f>
        <v>445122199902115423</v>
      </c>
      <c r="F207" s="10">
        <v>44082</v>
      </c>
      <c r="G207" s="11" t="s">
        <v>12</v>
      </c>
      <c r="H207" s="11"/>
    </row>
    <row r="208" spans="1:8" s="1" customFormat="1" ht="14.25" customHeight="1">
      <c r="A208" s="6" t="s">
        <v>72</v>
      </c>
      <c r="B208" s="7" t="str">
        <f t="shared" si="4"/>
        <v>机动大队</v>
      </c>
      <c r="C208" s="8" t="str">
        <f>"何伟棋"</f>
        <v>何伟棋</v>
      </c>
      <c r="D208" s="9" t="s">
        <v>84</v>
      </c>
      <c r="E208" s="8" t="str">
        <f>"440181199605294248"</f>
        <v>440181199605294248</v>
      </c>
      <c r="F208" s="10">
        <v>44082</v>
      </c>
      <c r="G208" s="11" t="s">
        <v>12</v>
      </c>
      <c r="H208" s="11"/>
    </row>
    <row r="209" spans="1:8" s="1" customFormat="1" ht="14.25" customHeight="1">
      <c r="A209" s="6" t="s">
        <v>73</v>
      </c>
      <c r="B209" s="7" t="str">
        <f t="shared" si="4"/>
        <v>机动大队</v>
      </c>
      <c r="C209" s="8" t="str">
        <f>"郭铃仪"</f>
        <v>郭铃仪</v>
      </c>
      <c r="D209" s="9" t="s">
        <v>84</v>
      </c>
      <c r="E209" s="8" t="str">
        <f>"440181199911191247"</f>
        <v>440181199911191247</v>
      </c>
      <c r="F209" s="10">
        <v>44082</v>
      </c>
      <c r="G209" s="11" t="s">
        <v>12</v>
      </c>
      <c r="H209" s="11"/>
    </row>
    <row r="210" spans="1:8" s="1" customFormat="1" ht="14.25" customHeight="1">
      <c r="A210" s="6" t="s">
        <v>74</v>
      </c>
      <c r="B210" s="7" t="str">
        <f t="shared" si="4"/>
        <v>机动大队</v>
      </c>
      <c r="C210" s="8" t="str">
        <f>"张丹玲"</f>
        <v>张丹玲</v>
      </c>
      <c r="D210" s="9" t="s">
        <v>84</v>
      </c>
      <c r="E210" s="8" t="str">
        <f>"445281199701167089"</f>
        <v>445281199701167089</v>
      </c>
      <c r="F210" s="10">
        <v>44082</v>
      </c>
      <c r="G210" s="11" t="s">
        <v>12</v>
      </c>
      <c r="H210" s="11"/>
    </row>
    <row r="211" spans="1:8" s="1" customFormat="1" ht="14.25" customHeight="1">
      <c r="A211" s="6" t="s">
        <v>75</v>
      </c>
      <c r="B211" s="7" t="str">
        <f t="shared" si="4"/>
        <v>机动大队</v>
      </c>
      <c r="C211" s="8" t="str">
        <f>"梁锦玲"</f>
        <v>梁锦玲</v>
      </c>
      <c r="D211" s="9" t="s">
        <v>84</v>
      </c>
      <c r="E211" s="8" t="str">
        <f>"440181199706304222"</f>
        <v>440181199706304222</v>
      </c>
      <c r="F211" s="10">
        <v>44082</v>
      </c>
      <c r="G211" s="11" t="s">
        <v>12</v>
      </c>
      <c r="H211" s="11"/>
    </row>
    <row r="212" spans="1:8" s="1" customFormat="1" ht="14.25" customHeight="1">
      <c r="A212" s="6" t="s">
        <v>76</v>
      </c>
      <c r="B212" s="7" t="str">
        <f aca="true" t="shared" si="5" ref="B212:B215">"机动大队"</f>
        <v>机动大队</v>
      </c>
      <c r="C212" s="8" t="str">
        <f>"王楚欣"</f>
        <v>王楚欣</v>
      </c>
      <c r="D212" s="9" t="s">
        <v>84</v>
      </c>
      <c r="E212" s="8" t="str">
        <f>"440181199609021220"</f>
        <v>440181199609021220</v>
      </c>
      <c r="F212" s="10">
        <v>44082</v>
      </c>
      <c r="G212" s="11" t="s">
        <v>12</v>
      </c>
      <c r="H212" s="11"/>
    </row>
    <row r="213" spans="1:8" s="1" customFormat="1" ht="14.25" customHeight="1">
      <c r="A213" s="6" t="s">
        <v>77</v>
      </c>
      <c r="B213" s="7" t="str">
        <f t="shared" si="5"/>
        <v>机动大队</v>
      </c>
      <c r="C213" s="8" t="str">
        <f>"祝茵茵"</f>
        <v>祝茵茵</v>
      </c>
      <c r="D213" s="9" t="s">
        <v>84</v>
      </c>
      <c r="E213" s="8" t="str">
        <f>"440902199703152022"</f>
        <v>440902199703152022</v>
      </c>
      <c r="F213" s="10">
        <v>44082</v>
      </c>
      <c r="G213" s="11" t="s">
        <v>12</v>
      </c>
      <c r="H213" s="11"/>
    </row>
    <row r="214" spans="1:8" s="1" customFormat="1" ht="14.25" customHeight="1">
      <c r="A214" s="6" t="s">
        <v>78</v>
      </c>
      <c r="B214" s="7" t="str">
        <f t="shared" si="5"/>
        <v>机动大队</v>
      </c>
      <c r="C214" s="8" t="str">
        <f>"梁心如"</f>
        <v>梁心如</v>
      </c>
      <c r="D214" s="9" t="s">
        <v>84</v>
      </c>
      <c r="E214" s="8" t="str">
        <f>"441723199806192029"</f>
        <v>441723199806192029</v>
      </c>
      <c r="F214" s="10">
        <v>44082</v>
      </c>
      <c r="G214" s="11" t="s">
        <v>12</v>
      </c>
      <c r="H214" s="11"/>
    </row>
    <row r="215" spans="1:8" s="1" customFormat="1" ht="14.25" customHeight="1">
      <c r="A215" s="6" t="s">
        <v>79</v>
      </c>
      <c r="B215" s="7" t="str">
        <f t="shared" si="5"/>
        <v>机动大队</v>
      </c>
      <c r="C215" s="8" t="str">
        <f>"麦倩儿"</f>
        <v>麦倩儿</v>
      </c>
      <c r="D215" s="9" t="s">
        <v>84</v>
      </c>
      <c r="E215" s="8" t="str">
        <f>"440181199701081525"</f>
        <v>440181199701081525</v>
      </c>
      <c r="F215" s="10">
        <v>44082</v>
      </c>
      <c r="G215" s="11" t="s">
        <v>12</v>
      </c>
      <c r="H215" s="11"/>
    </row>
    <row r="216" spans="1:8" ht="22.5">
      <c r="A216" s="3" t="s">
        <v>85</v>
      </c>
      <c r="B216" s="3"/>
      <c r="C216" s="3"/>
      <c r="D216" s="3"/>
      <c r="E216" s="3"/>
      <c r="F216" s="3"/>
      <c r="G216" s="3"/>
      <c r="H216" s="3"/>
    </row>
    <row r="217" spans="1:8" ht="37.5">
      <c r="A217" s="4" t="s">
        <v>2</v>
      </c>
      <c r="B217" s="4" t="s">
        <v>3</v>
      </c>
      <c r="C217" s="5" t="s">
        <v>4</v>
      </c>
      <c r="D217" s="4" t="s">
        <v>5</v>
      </c>
      <c r="E217" s="5" t="s">
        <v>6</v>
      </c>
      <c r="F217" s="4" t="s">
        <v>7</v>
      </c>
      <c r="G217" s="4" t="s">
        <v>8</v>
      </c>
      <c r="H217" s="4" t="s">
        <v>9</v>
      </c>
    </row>
    <row r="218" spans="1:8" ht="14.25" customHeight="1">
      <c r="A218" s="6" t="s">
        <v>10</v>
      </c>
      <c r="B218" s="7" t="s">
        <v>86</v>
      </c>
      <c r="C218" s="8" t="str">
        <f>"区耀文"</f>
        <v>区耀文</v>
      </c>
      <c r="D218" s="9" t="s">
        <v>11</v>
      </c>
      <c r="E218" s="8" t="str">
        <f>"440181198707235412"</f>
        <v>440181198707235412</v>
      </c>
      <c r="F218" s="10">
        <v>44082</v>
      </c>
      <c r="G218" s="11" t="s">
        <v>12</v>
      </c>
      <c r="H218" s="12"/>
    </row>
    <row r="219" spans="1:8" ht="14.25" customHeight="1">
      <c r="A219" s="6" t="s">
        <v>13</v>
      </c>
      <c r="B219" s="7" t="s">
        <v>86</v>
      </c>
      <c r="C219" s="8" t="str">
        <f>"梁子毅"</f>
        <v>梁子毅</v>
      </c>
      <c r="D219" s="9" t="s">
        <v>11</v>
      </c>
      <c r="E219" s="8" t="str">
        <f>"440181199511140950"</f>
        <v>440181199511140950</v>
      </c>
      <c r="F219" s="10">
        <v>44082</v>
      </c>
      <c r="G219" s="11" t="s">
        <v>12</v>
      </c>
      <c r="H219" s="12"/>
    </row>
    <row r="220" spans="1:8" ht="14.25" customHeight="1">
      <c r="A220" s="6" t="s">
        <v>14</v>
      </c>
      <c r="B220" s="7" t="s">
        <v>86</v>
      </c>
      <c r="C220" s="8" t="str">
        <f>"梁伟杰"</f>
        <v>梁伟杰</v>
      </c>
      <c r="D220" s="9" t="s">
        <v>11</v>
      </c>
      <c r="E220" s="8" t="str">
        <f>"452122200001130313"</f>
        <v>452122200001130313</v>
      </c>
      <c r="F220" s="10">
        <v>44082</v>
      </c>
      <c r="G220" s="11" t="s">
        <v>12</v>
      </c>
      <c r="H220" s="12"/>
    </row>
    <row r="221" spans="1:8" ht="14.25" customHeight="1">
      <c r="A221" s="6" t="s">
        <v>15</v>
      </c>
      <c r="B221" s="7" t="s">
        <v>86</v>
      </c>
      <c r="C221" s="8" t="str">
        <f>"曾浩彦"</f>
        <v>曾浩彦</v>
      </c>
      <c r="D221" s="9" t="s">
        <v>11</v>
      </c>
      <c r="E221" s="8" t="str">
        <f>"440181199307310019"</f>
        <v>440181199307310019</v>
      </c>
      <c r="F221" s="10">
        <v>44082</v>
      </c>
      <c r="G221" s="11" t="s">
        <v>12</v>
      </c>
      <c r="H221" s="12"/>
    </row>
    <row r="222" spans="1:8" ht="14.25" customHeight="1">
      <c r="A222" s="6" t="s">
        <v>16</v>
      </c>
      <c r="B222" s="7" t="s">
        <v>86</v>
      </c>
      <c r="C222" s="8" t="str">
        <f>"陈武明"</f>
        <v>陈武明</v>
      </c>
      <c r="D222" s="9" t="s">
        <v>11</v>
      </c>
      <c r="E222" s="8" t="str">
        <f>"441424199507145572"</f>
        <v>441424199507145572</v>
      </c>
      <c r="F222" s="10">
        <v>44082</v>
      </c>
      <c r="G222" s="11" t="s">
        <v>12</v>
      </c>
      <c r="H222" s="12"/>
    </row>
    <row r="223" spans="1:8" ht="14.25" customHeight="1">
      <c r="A223" s="6" t="s">
        <v>17</v>
      </c>
      <c r="B223" s="7" t="s">
        <v>86</v>
      </c>
      <c r="C223" s="8" t="str">
        <f>"刁文卓"</f>
        <v>刁文卓</v>
      </c>
      <c r="D223" s="9" t="s">
        <v>11</v>
      </c>
      <c r="E223" s="8" t="str">
        <f>"441401199707264897"</f>
        <v>441401199707264897</v>
      </c>
      <c r="F223" s="10">
        <v>44082</v>
      </c>
      <c r="G223" s="11" t="s">
        <v>12</v>
      </c>
      <c r="H223" s="12"/>
    </row>
    <row r="224" spans="1:8" ht="14.25" customHeight="1">
      <c r="A224" s="6" t="s">
        <v>18</v>
      </c>
      <c r="B224" s="7" t="s">
        <v>86</v>
      </c>
      <c r="C224" s="8" t="str">
        <f>"简骏浩"</f>
        <v>简骏浩</v>
      </c>
      <c r="D224" s="9" t="s">
        <v>11</v>
      </c>
      <c r="E224" s="8" t="str">
        <f>"440181199410255417"</f>
        <v>440181199410255417</v>
      </c>
      <c r="F224" s="10">
        <v>44082</v>
      </c>
      <c r="G224" s="11" t="s">
        <v>12</v>
      </c>
      <c r="H224" s="12"/>
    </row>
    <row r="225" spans="1:8" ht="14.25" customHeight="1">
      <c r="A225" s="6" t="s">
        <v>19</v>
      </c>
      <c r="B225" s="7" t="s">
        <v>86</v>
      </c>
      <c r="C225" s="8" t="str">
        <f>"谭太祥"</f>
        <v>谭太祥</v>
      </c>
      <c r="D225" s="9" t="s">
        <v>11</v>
      </c>
      <c r="E225" s="8" t="str">
        <f>"431022199111203696"</f>
        <v>431022199111203696</v>
      </c>
      <c r="F225" s="10">
        <v>44082</v>
      </c>
      <c r="G225" s="11" t="s">
        <v>12</v>
      </c>
      <c r="H225" s="12"/>
    </row>
    <row r="226" spans="1:8" ht="14.25" customHeight="1">
      <c r="A226" s="6" t="s">
        <v>20</v>
      </c>
      <c r="B226" s="7" t="s">
        <v>86</v>
      </c>
      <c r="C226" s="8" t="str">
        <f>"冯炜亮"</f>
        <v>冯炜亮</v>
      </c>
      <c r="D226" s="9" t="s">
        <v>11</v>
      </c>
      <c r="E226" s="8" t="str">
        <f>"440181199908201539"</f>
        <v>440181199908201539</v>
      </c>
      <c r="F226" s="10">
        <v>44082</v>
      </c>
      <c r="G226" s="11" t="s">
        <v>12</v>
      </c>
      <c r="H226" s="12"/>
    </row>
    <row r="227" spans="1:8" ht="14.25" customHeight="1">
      <c r="A227" s="6" t="s">
        <v>21</v>
      </c>
      <c r="B227" s="7" t="s">
        <v>86</v>
      </c>
      <c r="C227" s="8" t="str">
        <f>"江明涛"</f>
        <v>江明涛</v>
      </c>
      <c r="D227" s="9" t="s">
        <v>11</v>
      </c>
      <c r="E227" s="8" t="str">
        <f>"510525199508268653"</f>
        <v>510525199508268653</v>
      </c>
      <c r="F227" s="10">
        <v>44082</v>
      </c>
      <c r="G227" s="11" t="s">
        <v>12</v>
      </c>
      <c r="H227" s="12"/>
    </row>
    <row r="228" spans="1:8" ht="14.25" customHeight="1">
      <c r="A228" s="6" t="s">
        <v>22</v>
      </c>
      <c r="B228" s="7" t="s">
        <v>86</v>
      </c>
      <c r="C228" s="8" t="str">
        <f>"邱伟成"</f>
        <v>邱伟成</v>
      </c>
      <c r="D228" s="9" t="s">
        <v>11</v>
      </c>
      <c r="E228" s="8" t="str">
        <f>"440181199201255410"</f>
        <v>440181199201255410</v>
      </c>
      <c r="F228" s="10">
        <v>44082</v>
      </c>
      <c r="G228" s="11" t="s">
        <v>12</v>
      </c>
      <c r="H228" s="12"/>
    </row>
    <row r="229" spans="1:8" ht="14.25" customHeight="1">
      <c r="A229" s="6" t="s">
        <v>23</v>
      </c>
      <c r="B229" s="7" t="s">
        <v>86</v>
      </c>
      <c r="C229" s="8" t="str">
        <f>"苏敏锋"</f>
        <v>苏敏锋</v>
      </c>
      <c r="D229" s="9" t="s">
        <v>11</v>
      </c>
      <c r="E229" s="8" t="str">
        <f>"440181199512135432"</f>
        <v>440181199512135432</v>
      </c>
      <c r="F229" s="10">
        <v>44082</v>
      </c>
      <c r="G229" s="11" t="s">
        <v>12</v>
      </c>
      <c r="H229" s="12"/>
    </row>
    <row r="230" spans="1:8" ht="14.25" customHeight="1">
      <c r="A230" s="6" t="s">
        <v>24</v>
      </c>
      <c r="B230" s="7" t="s">
        <v>86</v>
      </c>
      <c r="C230" s="8" t="str">
        <f>"林楚朗"</f>
        <v>林楚朗</v>
      </c>
      <c r="D230" s="9" t="s">
        <v>11</v>
      </c>
      <c r="E230" s="8" t="str">
        <f>"440181199807313339"</f>
        <v>440181199807313339</v>
      </c>
      <c r="F230" s="10">
        <v>44082</v>
      </c>
      <c r="G230" s="11" t="s">
        <v>12</v>
      </c>
      <c r="H230" s="12"/>
    </row>
    <row r="231" spans="1:8" ht="14.25" customHeight="1">
      <c r="A231" s="6" t="s">
        <v>25</v>
      </c>
      <c r="B231" s="7" t="s">
        <v>86</v>
      </c>
      <c r="C231" s="8" t="str">
        <f>"梁志洪"</f>
        <v>梁志洪</v>
      </c>
      <c r="D231" s="9" t="s">
        <v>11</v>
      </c>
      <c r="E231" s="8" t="str">
        <f>"440181199410101813"</f>
        <v>440181199410101813</v>
      </c>
      <c r="F231" s="10">
        <v>44082</v>
      </c>
      <c r="G231" s="11" t="s">
        <v>12</v>
      </c>
      <c r="H231" s="12"/>
    </row>
    <row r="232" spans="1:8" ht="14.25" customHeight="1">
      <c r="A232" s="6" t="s">
        <v>26</v>
      </c>
      <c r="B232" s="7" t="s">
        <v>86</v>
      </c>
      <c r="C232" s="8" t="str">
        <f>"官志"</f>
        <v>官志</v>
      </c>
      <c r="D232" s="9" t="s">
        <v>11</v>
      </c>
      <c r="E232" s="8" t="str">
        <f>"440981199407166812"</f>
        <v>440981199407166812</v>
      </c>
      <c r="F232" s="10">
        <v>44082</v>
      </c>
      <c r="G232" s="11" t="s">
        <v>12</v>
      </c>
      <c r="H232" s="12"/>
    </row>
    <row r="233" spans="1:8" ht="14.25" customHeight="1">
      <c r="A233" s="6" t="s">
        <v>27</v>
      </c>
      <c r="B233" s="7" t="s">
        <v>86</v>
      </c>
      <c r="C233" s="8" t="str">
        <f>"陈莺"</f>
        <v>陈莺</v>
      </c>
      <c r="D233" s="9" t="s">
        <v>11</v>
      </c>
      <c r="E233" s="8" t="str">
        <f>"352225199202026518"</f>
        <v>352225199202026518</v>
      </c>
      <c r="F233" s="10">
        <v>44082</v>
      </c>
      <c r="G233" s="11" t="s">
        <v>12</v>
      </c>
      <c r="H233" s="12"/>
    </row>
    <row r="234" spans="1:8" ht="14.25" customHeight="1">
      <c r="A234" s="6" t="s">
        <v>28</v>
      </c>
      <c r="B234" s="7" t="s">
        <v>86</v>
      </c>
      <c r="C234" s="8" t="str">
        <f>"崔鹏"</f>
        <v>崔鹏</v>
      </c>
      <c r="D234" s="9" t="s">
        <v>11</v>
      </c>
      <c r="E234" s="8" t="str">
        <f>"440181199502058437"</f>
        <v>440181199502058437</v>
      </c>
      <c r="F234" s="10">
        <v>44082</v>
      </c>
      <c r="G234" s="11" t="s">
        <v>12</v>
      </c>
      <c r="H234" s="12"/>
    </row>
    <row r="235" spans="1:8" ht="14.25" customHeight="1">
      <c r="A235" s="6" t="s">
        <v>29</v>
      </c>
      <c r="B235" s="7" t="s">
        <v>86</v>
      </c>
      <c r="C235" s="8" t="str">
        <f>"梁曙曦"</f>
        <v>梁曙曦</v>
      </c>
      <c r="D235" s="9" t="s">
        <v>11</v>
      </c>
      <c r="E235" s="8" t="str">
        <f>"440181199711087218"</f>
        <v>440181199711087218</v>
      </c>
      <c r="F235" s="10">
        <v>44082</v>
      </c>
      <c r="G235" s="11" t="s">
        <v>12</v>
      </c>
      <c r="H235" s="12"/>
    </row>
    <row r="236" spans="1:8" ht="14.25" customHeight="1">
      <c r="A236" s="6" t="s">
        <v>30</v>
      </c>
      <c r="B236" s="7" t="s">
        <v>86</v>
      </c>
      <c r="C236" s="8" t="str">
        <f>"黄杰鸿"</f>
        <v>黄杰鸿</v>
      </c>
      <c r="D236" s="9" t="s">
        <v>11</v>
      </c>
      <c r="E236" s="8" t="str">
        <f>"440181199907245417"</f>
        <v>440181199907245417</v>
      </c>
      <c r="F236" s="10">
        <v>44082</v>
      </c>
      <c r="G236" s="11" t="s">
        <v>12</v>
      </c>
      <c r="H236" s="11"/>
    </row>
    <row r="237" spans="1:8" ht="14.25" customHeight="1">
      <c r="A237" s="6" t="s">
        <v>31</v>
      </c>
      <c r="B237" s="7" t="s">
        <v>86</v>
      </c>
      <c r="C237" s="8" t="str">
        <f>"陈荣光"</f>
        <v>陈荣光</v>
      </c>
      <c r="D237" s="9" t="s">
        <v>11</v>
      </c>
      <c r="E237" s="8" t="str">
        <f>"440181198908078118"</f>
        <v>440181198908078118</v>
      </c>
      <c r="F237" s="10">
        <v>44082</v>
      </c>
      <c r="G237" s="11" t="s">
        <v>12</v>
      </c>
      <c r="H237" s="11"/>
    </row>
    <row r="238" spans="1:8" ht="14.25" customHeight="1">
      <c r="A238" s="6" t="s">
        <v>32</v>
      </c>
      <c r="B238" s="7" t="s">
        <v>86</v>
      </c>
      <c r="C238" s="8" t="str">
        <f>"区嘉杰"</f>
        <v>区嘉杰</v>
      </c>
      <c r="D238" s="9" t="s">
        <v>11</v>
      </c>
      <c r="E238" s="8" t="str">
        <f>"440181199609225434"</f>
        <v>440181199609225434</v>
      </c>
      <c r="F238" s="10">
        <v>44082</v>
      </c>
      <c r="G238" s="11" t="s">
        <v>12</v>
      </c>
      <c r="H238" s="11"/>
    </row>
    <row r="239" spans="1:8" ht="14.25" customHeight="1">
      <c r="A239" s="6" t="s">
        <v>33</v>
      </c>
      <c r="B239" s="7" t="s">
        <v>86</v>
      </c>
      <c r="C239" s="8" t="str">
        <f>"区伟冲"</f>
        <v>区伟冲</v>
      </c>
      <c r="D239" s="9" t="s">
        <v>11</v>
      </c>
      <c r="E239" s="8" t="str">
        <f>"440181198812025417"</f>
        <v>440181198812025417</v>
      </c>
      <c r="F239" s="10">
        <v>44082</v>
      </c>
      <c r="G239" s="11" t="s">
        <v>12</v>
      </c>
      <c r="H239" s="11"/>
    </row>
    <row r="240" spans="1:8" ht="14.25" customHeight="1">
      <c r="A240" s="6" t="s">
        <v>34</v>
      </c>
      <c r="B240" s="7" t="s">
        <v>86</v>
      </c>
      <c r="C240" s="8" t="str">
        <f>"伍展鹏"</f>
        <v>伍展鹏</v>
      </c>
      <c r="D240" s="9" t="s">
        <v>11</v>
      </c>
      <c r="E240" s="8" t="str">
        <f>"440181198708108132"</f>
        <v>440181198708108132</v>
      </c>
      <c r="F240" s="10">
        <v>44082</v>
      </c>
      <c r="G240" s="11" t="s">
        <v>12</v>
      </c>
      <c r="H240" s="11"/>
    </row>
    <row r="241" spans="1:8" ht="14.25" customHeight="1">
      <c r="A241" s="6" t="s">
        <v>35</v>
      </c>
      <c r="B241" s="7" t="s">
        <v>86</v>
      </c>
      <c r="C241" s="8" t="str">
        <f>"黄振棋"</f>
        <v>黄振棋</v>
      </c>
      <c r="D241" s="9" t="s">
        <v>11</v>
      </c>
      <c r="E241" s="8" t="str">
        <f>"440181199409265714"</f>
        <v>440181199409265714</v>
      </c>
      <c r="F241" s="10">
        <v>44082</v>
      </c>
      <c r="G241" s="11" t="s">
        <v>12</v>
      </c>
      <c r="H241" s="11"/>
    </row>
    <row r="242" spans="1:8" ht="14.25" customHeight="1">
      <c r="A242" s="6" t="s">
        <v>36</v>
      </c>
      <c r="B242" s="7" t="s">
        <v>86</v>
      </c>
      <c r="C242" s="8" t="str">
        <f>"范开成"</f>
        <v>范开成</v>
      </c>
      <c r="D242" s="9" t="s">
        <v>11</v>
      </c>
      <c r="E242" s="8" t="str">
        <f>"450821199007094012"</f>
        <v>450821199007094012</v>
      </c>
      <c r="F242" s="10">
        <v>44082</v>
      </c>
      <c r="G242" s="11" t="s">
        <v>12</v>
      </c>
      <c r="H242" s="11"/>
    </row>
    <row r="243" spans="1:8" ht="14.25" customHeight="1">
      <c r="A243" s="6" t="s">
        <v>37</v>
      </c>
      <c r="B243" s="7" t="s">
        <v>86</v>
      </c>
      <c r="C243" s="8" t="str">
        <f>"叶嘉升"</f>
        <v>叶嘉升</v>
      </c>
      <c r="D243" s="9" t="s">
        <v>11</v>
      </c>
      <c r="E243" s="8" t="str">
        <f>"440181199709275471"</f>
        <v>440181199709275471</v>
      </c>
      <c r="F243" s="10">
        <v>44082</v>
      </c>
      <c r="G243" s="11" t="s">
        <v>12</v>
      </c>
      <c r="H243" s="11"/>
    </row>
    <row r="244" spans="1:8" ht="14.25" customHeight="1">
      <c r="A244" s="6" t="s">
        <v>38</v>
      </c>
      <c r="B244" s="7" t="s">
        <v>86</v>
      </c>
      <c r="C244" s="8" t="str">
        <f>"吴炜恒"</f>
        <v>吴炜恒</v>
      </c>
      <c r="D244" s="9" t="s">
        <v>11</v>
      </c>
      <c r="E244" s="8" t="str">
        <f>"440181199112315450"</f>
        <v>440181199112315450</v>
      </c>
      <c r="F244" s="10">
        <v>44082</v>
      </c>
      <c r="G244" s="11" t="s">
        <v>12</v>
      </c>
      <c r="H244" s="11"/>
    </row>
    <row r="245" spans="1:8" ht="14.25" customHeight="1">
      <c r="A245" s="6" t="s">
        <v>39</v>
      </c>
      <c r="B245" s="7" t="s">
        <v>86</v>
      </c>
      <c r="C245" s="8" t="str">
        <f>"黎展庭"</f>
        <v>黎展庭</v>
      </c>
      <c r="D245" s="9" t="s">
        <v>11</v>
      </c>
      <c r="E245" s="8" t="str">
        <f>"440181199210037810"</f>
        <v>440181199210037810</v>
      </c>
      <c r="F245" s="10">
        <v>44082</v>
      </c>
      <c r="G245" s="11" t="s">
        <v>12</v>
      </c>
      <c r="H245" s="11"/>
    </row>
    <row r="246" spans="1:8" ht="14.25" customHeight="1">
      <c r="A246" s="6" t="s">
        <v>40</v>
      </c>
      <c r="B246" s="7" t="s">
        <v>86</v>
      </c>
      <c r="C246" s="8" t="str">
        <f>"林伟东"</f>
        <v>林伟东</v>
      </c>
      <c r="D246" s="9" t="s">
        <v>11</v>
      </c>
      <c r="E246" s="8" t="str">
        <f>"440181199210180676"</f>
        <v>440181199210180676</v>
      </c>
      <c r="F246" s="10">
        <v>44082</v>
      </c>
      <c r="G246" s="11" t="s">
        <v>12</v>
      </c>
      <c r="H246" s="11"/>
    </row>
    <row r="247" spans="1:8" ht="14.25" customHeight="1">
      <c r="A247" s="6" t="s">
        <v>41</v>
      </c>
      <c r="B247" s="7" t="s">
        <v>86</v>
      </c>
      <c r="C247" s="8" t="str">
        <f>"陈景源"</f>
        <v>陈景源</v>
      </c>
      <c r="D247" s="9" t="s">
        <v>11</v>
      </c>
      <c r="E247" s="8" t="str">
        <f>"440181199110180636"</f>
        <v>440181199110180636</v>
      </c>
      <c r="F247" s="10">
        <v>44082</v>
      </c>
      <c r="G247" s="11" t="s">
        <v>12</v>
      </c>
      <c r="H247" s="11"/>
    </row>
    <row r="248" spans="1:8" ht="14.25" customHeight="1">
      <c r="A248" s="6" t="s">
        <v>42</v>
      </c>
      <c r="B248" s="7" t="s">
        <v>86</v>
      </c>
      <c r="C248" s="8" t="str">
        <f>"王向"</f>
        <v>王向</v>
      </c>
      <c r="D248" s="9" t="s">
        <v>11</v>
      </c>
      <c r="E248" s="8" t="str">
        <f>"430422199009051797"</f>
        <v>430422199009051797</v>
      </c>
      <c r="F248" s="10">
        <v>44082</v>
      </c>
      <c r="G248" s="11" t="s">
        <v>12</v>
      </c>
      <c r="H248" s="11"/>
    </row>
    <row r="249" spans="1:8" ht="14.25" customHeight="1">
      <c r="A249" s="6" t="s">
        <v>43</v>
      </c>
      <c r="B249" s="7" t="s">
        <v>86</v>
      </c>
      <c r="C249" s="8" t="str">
        <f>"杨鑑南"</f>
        <v>杨鑑南</v>
      </c>
      <c r="D249" s="9" t="s">
        <v>11</v>
      </c>
      <c r="E249" s="8" t="str">
        <f>"441424199409031395"</f>
        <v>441424199409031395</v>
      </c>
      <c r="F249" s="10">
        <v>44082</v>
      </c>
      <c r="G249" s="11" t="s">
        <v>12</v>
      </c>
      <c r="H249" s="11"/>
    </row>
    <row r="250" spans="1:8" ht="14.25" customHeight="1">
      <c r="A250" s="6" t="s">
        <v>44</v>
      </c>
      <c r="B250" s="7" t="s">
        <v>86</v>
      </c>
      <c r="C250" s="8" t="str">
        <f>"陈国潮"</f>
        <v>陈国潮</v>
      </c>
      <c r="D250" s="9" t="s">
        <v>11</v>
      </c>
      <c r="E250" s="8" t="str">
        <f>"440181198906285738"</f>
        <v>440181198906285738</v>
      </c>
      <c r="F250" s="10">
        <v>44082</v>
      </c>
      <c r="G250" s="11" t="s">
        <v>12</v>
      </c>
      <c r="H250" s="11"/>
    </row>
    <row r="251" spans="1:8" ht="14.25" customHeight="1">
      <c r="A251" s="6" t="s">
        <v>45</v>
      </c>
      <c r="B251" s="7" t="s">
        <v>86</v>
      </c>
      <c r="C251" s="8" t="str">
        <f>"陈子豪"</f>
        <v>陈子豪</v>
      </c>
      <c r="D251" s="9" t="s">
        <v>11</v>
      </c>
      <c r="E251" s="8" t="str">
        <f>"440181199108137516"</f>
        <v>440181199108137516</v>
      </c>
      <c r="F251" s="10">
        <v>44082</v>
      </c>
      <c r="G251" s="11" t="s">
        <v>12</v>
      </c>
      <c r="H251" s="11"/>
    </row>
    <row r="252" spans="1:8" ht="14.25" customHeight="1">
      <c r="A252" s="6" t="s">
        <v>46</v>
      </c>
      <c r="B252" s="7" t="s">
        <v>86</v>
      </c>
      <c r="C252" s="8" t="str">
        <f>"霍梓康"</f>
        <v>霍梓康</v>
      </c>
      <c r="D252" s="9" t="s">
        <v>11</v>
      </c>
      <c r="E252" s="8" t="str">
        <f>"440181199509211537"</f>
        <v>440181199509211537</v>
      </c>
      <c r="F252" s="10">
        <v>44082</v>
      </c>
      <c r="G252" s="11" t="s">
        <v>12</v>
      </c>
      <c r="H252" s="11"/>
    </row>
    <row r="253" spans="1:8" ht="14.25" customHeight="1">
      <c r="A253" s="6" t="s">
        <v>47</v>
      </c>
      <c r="B253" s="7" t="s">
        <v>86</v>
      </c>
      <c r="C253" s="8" t="str">
        <f>"王汉成"</f>
        <v>王汉成</v>
      </c>
      <c r="D253" s="9" t="s">
        <v>11</v>
      </c>
      <c r="E253" s="8" t="str">
        <f>"440181199106165759"</f>
        <v>440181199106165759</v>
      </c>
      <c r="F253" s="10">
        <v>44082</v>
      </c>
      <c r="G253" s="11" t="s">
        <v>12</v>
      </c>
      <c r="H253" s="11"/>
    </row>
    <row r="254" spans="1:8" ht="14.25" customHeight="1">
      <c r="A254" s="6" t="s">
        <v>48</v>
      </c>
      <c r="B254" s="7" t="s">
        <v>86</v>
      </c>
      <c r="C254" s="8" t="str">
        <f>"黄伟杰"</f>
        <v>黄伟杰</v>
      </c>
      <c r="D254" s="9" t="s">
        <v>11</v>
      </c>
      <c r="E254" s="8" t="str">
        <f>"440181199310230917"</f>
        <v>440181199310230917</v>
      </c>
      <c r="F254" s="10">
        <v>44082</v>
      </c>
      <c r="G254" s="11" t="s">
        <v>12</v>
      </c>
      <c r="H254" s="11"/>
    </row>
    <row r="255" spans="1:8" ht="14.25" customHeight="1">
      <c r="A255" s="6" t="s">
        <v>49</v>
      </c>
      <c r="B255" s="7" t="s">
        <v>86</v>
      </c>
      <c r="C255" s="8" t="str">
        <f>"孔键成"</f>
        <v>孔键成</v>
      </c>
      <c r="D255" s="9" t="s">
        <v>11</v>
      </c>
      <c r="E255" s="8" t="str">
        <f>"440181199903115412"</f>
        <v>440181199903115412</v>
      </c>
      <c r="F255" s="10">
        <v>44082</v>
      </c>
      <c r="G255" s="11" t="s">
        <v>12</v>
      </c>
      <c r="H255" s="11"/>
    </row>
    <row r="256" spans="1:8" ht="14.25" customHeight="1">
      <c r="A256" s="6" t="s">
        <v>50</v>
      </c>
      <c r="B256" s="7" t="s">
        <v>86</v>
      </c>
      <c r="C256" s="8" t="str">
        <f>"吴德敬"</f>
        <v>吴德敬</v>
      </c>
      <c r="D256" s="9" t="s">
        <v>11</v>
      </c>
      <c r="E256" s="8" t="str">
        <f>"440181199412307815"</f>
        <v>440181199412307815</v>
      </c>
      <c r="F256" s="10">
        <v>44082</v>
      </c>
      <c r="G256" s="11" t="s">
        <v>12</v>
      </c>
      <c r="H256" s="11"/>
    </row>
    <row r="257" spans="1:8" ht="14.25" customHeight="1">
      <c r="A257" s="6" t="s">
        <v>51</v>
      </c>
      <c r="B257" s="7" t="s">
        <v>86</v>
      </c>
      <c r="C257" s="8" t="str">
        <f>"陈国治"</f>
        <v>陈国治</v>
      </c>
      <c r="D257" s="9" t="s">
        <v>11</v>
      </c>
      <c r="E257" s="8" t="str">
        <f>"440181198706254232"</f>
        <v>440181198706254232</v>
      </c>
      <c r="F257" s="10">
        <v>44082</v>
      </c>
      <c r="G257" s="11" t="s">
        <v>12</v>
      </c>
      <c r="H257" s="11"/>
    </row>
    <row r="258" spans="1:8" ht="14.25" customHeight="1">
      <c r="A258" s="6" t="s">
        <v>52</v>
      </c>
      <c r="B258" s="7" t="s">
        <v>86</v>
      </c>
      <c r="C258" s="8" t="str">
        <f>"黄春年"</f>
        <v>黄春年</v>
      </c>
      <c r="D258" s="9" t="s">
        <v>11</v>
      </c>
      <c r="E258" s="8" t="str">
        <f>"441622199412195479"</f>
        <v>441622199412195479</v>
      </c>
      <c r="F258" s="10">
        <v>44082</v>
      </c>
      <c r="G258" s="11" t="s">
        <v>12</v>
      </c>
      <c r="H258" s="11"/>
    </row>
    <row r="259" spans="1:8" ht="14.25" customHeight="1">
      <c r="A259" s="6" t="s">
        <v>53</v>
      </c>
      <c r="B259" s="7" t="s">
        <v>86</v>
      </c>
      <c r="C259" s="8" t="str">
        <f>"胡文政"</f>
        <v>胡文政</v>
      </c>
      <c r="D259" s="9" t="s">
        <v>11</v>
      </c>
      <c r="E259" s="8" t="str">
        <f>"441424199508255538"</f>
        <v>441424199508255538</v>
      </c>
      <c r="F259" s="10">
        <v>44082</v>
      </c>
      <c r="G259" s="11" t="s">
        <v>12</v>
      </c>
      <c r="H259" s="11"/>
    </row>
    <row r="260" spans="1:8" ht="14.25" customHeight="1">
      <c r="A260" s="6" t="s">
        <v>54</v>
      </c>
      <c r="B260" s="7" t="s">
        <v>86</v>
      </c>
      <c r="C260" s="8" t="str">
        <f>"卢嘉淇"</f>
        <v>卢嘉淇</v>
      </c>
      <c r="D260" s="9" t="s">
        <v>11</v>
      </c>
      <c r="E260" s="8" t="str">
        <f>"440181199802086915"</f>
        <v>440181199802086915</v>
      </c>
      <c r="F260" s="10">
        <v>44082</v>
      </c>
      <c r="G260" s="11" t="s">
        <v>12</v>
      </c>
      <c r="H260" s="11"/>
    </row>
    <row r="261" spans="1:8" ht="14.25" customHeight="1">
      <c r="A261" s="6" t="s">
        <v>55</v>
      </c>
      <c r="B261" s="7" t="s">
        <v>86</v>
      </c>
      <c r="C261" s="8" t="str">
        <f>"莫小华"</f>
        <v>莫小华</v>
      </c>
      <c r="D261" s="9" t="s">
        <v>11</v>
      </c>
      <c r="E261" s="8" t="str">
        <f>"441226199607243710"</f>
        <v>441226199607243710</v>
      </c>
      <c r="F261" s="10">
        <v>44082</v>
      </c>
      <c r="G261" s="11" t="s">
        <v>12</v>
      </c>
      <c r="H261" s="11"/>
    </row>
    <row r="262" spans="1:8" ht="14.25" customHeight="1">
      <c r="A262" s="6" t="s">
        <v>56</v>
      </c>
      <c r="B262" s="7" t="s">
        <v>86</v>
      </c>
      <c r="C262" s="8" t="str">
        <f>"区展锋"</f>
        <v>区展锋</v>
      </c>
      <c r="D262" s="9" t="s">
        <v>11</v>
      </c>
      <c r="E262" s="8" t="str">
        <f>"440181199909035413"</f>
        <v>440181199909035413</v>
      </c>
      <c r="F262" s="10">
        <v>44082</v>
      </c>
      <c r="G262" s="11" t="s">
        <v>12</v>
      </c>
      <c r="H262" s="11"/>
    </row>
    <row r="263" spans="1:8" ht="14.25" customHeight="1">
      <c r="A263" s="6" t="s">
        <v>57</v>
      </c>
      <c r="B263" s="7" t="s">
        <v>86</v>
      </c>
      <c r="C263" s="8" t="str">
        <f>"何嘉伟"</f>
        <v>何嘉伟</v>
      </c>
      <c r="D263" s="9" t="s">
        <v>11</v>
      </c>
      <c r="E263" s="8" t="str">
        <f>"440223199308192730"</f>
        <v>440223199308192730</v>
      </c>
      <c r="F263" s="10">
        <v>44082</v>
      </c>
      <c r="G263" s="11" t="s">
        <v>12</v>
      </c>
      <c r="H263" s="11"/>
    </row>
    <row r="264" spans="1:8" ht="14.25" customHeight="1">
      <c r="A264" s="6" t="s">
        <v>58</v>
      </c>
      <c r="B264" s="7" t="s">
        <v>86</v>
      </c>
      <c r="C264" s="8" t="str">
        <f>"曹展宏"</f>
        <v>曹展宏</v>
      </c>
      <c r="D264" s="9" t="s">
        <v>11</v>
      </c>
      <c r="E264" s="8" t="str">
        <f>"440181199502084299"</f>
        <v>440181199502084299</v>
      </c>
      <c r="F264" s="10">
        <v>44082</v>
      </c>
      <c r="G264" s="11" t="s">
        <v>12</v>
      </c>
      <c r="H264" s="11"/>
    </row>
    <row r="265" spans="1:8" ht="14.25" customHeight="1">
      <c r="A265" s="6" t="s">
        <v>59</v>
      </c>
      <c r="B265" s="7" t="s">
        <v>86</v>
      </c>
      <c r="C265" s="8" t="str">
        <f>"钟杰鸣"</f>
        <v>钟杰鸣</v>
      </c>
      <c r="D265" s="9" t="s">
        <v>11</v>
      </c>
      <c r="E265" s="8" t="str">
        <f>"440113200104260313"</f>
        <v>440113200104260313</v>
      </c>
      <c r="F265" s="10">
        <v>44082</v>
      </c>
      <c r="G265" s="11" t="s">
        <v>12</v>
      </c>
      <c r="H265" s="11"/>
    </row>
    <row r="266" spans="1:8" ht="14.25" customHeight="1">
      <c r="A266" s="6" t="s">
        <v>60</v>
      </c>
      <c r="B266" s="7" t="s">
        <v>86</v>
      </c>
      <c r="C266" s="8" t="str">
        <f>"区俊杰"</f>
        <v>区俊杰</v>
      </c>
      <c r="D266" s="9" t="s">
        <v>11</v>
      </c>
      <c r="E266" s="8" t="str">
        <f>"440181199806115410"</f>
        <v>440181199806115410</v>
      </c>
      <c r="F266" s="10">
        <v>44082</v>
      </c>
      <c r="G266" s="11" t="s">
        <v>12</v>
      </c>
      <c r="H266" s="11"/>
    </row>
    <row r="267" spans="1:8" ht="14.25" customHeight="1">
      <c r="A267" s="6" t="s">
        <v>61</v>
      </c>
      <c r="B267" s="7" t="s">
        <v>86</v>
      </c>
      <c r="C267" s="8" t="str">
        <f>"冯俊能"</f>
        <v>冯俊能</v>
      </c>
      <c r="D267" s="9" t="s">
        <v>11</v>
      </c>
      <c r="E267" s="8" t="str">
        <f>"440181199403220937"</f>
        <v>440181199403220937</v>
      </c>
      <c r="F267" s="10">
        <v>44082</v>
      </c>
      <c r="G267" s="11" t="s">
        <v>12</v>
      </c>
      <c r="H267" s="11"/>
    </row>
    <row r="268" spans="1:8" ht="14.25" customHeight="1">
      <c r="A268" s="6" t="s">
        <v>62</v>
      </c>
      <c r="B268" s="7" t="s">
        <v>86</v>
      </c>
      <c r="C268" s="8" t="str">
        <f>"陈耀东"</f>
        <v>陈耀东</v>
      </c>
      <c r="D268" s="9" t="s">
        <v>11</v>
      </c>
      <c r="E268" s="8" t="str">
        <f>"440181199810291273"</f>
        <v>440181199810291273</v>
      </c>
      <c r="F268" s="10">
        <v>44082</v>
      </c>
      <c r="G268" s="11" t="s">
        <v>12</v>
      </c>
      <c r="H268" s="11"/>
    </row>
    <row r="269" spans="1:8" ht="14.25" customHeight="1">
      <c r="A269" s="6" t="s">
        <v>63</v>
      </c>
      <c r="B269" s="7" t="s">
        <v>86</v>
      </c>
      <c r="C269" s="8" t="str">
        <f>"陈盛昌"</f>
        <v>陈盛昌</v>
      </c>
      <c r="D269" s="9" t="s">
        <v>11</v>
      </c>
      <c r="E269" s="8" t="str">
        <f>"440682199410275710"</f>
        <v>440682199410275710</v>
      </c>
      <c r="F269" s="10">
        <v>44082</v>
      </c>
      <c r="G269" s="11" t="s">
        <v>12</v>
      </c>
      <c r="H269" s="11"/>
    </row>
    <row r="270" spans="1:8" ht="14.25" customHeight="1">
      <c r="A270" s="6" t="s">
        <v>64</v>
      </c>
      <c r="B270" s="7" t="s">
        <v>86</v>
      </c>
      <c r="C270" s="8" t="str">
        <f>"李梓荣"</f>
        <v>李梓荣</v>
      </c>
      <c r="D270" s="9" t="s">
        <v>11</v>
      </c>
      <c r="E270" s="8" t="str">
        <f>"440181199210205415"</f>
        <v>440181199210205415</v>
      </c>
      <c r="F270" s="10">
        <v>44082</v>
      </c>
      <c r="G270" s="11" t="s">
        <v>12</v>
      </c>
      <c r="H270" s="11"/>
    </row>
    <row r="271" spans="1:8" ht="14.25" customHeight="1">
      <c r="A271" s="6" t="s">
        <v>65</v>
      </c>
      <c r="B271" s="7" t="s">
        <v>86</v>
      </c>
      <c r="C271" s="8" t="str">
        <f>"季家豪"</f>
        <v>季家豪</v>
      </c>
      <c r="D271" s="9" t="s">
        <v>11</v>
      </c>
      <c r="E271" s="8" t="str">
        <f>"441623199702232713"</f>
        <v>441623199702232713</v>
      </c>
      <c r="F271" s="10">
        <v>44082</v>
      </c>
      <c r="G271" s="11" t="s">
        <v>12</v>
      </c>
      <c r="H271" s="11"/>
    </row>
    <row r="272" spans="1:8" ht="14.25" customHeight="1">
      <c r="A272" s="6" t="s">
        <v>66</v>
      </c>
      <c r="B272" s="7" t="s">
        <v>86</v>
      </c>
      <c r="C272" s="8" t="str">
        <f>"赵志强"</f>
        <v>赵志强</v>
      </c>
      <c r="D272" s="9" t="s">
        <v>11</v>
      </c>
      <c r="E272" s="8" t="str">
        <f>"440181199104060654"</f>
        <v>440181199104060654</v>
      </c>
      <c r="F272" s="10">
        <v>44082</v>
      </c>
      <c r="G272" s="11" t="s">
        <v>12</v>
      </c>
      <c r="H272" s="11"/>
    </row>
    <row r="273" spans="1:8" ht="14.25" customHeight="1">
      <c r="A273" s="6" t="s">
        <v>67</v>
      </c>
      <c r="B273" s="7" t="s">
        <v>86</v>
      </c>
      <c r="C273" s="8" t="str">
        <f>"杜耀明"</f>
        <v>杜耀明</v>
      </c>
      <c r="D273" s="9" t="s">
        <v>11</v>
      </c>
      <c r="E273" s="8" t="str">
        <f>"440181199508212116"</f>
        <v>440181199508212116</v>
      </c>
      <c r="F273" s="10">
        <v>44082</v>
      </c>
      <c r="G273" s="11" t="s">
        <v>12</v>
      </c>
      <c r="H273" s="11"/>
    </row>
    <row r="274" spans="1:8" ht="14.25" customHeight="1">
      <c r="A274" s="6" t="s">
        <v>68</v>
      </c>
      <c r="B274" s="7" t="s">
        <v>86</v>
      </c>
      <c r="C274" s="8" t="str">
        <f>"马嘉明"</f>
        <v>马嘉明</v>
      </c>
      <c r="D274" s="9" t="s">
        <v>11</v>
      </c>
      <c r="E274" s="8" t="str">
        <f>"440181199105201519"</f>
        <v>440181199105201519</v>
      </c>
      <c r="F274" s="10">
        <v>44082</v>
      </c>
      <c r="G274" s="11" t="s">
        <v>12</v>
      </c>
      <c r="H274" s="11"/>
    </row>
    <row r="275" spans="1:8" ht="14.25" customHeight="1">
      <c r="A275" s="6" t="s">
        <v>69</v>
      </c>
      <c r="B275" s="7" t="s">
        <v>86</v>
      </c>
      <c r="C275" s="8" t="str">
        <f>"黎炽毅"</f>
        <v>黎炽毅</v>
      </c>
      <c r="D275" s="9" t="s">
        <v>11</v>
      </c>
      <c r="E275" s="8" t="str">
        <f>"440181199809130616"</f>
        <v>440181199809130616</v>
      </c>
      <c r="F275" s="10">
        <v>44082</v>
      </c>
      <c r="G275" s="11" t="s">
        <v>12</v>
      </c>
      <c r="H275" s="11"/>
    </row>
    <row r="276" spans="1:8" ht="14.25" customHeight="1">
      <c r="A276" s="6" t="s">
        <v>70</v>
      </c>
      <c r="B276" s="7" t="s">
        <v>86</v>
      </c>
      <c r="C276" s="8" t="str">
        <f>"曹创粤"</f>
        <v>曹创粤</v>
      </c>
      <c r="D276" s="9" t="s">
        <v>11</v>
      </c>
      <c r="E276" s="8" t="str">
        <f>"440181199905215417"</f>
        <v>440181199905215417</v>
      </c>
      <c r="F276" s="10">
        <v>44082</v>
      </c>
      <c r="G276" s="11" t="s">
        <v>12</v>
      </c>
      <c r="H276" s="11"/>
    </row>
    <row r="277" spans="1:8" ht="14.25" customHeight="1">
      <c r="A277" s="6" t="s">
        <v>71</v>
      </c>
      <c r="B277" s="7" t="s">
        <v>86</v>
      </c>
      <c r="C277" s="8" t="str">
        <f>"吕浩铭"</f>
        <v>吕浩铭</v>
      </c>
      <c r="D277" s="9" t="s">
        <v>11</v>
      </c>
      <c r="E277" s="8" t="str">
        <f>"440181199812284296"</f>
        <v>440181199812284296</v>
      </c>
      <c r="F277" s="10">
        <v>44082</v>
      </c>
      <c r="G277" s="11" t="s">
        <v>12</v>
      </c>
      <c r="H277" s="11"/>
    </row>
    <row r="278" spans="1:8" ht="14.25" customHeight="1">
      <c r="A278" s="6" t="s">
        <v>72</v>
      </c>
      <c r="B278" s="7" t="s">
        <v>86</v>
      </c>
      <c r="C278" s="8" t="str">
        <f>"曾焯文"</f>
        <v>曾焯文</v>
      </c>
      <c r="D278" s="9" t="s">
        <v>11</v>
      </c>
      <c r="E278" s="8" t="str">
        <f>"445322199811184010"</f>
        <v>445322199811184010</v>
      </c>
      <c r="F278" s="10">
        <v>44082</v>
      </c>
      <c r="G278" s="11" t="s">
        <v>12</v>
      </c>
      <c r="H278" s="11"/>
    </row>
    <row r="279" spans="1:8" ht="14.25" customHeight="1">
      <c r="A279" s="6" t="s">
        <v>73</v>
      </c>
      <c r="B279" s="7" t="s">
        <v>86</v>
      </c>
      <c r="C279" s="8" t="str">
        <f>"刘湘群"</f>
        <v>刘湘群</v>
      </c>
      <c r="D279" s="9" t="s">
        <v>11</v>
      </c>
      <c r="E279" s="8" t="str">
        <f>"431122199006071412"</f>
        <v>431122199006071412</v>
      </c>
      <c r="F279" s="10">
        <v>44082</v>
      </c>
      <c r="G279" s="11" t="s">
        <v>12</v>
      </c>
      <c r="H279" s="11"/>
    </row>
    <row r="280" spans="1:8" ht="14.25" customHeight="1">
      <c r="A280" s="6" t="s">
        <v>74</v>
      </c>
      <c r="B280" s="7" t="s">
        <v>86</v>
      </c>
      <c r="C280" s="8" t="str">
        <f>"曾俊健"</f>
        <v>曾俊健</v>
      </c>
      <c r="D280" s="9" t="s">
        <v>11</v>
      </c>
      <c r="E280" s="8" t="str">
        <f>"440181199407164231"</f>
        <v>440181199407164231</v>
      </c>
      <c r="F280" s="10">
        <v>44082</v>
      </c>
      <c r="G280" s="11" t="s">
        <v>12</v>
      </c>
      <c r="H280" s="11"/>
    </row>
    <row r="281" spans="1:8" ht="14.25" customHeight="1">
      <c r="A281" s="6" t="s">
        <v>75</v>
      </c>
      <c r="B281" s="7" t="s">
        <v>86</v>
      </c>
      <c r="C281" s="8" t="str">
        <f>"陈泳辉"</f>
        <v>陈泳辉</v>
      </c>
      <c r="D281" s="9" t="s">
        <v>11</v>
      </c>
      <c r="E281" s="8" t="str">
        <f>"440181199404245415"</f>
        <v>440181199404245415</v>
      </c>
      <c r="F281" s="10">
        <v>44082</v>
      </c>
      <c r="G281" s="11" t="s">
        <v>12</v>
      </c>
      <c r="H281" s="11"/>
    </row>
    <row r="282" spans="1:8" ht="14.25" customHeight="1">
      <c r="A282" s="6" t="s">
        <v>76</v>
      </c>
      <c r="B282" s="7" t="s">
        <v>86</v>
      </c>
      <c r="C282" s="8" t="str">
        <f>"黄嘉伟"</f>
        <v>黄嘉伟</v>
      </c>
      <c r="D282" s="9" t="s">
        <v>11</v>
      </c>
      <c r="E282" s="8" t="str">
        <f>"440181199107315413"</f>
        <v>440181199107315413</v>
      </c>
      <c r="F282" s="10">
        <v>44082</v>
      </c>
      <c r="G282" s="11" t="s">
        <v>12</v>
      </c>
      <c r="H282" s="11"/>
    </row>
    <row r="283" spans="1:8" ht="14.25" customHeight="1">
      <c r="A283" s="6" t="s">
        <v>77</v>
      </c>
      <c r="B283" s="7" t="s">
        <v>86</v>
      </c>
      <c r="C283" s="8" t="str">
        <f>"郭剑锋"</f>
        <v>郭剑锋</v>
      </c>
      <c r="D283" s="9" t="s">
        <v>11</v>
      </c>
      <c r="E283" s="8" t="str">
        <f>"440181199706200917"</f>
        <v>440181199706200917</v>
      </c>
      <c r="F283" s="10">
        <v>44082</v>
      </c>
      <c r="G283" s="11" t="s">
        <v>12</v>
      </c>
      <c r="H283" s="11"/>
    </row>
    <row r="284" spans="1:8" ht="14.25" customHeight="1">
      <c r="A284" s="6" t="s">
        <v>78</v>
      </c>
      <c r="B284" s="7" t="s">
        <v>86</v>
      </c>
      <c r="C284" s="8" t="str">
        <f>"卢铭濠"</f>
        <v>卢铭濠</v>
      </c>
      <c r="D284" s="9" t="s">
        <v>11</v>
      </c>
      <c r="E284" s="8" t="str">
        <f>"440181199710155434"</f>
        <v>440181199710155434</v>
      </c>
      <c r="F284" s="10">
        <v>44082</v>
      </c>
      <c r="G284" s="11" t="s">
        <v>12</v>
      </c>
      <c r="H284" s="11"/>
    </row>
    <row r="285" spans="1:8" ht="14.25" customHeight="1">
      <c r="A285" s="6" t="s">
        <v>79</v>
      </c>
      <c r="B285" s="7" t="s">
        <v>86</v>
      </c>
      <c r="C285" s="8" t="str">
        <f>"仇毅晖"</f>
        <v>仇毅晖</v>
      </c>
      <c r="D285" s="9" t="s">
        <v>11</v>
      </c>
      <c r="E285" s="8" t="str">
        <f>"440181199305134218"</f>
        <v>440181199305134218</v>
      </c>
      <c r="F285" s="10">
        <v>44082</v>
      </c>
      <c r="G285" s="11" t="s">
        <v>12</v>
      </c>
      <c r="H285" s="11"/>
    </row>
    <row r="286" spans="1:8" ht="14.25" customHeight="1">
      <c r="A286" s="6" t="s">
        <v>80</v>
      </c>
      <c r="B286" s="7" t="s">
        <v>86</v>
      </c>
      <c r="C286" s="8" t="str">
        <f>"陈炜钧"</f>
        <v>陈炜钧</v>
      </c>
      <c r="D286" s="9" t="s">
        <v>11</v>
      </c>
      <c r="E286" s="8" t="str">
        <f>"440921198911177130"</f>
        <v>440921198911177130</v>
      </c>
      <c r="F286" s="10">
        <v>44082</v>
      </c>
      <c r="G286" s="11" t="s">
        <v>12</v>
      </c>
      <c r="H286" s="11"/>
    </row>
    <row r="287" spans="1:8" ht="14.25" customHeight="1">
      <c r="A287" s="6" t="s">
        <v>81</v>
      </c>
      <c r="B287" s="7" t="s">
        <v>86</v>
      </c>
      <c r="C287" s="8" t="str">
        <f>"胡伟锋"</f>
        <v>胡伟锋</v>
      </c>
      <c r="D287" s="9" t="s">
        <v>11</v>
      </c>
      <c r="E287" s="8" t="str">
        <f>"440181199311134214"</f>
        <v>440181199311134214</v>
      </c>
      <c r="F287" s="10">
        <v>44082</v>
      </c>
      <c r="G287" s="11" t="s">
        <v>12</v>
      </c>
      <c r="H287" s="11"/>
    </row>
    <row r="288" spans="1:8" ht="22.5">
      <c r="A288" s="3" t="s">
        <v>87</v>
      </c>
      <c r="B288" s="3"/>
      <c r="C288" s="3"/>
      <c r="D288" s="3"/>
      <c r="E288" s="3"/>
      <c r="F288" s="3"/>
      <c r="G288" s="3"/>
      <c r="H288" s="3"/>
    </row>
    <row r="289" spans="1:8" ht="37.5">
      <c r="A289" s="4" t="s">
        <v>2</v>
      </c>
      <c r="B289" s="4" t="s">
        <v>3</v>
      </c>
      <c r="C289" s="5" t="s">
        <v>4</v>
      </c>
      <c r="D289" s="4" t="s">
        <v>5</v>
      </c>
      <c r="E289" s="5" t="s">
        <v>6</v>
      </c>
      <c r="F289" s="4" t="s">
        <v>7</v>
      </c>
      <c r="G289" s="4" t="s">
        <v>8</v>
      </c>
      <c r="H289" s="4" t="s">
        <v>9</v>
      </c>
    </row>
    <row r="290" spans="1:8" ht="14.25" customHeight="1">
      <c r="A290" s="6" t="s">
        <v>10</v>
      </c>
      <c r="B290" s="7" t="s">
        <v>86</v>
      </c>
      <c r="C290" s="8" t="str">
        <f>"羊鹏"</f>
        <v>羊鹏</v>
      </c>
      <c r="D290" s="9" t="s">
        <v>11</v>
      </c>
      <c r="E290" s="8" t="str">
        <f>"430521199712205670"</f>
        <v>430521199712205670</v>
      </c>
      <c r="F290" s="10">
        <v>44082</v>
      </c>
      <c r="G290" s="11" t="s">
        <v>88</v>
      </c>
      <c r="H290" s="12"/>
    </row>
    <row r="291" spans="1:8" ht="14.25" customHeight="1">
      <c r="A291" s="6" t="s">
        <v>13</v>
      </c>
      <c r="B291" s="7" t="s">
        <v>86</v>
      </c>
      <c r="C291" s="8" t="str">
        <f>"雷耀恒"</f>
        <v>雷耀恒</v>
      </c>
      <c r="D291" s="9" t="s">
        <v>11</v>
      </c>
      <c r="E291" s="8" t="str">
        <f>"440781199502221516"</f>
        <v>440781199502221516</v>
      </c>
      <c r="F291" s="10">
        <v>44082</v>
      </c>
      <c r="G291" s="11" t="s">
        <v>88</v>
      </c>
      <c r="H291" s="12"/>
    </row>
    <row r="292" spans="1:8" ht="14.25" customHeight="1">
      <c r="A292" s="6" t="s">
        <v>14</v>
      </c>
      <c r="B292" s="7" t="s">
        <v>86</v>
      </c>
      <c r="C292" s="8" t="str">
        <f>"梁荣津"</f>
        <v>梁荣津</v>
      </c>
      <c r="D292" s="9" t="s">
        <v>11</v>
      </c>
      <c r="E292" s="8" t="str">
        <f>"440181199902135411"</f>
        <v>440181199902135411</v>
      </c>
      <c r="F292" s="10">
        <v>44082</v>
      </c>
      <c r="G292" s="11" t="s">
        <v>88</v>
      </c>
      <c r="H292" s="12"/>
    </row>
    <row r="293" spans="1:8" ht="14.25" customHeight="1">
      <c r="A293" s="6" t="s">
        <v>15</v>
      </c>
      <c r="B293" s="7" t="s">
        <v>86</v>
      </c>
      <c r="C293" s="8" t="str">
        <f>"谭炫灿"</f>
        <v>谭炫灿</v>
      </c>
      <c r="D293" s="9" t="s">
        <v>11</v>
      </c>
      <c r="E293" s="8" t="str">
        <f>"441723199111060038"</f>
        <v>441723199111060038</v>
      </c>
      <c r="F293" s="10">
        <v>44082</v>
      </c>
      <c r="G293" s="11" t="s">
        <v>88</v>
      </c>
      <c r="H293" s="12"/>
    </row>
    <row r="294" spans="1:8" ht="14.25" customHeight="1">
      <c r="A294" s="6" t="s">
        <v>16</v>
      </c>
      <c r="B294" s="7" t="s">
        <v>86</v>
      </c>
      <c r="C294" s="8" t="str">
        <f>"凌国辉"</f>
        <v>凌国辉</v>
      </c>
      <c r="D294" s="9" t="s">
        <v>11</v>
      </c>
      <c r="E294" s="8" t="str">
        <f>"440923198509243796"</f>
        <v>440923198509243796</v>
      </c>
      <c r="F294" s="10">
        <v>44082</v>
      </c>
      <c r="G294" s="11" t="s">
        <v>88</v>
      </c>
      <c r="H294" s="12"/>
    </row>
    <row r="295" spans="1:8" ht="14.25" customHeight="1">
      <c r="A295" s="6" t="s">
        <v>17</v>
      </c>
      <c r="B295" s="7" t="s">
        <v>86</v>
      </c>
      <c r="C295" s="8" t="str">
        <f>"梁家俊"</f>
        <v>梁家俊</v>
      </c>
      <c r="D295" s="9" t="s">
        <v>11</v>
      </c>
      <c r="E295" s="8" t="str">
        <f>"440181199711265416"</f>
        <v>440181199711265416</v>
      </c>
      <c r="F295" s="10">
        <v>44082</v>
      </c>
      <c r="G295" s="11" t="s">
        <v>88</v>
      </c>
      <c r="H295" s="12"/>
    </row>
    <row r="296" spans="1:8" ht="14.25" customHeight="1">
      <c r="A296" s="6" t="s">
        <v>18</v>
      </c>
      <c r="B296" s="7" t="s">
        <v>86</v>
      </c>
      <c r="C296" s="8" t="str">
        <f>"黄嘉升"</f>
        <v>黄嘉升</v>
      </c>
      <c r="D296" s="9" t="s">
        <v>11</v>
      </c>
      <c r="E296" s="8" t="str">
        <f>"440181199508011816"</f>
        <v>440181199508011816</v>
      </c>
      <c r="F296" s="10">
        <v>44082</v>
      </c>
      <c r="G296" s="11" t="s">
        <v>88</v>
      </c>
      <c r="H296" s="12"/>
    </row>
    <row r="297" spans="1:8" ht="14.25" customHeight="1">
      <c r="A297" s="6" t="s">
        <v>19</v>
      </c>
      <c r="B297" s="7" t="s">
        <v>86</v>
      </c>
      <c r="C297" s="8" t="str">
        <f>"杨飞"</f>
        <v>杨飞</v>
      </c>
      <c r="D297" s="9" t="s">
        <v>11</v>
      </c>
      <c r="E297" s="8" t="str">
        <f>"442000199008162333"</f>
        <v>442000199008162333</v>
      </c>
      <c r="F297" s="10">
        <v>44082</v>
      </c>
      <c r="G297" s="11" t="s">
        <v>88</v>
      </c>
      <c r="H297" s="12"/>
    </row>
    <row r="298" spans="1:8" ht="14.25" customHeight="1">
      <c r="A298" s="6" t="s">
        <v>20</v>
      </c>
      <c r="B298" s="7" t="s">
        <v>86</v>
      </c>
      <c r="C298" s="8" t="str">
        <f>"梁伟康"</f>
        <v>梁伟康</v>
      </c>
      <c r="D298" s="9" t="s">
        <v>11</v>
      </c>
      <c r="E298" s="8" t="str">
        <f>"440181199203100316"</f>
        <v>440181199203100316</v>
      </c>
      <c r="F298" s="10">
        <v>44082</v>
      </c>
      <c r="G298" s="11" t="s">
        <v>88</v>
      </c>
      <c r="H298" s="12"/>
    </row>
    <row r="299" spans="1:8" ht="14.25" customHeight="1">
      <c r="A299" s="6" t="s">
        <v>21</v>
      </c>
      <c r="B299" s="7" t="s">
        <v>86</v>
      </c>
      <c r="C299" s="8" t="str">
        <f>"赵裔坤"</f>
        <v>赵裔坤</v>
      </c>
      <c r="D299" s="9" t="s">
        <v>11</v>
      </c>
      <c r="E299" s="8" t="str">
        <f>"440181199404295455"</f>
        <v>440181199404295455</v>
      </c>
      <c r="F299" s="10">
        <v>44082</v>
      </c>
      <c r="G299" s="11" t="s">
        <v>88</v>
      </c>
      <c r="H299" s="12"/>
    </row>
    <row r="300" spans="1:8" ht="14.25" customHeight="1">
      <c r="A300" s="6" t="s">
        <v>22</v>
      </c>
      <c r="B300" s="7" t="s">
        <v>86</v>
      </c>
      <c r="C300" s="8" t="str">
        <f>"高伟均"</f>
        <v>高伟均</v>
      </c>
      <c r="D300" s="9" t="s">
        <v>11</v>
      </c>
      <c r="E300" s="8" t="str">
        <f>"440181198903105711"</f>
        <v>440181198903105711</v>
      </c>
      <c r="F300" s="10">
        <v>44082</v>
      </c>
      <c r="G300" s="11" t="s">
        <v>88</v>
      </c>
      <c r="H300" s="12"/>
    </row>
    <row r="301" spans="1:8" ht="14.25" customHeight="1">
      <c r="A301" s="6" t="s">
        <v>23</v>
      </c>
      <c r="B301" s="7" t="s">
        <v>86</v>
      </c>
      <c r="C301" s="8" t="str">
        <f>"苏浚苇"</f>
        <v>苏浚苇</v>
      </c>
      <c r="D301" s="9" t="s">
        <v>11</v>
      </c>
      <c r="E301" s="8" t="str">
        <f>"440181200003125418"</f>
        <v>440181200003125418</v>
      </c>
      <c r="F301" s="10">
        <v>44082</v>
      </c>
      <c r="G301" s="11" t="s">
        <v>88</v>
      </c>
      <c r="H301" s="12"/>
    </row>
    <row r="302" spans="1:8" ht="14.25" customHeight="1">
      <c r="A302" s="6" t="s">
        <v>24</v>
      </c>
      <c r="B302" s="7" t="s">
        <v>86</v>
      </c>
      <c r="C302" s="8" t="str">
        <f>"吕佳才"</f>
        <v>吕佳才</v>
      </c>
      <c r="D302" s="9" t="s">
        <v>11</v>
      </c>
      <c r="E302" s="8" t="str">
        <f>"440981199004093233"</f>
        <v>440981199004093233</v>
      </c>
      <c r="F302" s="10">
        <v>44082</v>
      </c>
      <c r="G302" s="11" t="s">
        <v>88</v>
      </c>
      <c r="H302" s="12"/>
    </row>
    <row r="303" spans="1:8" ht="14.25" customHeight="1">
      <c r="A303" s="6" t="s">
        <v>25</v>
      </c>
      <c r="B303" s="7" t="s">
        <v>86</v>
      </c>
      <c r="C303" s="8" t="str">
        <f>"陆万文"</f>
        <v>陆万文</v>
      </c>
      <c r="D303" s="9" t="s">
        <v>11</v>
      </c>
      <c r="E303" s="8" t="str">
        <f>"450621199310202310"</f>
        <v>450621199310202310</v>
      </c>
      <c r="F303" s="10">
        <v>44082</v>
      </c>
      <c r="G303" s="11" t="s">
        <v>88</v>
      </c>
      <c r="H303" s="12"/>
    </row>
    <row r="304" spans="1:8" ht="14.25" customHeight="1">
      <c r="A304" s="6" t="s">
        <v>26</v>
      </c>
      <c r="B304" s="7" t="s">
        <v>86</v>
      </c>
      <c r="C304" s="8" t="str">
        <f>"彭国雄"</f>
        <v>彭国雄</v>
      </c>
      <c r="D304" s="9" t="s">
        <v>11</v>
      </c>
      <c r="E304" s="8" t="str">
        <f>"44018119960926541X"</f>
        <v>44018119960926541X</v>
      </c>
      <c r="F304" s="10">
        <v>44082</v>
      </c>
      <c r="G304" s="11" t="s">
        <v>88</v>
      </c>
      <c r="H304" s="12"/>
    </row>
    <row r="305" spans="1:8" ht="14.25" customHeight="1">
      <c r="A305" s="6" t="s">
        <v>27</v>
      </c>
      <c r="B305" s="7" t="s">
        <v>86</v>
      </c>
      <c r="C305" s="8" t="str">
        <f>"刘广彬"</f>
        <v>刘广彬</v>
      </c>
      <c r="D305" s="9" t="s">
        <v>11</v>
      </c>
      <c r="E305" s="8" t="str">
        <f>"411121199110245013"</f>
        <v>411121199110245013</v>
      </c>
      <c r="F305" s="10">
        <v>44082</v>
      </c>
      <c r="G305" s="11" t="s">
        <v>88</v>
      </c>
      <c r="H305" s="12"/>
    </row>
    <row r="306" spans="1:8" ht="14.25" customHeight="1">
      <c r="A306" s="6" t="s">
        <v>28</v>
      </c>
      <c r="B306" s="7" t="s">
        <v>86</v>
      </c>
      <c r="C306" s="8" t="str">
        <f>"罗伟辉"</f>
        <v>罗伟辉</v>
      </c>
      <c r="D306" s="9" t="s">
        <v>11</v>
      </c>
      <c r="E306" s="8" t="str">
        <f>"440181199103244216"</f>
        <v>440181199103244216</v>
      </c>
      <c r="F306" s="10">
        <v>44082</v>
      </c>
      <c r="G306" s="11" t="s">
        <v>88</v>
      </c>
      <c r="H306" s="11"/>
    </row>
    <row r="307" spans="1:8" ht="14.25" customHeight="1">
      <c r="A307" s="6" t="s">
        <v>29</v>
      </c>
      <c r="B307" s="7" t="s">
        <v>86</v>
      </c>
      <c r="C307" s="8" t="str">
        <f>"罗凯铭"</f>
        <v>罗凯铭</v>
      </c>
      <c r="D307" s="9" t="s">
        <v>11</v>
      </c>
      <c r="E307" s="8" t="str">
        <f>"440181199507028114"</f>
        <v>440181199507028114</v>
      </c>
      <c r="F307" s="10">
        <v>44082</v>
      </c>
      <c r="G307" s="11" t="s">
        <v>88</v>
      </c>
      <c r="H307" s="11"/>
    </row>
    <row r="308" spans="1:8" ht="14.25" customHeight="1">
      <c r="A308" s="6" t="s">
        <v>30</v>
      </c>
      <c r="B308" s="7" t="s">
        <v>86</v>
      </c>
      <c r="C308" s="8" t="str">
        <f>"何家奇"</f>
        <v>何家奇</v>
      </c>
      <c r="D308" s="9" t="s">
        <v>11</v>
      </c>
      <c r="E308" s="8" t="str">
        <f>"440181199001240919"</f>
        <v>440181199001240919</v>
      </c>
      <c r="F308" s="10">
        <v>44082</v>
      </c>
      <c r="G308" s="11" t="s">
        <v>88</v>
      </c>
      <c r="H308" s="11"/>
    </row>
    <row r="309" spans="1:8" ht="14.25" customHeight="1">
      <c r="A309" s="6" t="s">
        <v>31</v>
      </c>
      <c r="B309" s="7" t="s">
        <v>86</v>
      </c>
      <c r="C309" s="8" t="str">
        <f>"曾炳强"</f>
        <v>曾炳强</v>
      </c>
      <c r="D309" s="9" t="s">
        <v>11</v>
      </c>
      <c r="E309" s="8" t="str">
        <f>"440181199503134235"</f>
        <v>440181199503134235</v>
      </c>
      <c r="F309" s="10">
        <v>44082</v>
      </c>
      <c r="G309" s="11" t="s">
        <v>88</v>
      </c>
      <c r="H309" s="11"/>
    </row>
    <row r="310" spans="1:8" ht="14.25" customHeight="1">
      <c r="A310" s="6" t="s">
        <v>32</v>
      </c>
      <c r="B310" s="7" t="s">
        <v>86</v>
      </c>
      <c r="C310" s="8" t="str">
        <f>"邓敏健"</f>
        <v>邓敏健</v>
      </c>
      <c r="D310" s="9" t="s">
        <v>11</v>
      </c>
      <c r="E310" s="8" t="str">
        <f>"440181199203055711"</f>
        <v>440181199203055711</v>
      </c>
      <c r="F310" s="10">
        <v>44082</v>
      </c>
      <c r="G310" s="11" t="s">
        <v>88</v>
      </c>
      <c r="H310" s="11"/>
    </row>
    <row r="311" spans="1:8" ht="14.25" customHeight="1">
      <c r="A311" s="6" t="s">
        <v>33</v>
      </c>
      <c r="B311" s="7" t="s">
        <v>86</v>
      </c>
      <c r="C311" s="8" t="str">
        <f>"谢文健"</f>
        <v>谢文健</v>
      </c>
      <c r="D311" s="9" t="s">
        <v>11</v>
      </c>
      <c r="E311" s="8" t="str">
        <f>"445322200011014019"</f>
        <v>445322200011014019</v>
      </c>
      <c r="F311" s="10">
        <v>44082</v>
      </c>
      <c r="G311" s="11" t="s">
        <v>88</v>
      </c>
      <c r="H311" s="11"/>
    </row>
    <row r="312" spans="1:8" ht="14.25" customHeight="1">
      <c r="A312" s="6" t="s">
        <v>34</v>
      </c>
      <c r="B312" s="7" t="s">
        <v>86</v>
      </c>
      <c r="C312" s="8" t="str">
        <f>"陈沛健"</f>
        <v>陈沛健</v>
      </c>
      <c r="D312" s="9" t="s">
        <v>11</v>
      </c>
      <c r="E312" s="8" t="str">
        <f>"440181198910164234"</f>
        <v>440181198910164234</v>
      </c>
      <c r="F312" s="10">
        <v>44082</v>
      </c>
      <c r="G312" s="11" t="s">
        <v>88</v>
      </c>
      <c r="H312" s="11"/>
    </row>
    <row r="313" spans="1:8" ht="14.25" customHeight="1">
      <c r="A313" s="6" t="s">
        <v>35</v>
      </c>
      <c r="B313" s="7" t="s">
        <v>86</v>
      </c>
      <c r="C313" s="8" t="str">
        <f>"谭家濠"</f>
        <v>谭家濠</v>
      </c>
      <c r="D313" s="9" t="s">
        <v>11</v>
      </c>
      <c r="E313" s="8" t="str">
        <f>"440181199804045455"</f>
        <v>440181199804045455</v>
      </c>
      <c r="F313" s="10">
        <v>44082</v>
      </c>
      <c r="G313" s="11" t="s">
        <v>88</v>
      </c>
      <c r="H313" s="11"/>
    </row>
    <row r="314" spans="1:8" ht="14.25" customHeight="1">
      <c r="A314" s="6" t="s">
        <v>36</v>
      </c>
      <c r="B314" s="7" t="s">
        <v>86</v>
      </c>
      <c r="C314" s="8" t="str">
        <f>"郭伟超"</f>
        <v>郭伟超</v>
      </c>
      <c r="D314" s="9" t="s">
        <v>11</v>
      </c>
      <c r="E314" s="8" t="str">
        <f>"440181199411117817"</f>
        <v>440181199411117817</v>
      </c>
      <c r="F314" s="10">
        <v>44082</v>
      </c>
      <c r="G314" s="11" t="s">
        <v>88</v>
      </c>
      <c r="H314" s="11"/>
    </row>
    <row r="315" spans="1:8" ht="14.25" customHeight="1">
      <c r="A315" s="6" t="s">
        <v>37</v>
      </c>
      <c r="B315" s="7" t="s">
        <v>86</v>
      </c>
      <c r="C315" s="8" t="str">
        <f>"李日星"</f>
        <v>李日星</v>
      </c>
      <c r="D315" s="9" t="s">
        <v>11</v>
      </c>
      <c r="E315" s="8" t="str">
        <f>"44162519960224447X"</f>
        <v>44162519960224447X</v>
      </c>
      <c r="F315" s="10">
        <v>44082</v>
      </c>
      <c r="G315" s="11" t="s">
        <v>88</v>
      </c>
      <c r="H315" s="11"/>
    </row>
    <row r="316" spans="1:8" ht="14.25" customHeight="1">
      <c r="A316" s="6" t="s">
        <v>38</v>
      </c>
      <c r="B316" s="7" t="s">
        <v>86</v>
      </c>
      <c r="C316" s="8" t="str">
        <f>"何海槟"</f>
        <v>何海槟</v>
      </c>
      <c r="D316" s="9" t="s">
        <v>11</v>
      </c>
      <c r="E316" s="8" t="str">
        <f>"440181199704295414"</f>
        <v>440181199704295414</v>
      </c>
      <c r="F316" s="10">
        <v>44082</v>
      </c>
      <c r="G316" s="11" t="s">
        <v>88</v>
      </c>
      <c r="H316" s="11"/>
    </row>
    <row r="317" spans="1:8" ht="14.25" customHeight="1">
      <c r="A317" s="6" t="s">
        <v>39</v>
      </c>
      <c r="B317" s="7" t="s">
        <v>86</v>
      </c>
      <c r="C317" s="8" t="str">
        <f>"黄楚良"</f>
        <v>黄楚良</v>
      </c>
      <c r="D317" s="9" t="s">
        <v>11</v>
      </c>
      <c r="E317" s="8" t="str">
        <f>"440181199612015411"</f>
        <v>440181199612015411</v>
      </c>
      <c r="F317" s="10">
        <v>44082</v>
      </c>
      <c r="G317" s="11" t="s">
        <v>88</v>
      </c>
      <c r="H317" s="11"/>
    </row>
    <row r="318" spans="1:8" ht="14.25" customHeight="1">
      <c r="A318" s="6" t="s">
        <v>40</v>
      </c>
      <c r="B318" s="7" t="s">
        <v>86</v>
      </c>
      <c r="C318" s="8" t="str">
        <f>"梁锦辉"</f>
        <v>梁锦辉</v>
      </c>
      <c r="D318" s="9" t="s">
        <v>11</v>
      </c>
      <c r="E318" s="8" t="str">
        <f>"440181199702071214"</f>
        <v>440181199702071214</v>
      </c>
      <c r="F318" s="10">
        <v>44082</v>
      </c>
      <c r="G318" s="11" t="s">
        <v>88</v>
      </c>
      <c r="H318" s="11"/>
    </row>
    <row r="319" spans="1:8" ht="14.25" customHeight="1">
      <c r="A319" s="6" t="s">
        <v>41</v>
      </c>
      <c r="B319" s="7" t="s">
        <v>86</v>
      </c>
      <c r="C319" s="8" t="str">
        <f>"郭炼"</f>
        <v>郭炼</v>
      </c>
      <c r="D319" s="9" t="s">
        <v>11</v>
      </c>
      <c r="E319" s="8" t="str">
        <f>"440181199802053013"</f>
        <v>440181199802053013</v>
      </c>
      <c r="F319" s="10">
        <v>44082</v>
      </c>
      <c r="G319" s="11" t="s">
        <v>88</v>
      </c>
      <c r="H319" s="11"/>
    </row>
    <row r="320" spans="1:8" ht="14.25" customHeight="1">
      <c r="A320" s="6" t="s">
        <v>42</v>
      </c>
      <c r="B320" s="7" t="s">
        <v>86</v>
      </c>
      <c r="C320" s="8" t="str">
        <f>"郭铭添"</f>
        <v>郭铭添</v>
      </c>
      <c r="D320" s="9" t="s">
        <v>11</v>
      </c>
      <c r="E320" s="8" t="str">
        <f>"440181198810235437"</f>
        <v>440181198810235437</v>
      </c>
      <c r="F320" s="10">
        <v>44082</v>
      </c>
      <c r="G320" s="11" t="s">
        <v>88</v>
      </c>
      <c r="H320" s="11"/>
    </row>
    <row r="321" spans="1:8" ht="14.25" customHeight="1">
      <c r="A321" s="6" t="s">
        <v>43</v>
      </c>
      <c r="B321" s="7" t="s">
        <v>86</v>
      </c>
      <c r="C321" s="8" t="str">
        <f>"李敬池"</f>
        <v>李敬池</v>
      </c>
      <c r="D321" s="9" t="s">
        <v>11</v>
      </c>
      <c r="E321" s="8" t="str">
        <f>"44018119920203541X"</f>
        <v>44018119920203541X</v>
      </c>
      <c r="F321" s="10">
        <v>44082</v>
      </c>
      <c r="G321" s="11" t="s">
        <v>88</v>
      </c>
      <c r="H321" s="11"/>
    </row>
    <row r="322" spans="1:8" ht="14.25" customHeight="1">
      <c r="A322" s="6" t="s">
        <v>44</v>
      </c>
      <c r="B322" s="7" t="s">
        <v>86</v>
      </c>
      <c r="C322" s="8" t="str">
        <f>"李信威"</f>
        <v>李信威</v>
      </c>
      <c r="D322" s="9" t="s">
        <v>11</v>
      </c>
      <c r="E322" s="8" t="str">
        <f>"44018119890219541X"</f>
        <v>44018119890219541X</v>
      </c>
      <c r="F322" s="10">
        <v>44082</v>
      </c>
      <c r="G322" s="11" t="s">
        <v>88</v>
      </c>
      <c r="H322" s="11"/>
    </row>
    <row r="323" spans="1:8" ht="14.25" customHeight="1">
      <c r="A323" s="6" t="s">
        <v>45</v>
      </c>
      <c r="B323" s="7" t="s">
        <v>86</v>
      </c>
      <c r="C323" s="8" t="str">
        <f>"梁振华"</f>
        <v>梁振华</v>
      </c>
      <c r="D323" s="9" t="s">
        <v>11</v>
      </c>
      <c r="E323" s="8" t="str">
        <f>"440181199101181514"</f>
        <v>440181199101181514</v>
      </c>
      <c r="F323" s="10">
        <v>44082</v>
      </c>
      <c r="G323" s="11" t="s">
        <v>88</v>
      </c>
      <c r="H323" s="11"/>
    </row>
    <row r="324" spans="1:8" ht="14.25" customHeight="1">
      <c r="A324" s="6" t="s">
        <v>46</v>
      </c>
      <c r="B324" s="7" t="s">
        <v>86</v>
      </c>
      <c r="C324" s="8" t="str">
        <f>"邓炬添"</f>
        <v>邓炬添</v>
      </c>
      <c r="D324" s="9" t="s">
        <v>11</v>
      </c>
      <c r="E324" s="8" t="str">
        <f>"440181199411015431"</f>
        <v>440181199411015431</v>
      </c>
      <c r="F324" s="10">
        <v>44082</v>
      </c>
      <c r="G324" s="11" t="s">
        <v>88</v>
      </c>
      <c r="H324" s="11"/>
    </row>
    <row r="325" spans="1:8" ht="14.25" customHeight="1">
      <c r="A325" s="6" t="s">
        <v>47</v>
      </c>
      <c r="B325" s="7" t="s">
        <v>86</v>
      </c>
      <c r="C325" s="8" t="str">
        <f>"余益波"</f>
        <v>余益波</v>
      </c>
      <c r="D325" s="9" t="s">
        <v>11</v>
      </c>
      <c r="E325" s="8" t="str">
        <f>"432502199001045116"</f>
        <v>432502199001045116</v>
      </c>
      <c r="F325" s="10">
        <v>44082</v>
      </c>
      <c r="G325" s="11" t="s">
        <v>88</v>
      </c>
      <c r="H325" s="11"/>
    </row>
    <row r="326" spans="1:8" ht="14.25" customHeight="1">
      <c r="A326" s="6" t="s">
        <v>48</v>
      </c>
      <c r="B326" s="7" t="s">
        <v>86</v>
      </c>
      <c r="C326" s="8" t="str">
        <f>"周海锋"</f>
        <v>周海锋</v>
      </c>
      <c r="D326" s="9" t="s">
        <v>11</v>
      </c>
      <c r="E326" s="8" t="str">
        <f>"440181199408032732"</f>
        <v>440181199408032732</v>
      </c>
      <c r="F326" s="10">
        <v>44082</v>
      </c>
      <c r="G326" s="11" t="s">
        <v>88</v>
      </c>
      <c r="H326" s="11"/>
    </row>
    <row r="327" spans="1:8" ht="14.25" customHeight="1">
      <c r="A327" s="6" t="s">
        <v>49</v>
      </c>
      <c r="B327" s="7" t="s">
        <v>86</v>
      </c>
      <c r="C327" s="8" t="str">
        <f>"陈健华"</f>
        <v>陈健华</v>
      </c>
      <c r="D327" s="9" t="s">
        <v>11</v>
      </c>
      <c r="E327" s="8" t="str">
        <f>"440181199312254234"</f>
        <v>440181199312254234</v>
      </c>
      <c r="F327" s="10">
        <v>44082</v>
      </c>
      <c r="G327" s="11" t="s">
        <v>88</v>
      </c>
      <c r="H327" s="11"/>
    </row>
    <row r="328" spans="1:8" ht="14.25" customHeight="1">
      <c r="A328" s="6" t="s">
        <v>50</v>
      </c>
      <c r="B328" s="7" t="s">
        <v>86</v>
      </c>
      <c r="C328" s="8" t="str">
        <f>"孙俊杰"</f>
        <v>孙俊杰</v>
      </c>
      <c r="D328" s="9" t="s">
        <v>11</v>
      </c>
      <c r="E328" s="8" t="str">
        <f>"440883199705070015"</f>
        <v>440883199705070015</v>
      </c>
      <c r="F328" s="10">
        <v>44082</v>
      </c>
      <c r="G328" s="11" t="s">
        <v>88</v>
      </c>
      <c r="H328" s="11"/>
    </row>
    <row r="329" spans="1:8" ht="14.25" customHeight="1">
      <c r="A329" s="6" t="s">
        <v>51</v>
      </c>
      <c r="B329" s="7" t="s">
        <v>86</v>
      </c>
      <c r="C329" s="8" t="str">
        <f>"庞宇"</f>
        <v>庞宇</v>
      </c>
      <c r="D329" s="9" t="s">
        <v>11</v>
      </c>
      <c r="E329" s="8" t="str">
        <f>"440106198705270054"</f>
        <v>440106198705270054</v>
      </c>
      <c r="F329" s="10">
        <v>44082</v>
      </c>
      <c r="G329" s="11" t="s">
        <v>88</v>
      </c>
      <c r="H329" s="11"/>
    </row>
    <row r="330" spans="1:8" ht="14.25" customHeight="1">
      <c r="A330" s="6" t="s">
        <v>52</v>
      </c>
      <c r="B330" s="7" t="s">
        <v>86</v>
      </c>
      <c r="C330" s="8" t="str">
        <f>"郭泽彬"</f>
        <v>郭泽彬</v>
      </c>
      <c r="D330" s="9" t="s">
        <v>11</v>
      </c>
      <c r="E330" s="8" t="str">
        <f>"44018119880619429X"</f>
        <v>44018119880619429X</v>
      </c>
      <c r="F330" s="10">
        <v>44082</v>
      </c>
      <c r="G330" s="11" t="s">
        <v>88</v>
      </c>
      <c r="H330" s="11"/>
    </row>
    <row r="331" spans="1:8" ht="14.25" customHeight="1">
      <c r="A331" s="6" t="s">
        <v>53</v>
      </c>
      <c r="B331" s="7" t="s">
        <v>86</v>
      </c>
      <c r="C331" s="8" t="str">
        <f>"邵嗣琦"</f>
        <v>邵嗣琦</v>
      </c>
      <c r="D331" s="9" t="s">
        <v>11</v>
      </c>
      <c r="E331" s="8" t="str">
        <f>"140411199201054834"</f>
        <v>140411199201054834</v>
      </c>
      <c r="F331" s="10">
        <v>44082</v>
      </c>
      <c r="G331" s="11" t="s">
        <v>88</v>
      </c>
      <c r="H331" s="11"/>
    </row>
    <row r="332" spans="1:8" ht="14.25" customHeight="1">
      <c r="A332" s="6" t="s">
        <v>54</v>
      </c>
      <c r="B332" s="7" t="s">
        <v>86</v>
      </c>
      <c r="C332" s="8" t="str">
        <f>"区炳满"</f>
        <v>区炳满</v>
      </c>
      <c r="D332" s="9" t="s">
        <v>11</v>
      </c>
      <c r="E332" s="8" t="str">
        <f>"440181198810045430"</f>
        <v>440181198810045430</v>
      </c>
      <c r="F332" s="10">
        <v>44082</v>
      </c>
      <c r="G332" s="11" t="s">
        <v>88</v>
      </c>
      <c r="H332" s="11"/>
    </row>
    <row r="333" spans="1:8" ht="14.25" customHeight="1">
      <c r="A333" s="6" t="s">
        <v>55</v>
      </c>
      <c r="B333" s="7" t="s">
        <v>86</v>
      </c>
      <c r="C333" s="8" t="str">
        <f>"胡健文"</f>
        <v>胡健文</v>
      </c>
      <c r="D333" s="9" t="s">
        <v>11</v>
      </c>
      <c r="E333" s="8" t="str">
        <f>"440181198709114235"</f>
        <v>440181198709114235</v>
      </c>
      <c r="F333" s="10">
        <v>44082</v>
      </c>
      <c r="G333" s="11" t="s">
        <v>88</v>
      </c>
      <c r="H333" s="11"/>
    </row>
    <row r="334" spans="1:8" s="1" customFormat="1" ht="14.25" customHeight="1">
      <c r="A334" s="6" t="s">
        <v>56</v>
      </c>
      <c r="B334" s="7" t="s">
        <v>86</v>
      </c>
      <c r="C334" s="8" t="str">
        <f>"苏敏玲"</f>
        <v>苏敏玲</v>
      </c>
      <c r="D334" s="9" t="s">
        <v>84</v>
      </c>
      <c r="E334" s="8" t="str">
        <f>"44018119990816124X"</f>
        <v>44018119990816124X</v>
      </c>
      <c r="F334" s="10">
        <v>44082</v>
      </c>
      <c r="G334" s="11" t="s">
        <v>88</v>
      </c>
      <c r="H334" s="11"/>
    </row>
    <row r="335" spans="1:8" s="1" customFormat="1" ht="14.25" customHeight="1">
      <c r="A335" s="6" t="s">
        <v>57</v>
      </c>
      <c r="B335" s="7" t="s">
        <v>86</v>
      </c>
      <c r="C335" s="8" t="str">
        <f>"黄雅文"</f>
        <v>黄雅文</v>
      </c>
      <c r="D335" s="9" t="s">
        <v>84</v>
      </c>
      <c r="E335" s="8" t="str">
        <f>"440181199412267868"</f>
        <v>440181199412267868</v>
      </c>
      <c r="F335" s="10">
        <v>44082</v>
      </c>
      <c r="G335" s="11" t="s">
        <v>88</v>
      </c>
      <c r="H335" s="11"/>
    </row>
    <row r="336" spans="1:8" s="1" customFormat="1" ht="14.25" customHeight="1">
      <c r="A336" s="6" t="s">
        <v>58</v>
      </c>
      <c r="B336" s="7" t="s">
        <v>86</v>
      </c>
      <c r="C336" s="8" t="str">
        <f>"何绮君"</f>
        <v>何绮君</v>
      </c>
      <c r="D336" s="9" t="s">
        <v>84</v>
      </c>
      <c r="E336" s="8" t="str">
        <f>"440181199311170645"</f>
        <v>440181199311170645</v>
      </c>
      <c r="F336" s="10">
        <v>44082</v>
      </c>
      <c r="G336" s="11" t="s">
        <v>88</v>
      </c>
      <c r="H336" s="11"/>
    </row>
    <row r="337" spans="1:8" s="1" customFormat="1" ht="14.25" customHeight="1">
      <c r="A337" s="6" t="s">
        <v>59</v>
      </c>
      <c r="B337" s="7" t="s">
        <v>86</v>
      </c>
      <c r="C337" s="8" t="str">
        <f>"黄敏华"</f>
        <v>黄敏华</v>
      </c>
      <c r="D337" s="9" t="s">
        <v>84</v>
      </c>
      <c r="E337" s="8" t="str">
        <f>"440181199109101523"</f>
        <v>440181199109101523</v>
      </c>
      <c r="F337" s="10">
        <v>44082</v>
      </c>
      <c r="G337" s="11" t="s">
        <v>88</v>
      </c>
      <c r="H337" s="11"/>
    </row>
    <row r="338" spans="1:8" s="1" customFormat="1" ht="14.25" customHeight="1">
      <c r="A338" s="6" t="s">
        <v>60</v>
      </c>
      <c r="B338" s="7" t="s">
        <v>86</v>
      </c>
      <c r="C338" s="8" t="str">
        <f>"龙俪丹"</f>
        <v>龙俪丹</v>
      </c>
      <c r="D338" s="9" t="s">
        <v>84</v>
      </c>
      <c r="E338" s="8" t="str">
        <f>"452122198701121020"</f>
        <v>452122198701121020</v>
      </c>
      <c r="F338" s="10">
        <v>44082</v>
      </c>
      <c r="G338" s="11" t="s">
        <v>88</v>
      </c>
      <c r="H338" s="11"/>
    </row>
    <row r="339" spans="1:8" s="1" customFormat="1" ht="14.25" customHeight="1">
      <c r="A339" s="6" t="s">
        <v>61</v>
      </c>
      <c r="B339" s="7" t="s">
        <v>86</v>
      </c>
      <c r="C339" s="8" t="str">
        <f>"张敏仪"</f>
        <v>张敏仪</v>
      </c>
      <c r="D339" s="9" t="s">
        <v>84</v>
      </c>
      <c r="E339" s="8" t="str">
        <f>"44018119951015332X"</f>
        <v>44018119951015332X</v>
      </c>
      <c r="F339" s="10">
        <v>44082</v>
      </c>
      <c r="G339" s="11" t="s">
        <v>88</v>
      </c>
      <c r="H339" s="11"/>
    </row>
    <row r="340" spans="1:8" s="1" customFormat="1" ht="14.25" customHeight="1">
      <c r="A340" s="6" t="s">
        <v>62</v>
      </c>
      <c r="B340" s="7" t="s">
        <v>86</v>
      </c>
      <c r="C340" s="8" t="str">
        <f>"张静"</f>
        <v>张静</v>
      </c>
      <c r="D340" s="9" t="s">
        <v>84</v>
      </c>
      <c r="E340" s="8" t="str">
        <f>"362201198906020460"</f>
        <v>362201198906020460</v>
      </c>
      <c r="F340" s="10">
        <v>44082</v>
      </c>
      <c r="G340" s="11" t="s">
        <v>88</v>
      </c>
      <c r="H340" s="11"/>
    </row>
    <row r="341" spans="1:8" s="1" customFormat="1" ht="14.25" customHeight="1">
      <c r="A341" s="6" t="s">
        <v>63</v>
      </c>
      <c r="B341" s="7" t="s">
        <v>86</v>
      </c>
      <c r="C341" s="8" t="str">
        <f>"黄燕群"</f>
        <v>黄燕群</v>
      </c>
      <c r="D341" s="9" t="s">
        <v>84</v>
      </c>
      <c r="E341" s="8" t="str">
        <f>"440921199608217448"</f>
        <v>440921199608217448</v>
      </c>
      <c r="F341" s="10">
        <v>44082</v>
      </c>
      <c r="G341" s="11" t="s">
        <v>88</v>
      </c>
      <c r="H341" s="11"/>
    </row>
    <row r="342" spans="1:8" s="1" customFormat="1" ht="14.25" customHeight="1">
      <c r="A342" s="6" t="s">
        <v>64</v>
      </c>
      <c r="B342" s="7" t="s">
        <v>86</v>
      </c>
      <c r="C342" s="8" t="str">
        <f>"梁国妃"</f>
        <v>梁国妃</v>
      </c>
      <c r="D342" s="9" t="s">
        <v>84</v>
      </c>
      <c r="E342" s="8" t="str">
        <f>"440883199503061145"</f>
        <v>440883199503061145</v>
      </c>
      <c r="F342" s="10">
        <v>44082</v>
      </c>
      <c r="G342" s="11" t="s">
        <v>88</v>
      </c>
      <c r="H342" s="11"/>
    </row>
    <row r="343" spans="1:8" s="1" customFormat="1" ht="14.25" customHeight="1">
      <c r="A343" s="6" t="s">
        <v>65</v>
      </c>
      <c r="B343" s="7" t="s">
        <v>86</v>
      </c>
      <c r="C343" s="8" t="str">
        <f>"关杰允"</f>
        <v>关杰允</v>
      </c>
      <c r="D343" s="9" t="s">
        <v>84</v>
      </c>
      <c r="E343" s="8" t="str">
        <f>"44010520010412424X"</f>
        <v>44010520010412424X</v>
      </c>
      <c r="F343" s="10">
        <v>44082</v>
      </c>
      <c r="G343" s="11" t="s">
        <v>88</v>
      </c>
      <c r="H343" s="11"/>
    </row>
    <row r="344" spans="1:8" s="1" customFormat="1" ht="14.25" customHeight="1">
      <c r="A344" s="6" t="s">
        <v>66</v>
      </c>
      <c r="B344" s="7" t="s">
        <v>86</v>
      </c>
      <c r="C344" s="8" t="str">
        <f>"黎颖思"</f>
        <v>黎颖思</v>
      </c>
      <c r="D344" s="9" t="s">
        <v>84</v>
      </c>
      <c r="E344" s="8" t="str">
        <f>"440181198907206325"</f>
        <v>440181198907206325</v>
      </c>
      <c r="F344" s="10">
        <v>44082</v>
      </c>
      <c r="G344" s="11" t="s">
        <v>88</v>
      </c>
      <c r="H344" s="11"/>
    </row>
    <row r="345" spans="1:8" s="1" customFormat="1" ht="14.25" customHeight="1">
      <c r="A345" s="6" t="s">
        <v>67</v>
      </c>
      <c r="B345" s="7" t="s">
        <v>86</v>
      </c>
      <c r="C345" s="8" t="str">
        <f>"张瑜欣"</f>
        <v>张瑜欣</v>
      </c>
      <c r="D345" s="9" t="s">
        <v>84</v>
      </c>
      <c r="E345" s="8" t="str">
        <f>"44522219991107434X"</f>
        <v>44522219991107434X</v>
      </c>
      <c r="F345" s="10">
        <v>44082</v>
      </c>
      <c r="G345" s="11" t="s">
        <v>88</v>
      </c>
      <c r="H345" s="11"/>
    </row>
    <row r="346" spans="1:8" s="1" customFormat="1" ht="14.25" customHeight="1">
      <c r="A346" s="6" t="s">
        <v>68</v>
      </c>
      <c r="B346" s="7" t="s">
        <v>86</v>
      </c>
      <c r="C346" s="8" t="str">
        <f>"刘鑫丽"</f>
        <v>刘鑫丽</v>
      </c>
      <c r="D346" s="9" t="s">
        <v>84</v>
      </c>
      <c r="E346" s="8" t="str">
        <f>"445122199801083223"</f>
        <v>445122199801083223</v>
      </c>
      <c r="F346" s="10">
        <v>44082</v>
      </c>
      <c r="G346" s="11" t="s">
        <v>88</v>
      </c>
      <c r="H346" s="11"/>
    </row>
    <row r="347" spans="1:8" s="1" customFormat="1" ht="14.25" customHeight="1">
      <c r="A347" s="6" t="s">
        <v>69</v>
      </c>
      <c r="B347" s="7" t="s">
        <v>86</v>
      </c>
      <c r="C347" s="8" t="str">
        <f>"罗紫琪"</f>
        <v>罗紫琪</v>
      </c>
      <c r="D347" s="9" t="s">
        <v>84</v>
      </c>
      <c r="E347" s="8" t="str">
        <f>"44060220000525002X"</f>
        <v>44060220000525002X</v>
      </c>
      <c r="F347" s="10">
        <v>44082</v>
      </c>
      <c r="G347" s="11" t="s">
        <v>88</v>
      </c>
      <c r="H347" s="11"/>
    </row>
    <row r="348" spans="1:8" s="1" customFormat="1" ht="14.25" customHeight="1">
      <c r="A348" s="6" t="s">
        <v>70</v>
      </c>
      <c r="B348" s="7" t="s">
        <v>86</v>
      </c>
      <c r="C348" s="8" t="str">
        <f>"陈汝鸣"</f>
        <v>陈汝鸣</v>
      </c>
      <c r="D348" s="9" t="s">
        <v>84</v>
      </c>
      <c r="E348" s="8" t="str">
        <f>"440181200006103628"</f>
        <v>440181200006103628</v>
      </c>
      <c r="F348" s="10">
        <v>44082</v>
      </c>
      <c r="G348" s="11" t="s">
        <v>88</v>
      </c>
      <c r="H348" s="11"/>
    </row>
    <row r="349" spans="1:8" s="1" customFormat="1" ht="14.25" customHeight="1">
      <c r="A349" s="6" t="s">
        <v>71</v>
      </c>
      <c r="B349" s="7" t="s">
        <v>86</v>
      </c>
      <c r="C349" s="8" t="str">
        <f>"苏慧怡"</f>
        <v>苏慧怡</v>
      </c>
      <c r="D349" s="9" t="s">
        <v>84</v>
      </c>
      <c r="E349" s="8" t="str">
        <f>"440181199408045445"</f>
        <v>440181199408045445</v>
      </c>
      <c r="F349" s="10">
        <v>44082</v>
      </c>
      <c r="G349" s="11" t="s">
        <v>88</v>
      </c>
      <c r="H349" s="11"/>
    </row>
    <row r="350" spans="1:8" ht="14.25" customHeight="1">
      <c r="A350" s="6" t="s">
        <v>72</v>
      </c>
      <c r="B350" s="7" t="s">
        <v>86</v>
      </c>
      <c r="C350" s="8" t="str">
        <f>"何锦莹"</f>
        <v>何锦莹</v>
      </c>
      <c r="D350" s="9" t="s">
        <v>84</v>
      </c>
      <c r="E350" s="8" t="str">
        <f>"44018119910729064X"</f>
        <v>44018119910729064X</v>
      </c>
      <c r="F350" s="10">
        <v>44082</v>
      </c>
      <c r="G350" s="11" t="s">
        <v>88</v>
      </c>
      <c r="H350" s="11"/>
    </row>
    <row r="351" spans="1:8" s="1" customFormat="1" ht="14.25" customHeight="1">
      <c r="A351" s="6" t="s">
        <v>73</v>
      </c>
      <c r="B351" s="7" t="s">
        <v>86</v>
      </c>
      <c r="C351" s="8" t="str">
        <f>"陈凯欣"</f>
        <v>陈凯欣</v>
      </c>
      <c r="D351" s="9" t="s">
        <v>84</v>
      </c>
      <c r="E351" s="8" t="str">
        <f>"440181199410070623"</f>
        <v>440181199410070623</v>
      </c>
      <c r="F351" s="10">
        <v>44082</v>
      </c>
      <c r="G351" s="11" t="s">
        <v>88</v>
      </c>
      <c r="H351" s="11"/>
    </row>
    <row r="352" spans="1:8" s="1" customFormat="1" ht="14.25" customHeight="1">
      <c r="A352" s="6" t="s">
        <v>74</v>
      </c>
      <c r="B352" s="7" t="s">
        <v>86</v>
      </c>
      <c r="C352" s="8" t="str">
        <f>"刘淑芬"</f>
        <v>刘淑芬</v>
      </c>
      <c r="D352" s="9" t="s">
        <v>84</v>
      </c>
      <c r="E352" s="8" t="str">
        <f>"441623199608040328"</f>
        <v>441623199608040328</v>
      </c>
      <c r="F352" s="10">
        <v>44082</v>
      </c>
      <c r="G352" s="11" t="s">
        <v>88</v>
      </c>
      <c r="H352" s="11"/>
    </row>
    <row r="353" spans="1:8" s="1" customFormat="1" ht="14.25" customHeight="1">
      <c r="A353" s="6" t="s">
        <v>75</v>
      </c>
      <c r="B353" s="7" t="s">
        <v>86</v>
      </c>
      <c r="C353" s="8" t="str">
        <f>"劳芊瑜"</f>
        <v>劳芊瑜</v>
      </c>
      <c r="D353" s="9" t="s">
        <v>84</v>
      </c>
      <c r="E353" s="8" t="str">
        <f>"440181199009304286"</f>
        <v>440181199009304286</v>
      </c>
      <c r="F353" s="10">
        <v>44082</v>
      </c>
      <c r="G353" s="11" t="s">
        <v>88</v>
      </c>
      <c r="H353" s="11"/>
    </row>
    <row r="354" spans="1:8" s="1" customFormat="1" ht="14.25" customHeight="1">
      <c r="A354" s="6" t="s">
        <v>76</v>
      </c>
      <c r="B354" s="7" t="s">
        <v>86</v>
      </c>
      <c r="C354" s="8" t="str">
        <f>"魏宝妮"</f>
        <v>魏宝妮</v>
      </c>
      <c r="D354" s="9" t="s">
        <v>84</v>
      </c>
      <c r="E354" s="8" t="str">
        <f>"441521199010088222"</f>
        <v>441521199010088222</v>
      </c>
      <c r="F354" s="10">
        <v>44082</v>
      </c>
      <c r="G354" s="11" t="s">
        <v>88</v>
      </c>
      <c r="H354" s="11"/>
    </row>
    <row r="355" spans="1:8" s="1" customFormat="1" ht="14.25" customHeight="1">
      <c r="A355" s="6" t="s">
        <v>77</v>
      </c>
      <c r="B355" s="7" t="s">
        <v>86</v>
      </c>
      <c r="C355" s="8" t="str">
        <f>"易鑫源"</f>
        <v>易鑫源</v>
      </c>
      <c r="D355" s="9" t="s">
        <v>84</v>
      </c>
      <c r="E355" s="8" t="str">
        <f>"430221199807162320"</f>
        <v>430221199807162320</v>
      </c>
      <c r="F355" s="10">
        <v>44082</v>
      </c>
      <c r="G355" s="11" t="s">
        <v>88</v>
      </c>
      <c r="H355" s="11"/>
    </row>
    <row r="356" spans="1:8" s="1" customFormat="1" ht="14.25" customHeight="1">
      <c r="A356" s="6" t="s">
        <v>78</v>
      </c>
      <c r="B356" s="7" t="s">
        <v>86</v>
      </c>
      <c r="C356" s="8" t="str">
        <f>"梁碧莹"</f>
        <v>梁碧莹</v>
      </c>
      <c r="D356" s="9" t="s">
        <v>84</v>
      </c>
      <c r="E356" s="8" t="str">
        <f>"440181199403071548"</f>
        <v>440181199403071548</v>
      </c>
      <c r="F356" s="10">
        <v>44082</v>
      </c>
      <c r="G356" s="11" t="s">
        <v>88</v>
      </c>
      <c r="H356" s="11"/>
    </row>
    <row r="357" spans="1:8" s="1" customFormat="1" ht="14.25" customHeight="1">
      <c r="A357" s="6" t="s">
        <v>79</v>
      </c>
      <c r="B357" s="7" t="s">
        <v>86</v>
      </c>
      <c r="C357" s="8" t="str">
        <f>"李连凤"</f>
        <v>李连凤</v>
      </c>
      <c r="D357" s="9" t="s">
        <v>84</v>
      </c>
      <c r="E357" s="8" t="str">
        <f>"450881198807231187"</f>
        <v>450881198807231187</v>
      </c>
      <c r="F357" s="10">
        <v>44082</v>
      </c>
      <c r="G357" s="11" t="s">
        <v>88</v>
      </c>
      <c r="H357" s="11"/>
    </row>
    <row r="358" spans="1:8" s="1" customFormat="1" ht="14.25" customHeight="1">
      <c r="A358" s="6" t="s">
        <v>80</v>
      </c>
      <c r="B358" s="7" t="s">
        <v>86</v>
      </c>
      <c r="C358" s="8" t="str">
        <f>"姚瑶"</f>
        <v>姚瑶</v>
      </c>
      <c r="D358" s="9" t="s">
        <v>84</v>
      </c>
      <c r="E358" s="8" t="str">
        <f>"440181199109098141"</f>
        <v>440181199109098141</v>
      </c>
      <c r="F358" s="10">
        <v>44082</v>
      </c>
      <c r="G358" s="11" t="s">
        <v>88</v>
      </c>
      <c r="H358" s="11"/>
    </row>
    <row r="359" spans="1:8" ht="22.5">
      <c r="A359" s="3" t="s">
        <v>89</v>
      </c>
      <c r="B359" s="3"/>
      <c r="C359" s="3"/>
      <c r="D359" s="3"/>
      <c r="E359" s="3"/>
      <c r="F359" s="3"/>
      <c r="G359" s="3"/>
      <c r="H359" s="3"/>
    </row>
    <row r="360" spans="1:8" ht="37.5">
      <c r="A360" s="4" t="s">
        <v>2</v>
      </c>
      <c r="B360" s="4" t="s">
        <v>3</v>
      </c>
      <c r="C360" s="5" t="s">
        <v>4</v>
      </c>
      <c r="D360" s="5" t="s">
        <v>5</v>
      </c>
      <c r="E360" s="5" t="s">
        <v>6</v>
      </c>
      <c r="F360" s="4" t="s">
        <v>7</v>
      </c>
      <c r="G360" s="4" t="s">
        <v>8</v>
      </c>
      <c r="H360" s="4" t="s">
        <v>9</v>
      </c>
    </row>
    <row r="361" spans="1:8" ht="14.25" customHeight="1">
      <c r="A361" s="6" t="s">
        <v>10</v>
      </c>
      <c r="B361" s="7" t="s">
        <v>86</v>
      </c>
      <c r="C361" s="8" t="str">
        <f>"孔银波"</f>
        <v>孔银波</v>
      </c>
      <c r="D361" s="13" t="s">
        <v>84</v>
      </c>
      <c r="E361" s="8" t="str">
        <f>"440181198802205422"</f>
        <v>440181198802205422</v>
      </c>
      <c r="F361" s="10">
        <v>44082</v>
      </c>
      <c r="G361" s="11" t="s">
        <v>88</v>
      </c>
      <c r="H361" s="12"/>
    </row>
    <row r="362" spans="1:8" ht="14.25" customHeight="1">
      <c r="A362" s="6" t="s">
        <v>13</v>
      </c>
      <c r="B362" s="7" t="s">
        <v>86</v>
      </c>
      <c r="C362" s="8" t="str">
        <f>"梁嘉埼"</f>
        <v>梁嘉埼</v>
      </c>
      <c r="D362" s="13" t="s">
        <v>84</v>
      </c>
      <c r="E362" s="8" t="str">
        <f>"440184199603040665"</f>
        <v>440184199603040665</v>
      </c>
      <c r="F362" s="10">
        <v>44082</v>
      </c>
      <c r="G362" s="11" t="s">
        <v>88</v>
      </c>
      <c r="H362" s="12"/>
    </row>
    <row r="363" spans="1:8" ht="14.25" customHeight="1">
      <c r="A363" s="6" t="s">
        <v>14</v>
      </c>
      <c r="B363" s="7" t="s">
        <v>86</v>
      </c>
      <c r="C363" s="8" t="str">
        <f>"赖洁玲"</f>
        <v>赖洁玲</v>
      </c>
      <c r="D363" s="13" t="s">
        <v>84</v>
      </c>
      <c r="E363" s="8" t="str">
        <f>"44512119990808342X"</f>
        <v>44512119990808342X</v>
      </c>
      <c r="F363" s="10">
        <v>44082</v>
      </c>
      <c r="G363" s="11" t="s">
        <v>88</v>
      </c>
      <c r="H363" s="12"/>
    </row>
    <row r="364" spans="1:8" ht="14.25" customHeight="1">
      <c r="A364" s="6" t="s">
        <v>15</v>
      </c>
      <c r="B364" s="7" t="s">
        <v>86</v>
      </c>
      <c r="C364" s="8" t="str">
        <f>"高嘉浠"</f>
        <v>高嘉浠</v>
      </c>
      <c r="D364" s="13" t="s">
        <v>84</v>
      </c>
      <c r="E364" s="8" t="str">
        <f>"440181199909205128"</f>
        <v>440181199909205128</v>
      </c>
      <c r="F364" s="10">
        <v>44082</v>
      </c>
      <c r="G364" s="11" t="s">
        <v>88</v>
      </c>
      <c r="H364" s="12"/>
    </row>
    <row r="365" spans="1:8" ht="14.25" customHeight="1">
      <c r="A365" s="6" t="s">
        <v>16</v>
      </c>
      <c r="B365" s="7" t="s">
        <v>86</v>
      </c>
      <c r="C365" s="8" t="str">
        <f>"杨银清"</f>
        <v>杨银清</v>
      </c>
      <c r="D365" s="13" t="s">
        <v>84</v>
      </c>
      <c r="E365" s="8" t="str">
        <f>"440923199704047744"</f>
        <v>440923199704047744</v>
      </c>
      <c r="F365" s="10">
        <v>44082</v>
      </c>
      <c r="G365" s="11" t="s">
        <v>88</v>
      </c>
      <c r="H365" s="12"/>
    </row>
    <row r="366" spans="1:8" ht="14.25" customHeight="1">
      <c r="A366" s="6" t="s">
        <v>17</v>
      </c>
      <c r="B366" s="7" t="s">
        <v>86</v>
      </c>
      <c r="C366" s="8" t="str">
        <f>"樊楚焮"</f>
        <v>樊楚焮</v>
      </c>
      <c r="D366" s="13" t="s">
        <v>84</v>
      </c>
      <c r="E366" s="8" t="str">
        <f>"440181199812111547"</f>
        <v>440181199812111547</v>
      </c>
      <c r="F366" s="10">
        <v>44082</v>
      </c>
      <c r="G366" s="11" t="s">
        <v>88</v>
      </c>
      <c r="H366" s="12"/>
    </row>
    <row r="367" spans="1:8" ht="14.25" customHeight="1">
      <c r="A367" s="6" t="s">
        <v>18</v>
      </c>
      <c r="B367" s="7" t="s">
        <v>86</v>
      </c>
      <c r="C367" s="8" t="str">
        <f>"陈婉棋"</f>
        <v>陈婉棋</v>
      </c>
      <c r="D367" s="13" t="s">
        <v>84</v>
      </c>
      <c r="E367" s="8" t="str">
        <f>"440181199304220923"</f>
        <v>440181199304220923</v>
      </c>
      <c r="F367" s="10">
        <v>44082</v>
      </c>
      <c r="G367" s="11" t="s">
        <v>88</v>
      </c>
      <c r="H367" s="12"/>
    </row>
    <row r="368" spans="1:8" ht="14.25" customHeight="1">
      <c r="A368" s="6" t="s">
        <v>19</v>
      </c>
      <c r="B368" s="7" t="s">
        <v>86</v>
      </c>
      <c r="C368" s="8" t="str">
        <f>"黄敏键"</f>
        <v>黄敏键</v>
      </c>
      <c r="D368" s="13" t="s">
        <v>84</v>
      </c>
      <c r="E368" s="8" t="str">
        <f>"440181199412044242"</f>
        <v>440181199412044242</v>
      </c>
      <c r="F368" s="10">
        <v>44082</v>
      </c>
      <c r="G368" s="11" t="s">
        <v>88</v>
      </c>
      <c r="H368" s="12"/>
    </row>
    <row r="369" spans="1:8" ht="14.25" customHeight="1">
      <c r="A369" s="6" t="s">
        <v>20</v>
      </c>
      <c r="B369" s="7" t="s">
        <v>86</v>
      </c>
      <c r="C369" s="8" t="str">
        <f>"林晓"</f>
        <v>林晓</v>
      </c>
      <c r="D369" s="13" t="s">
        <v>84</v>
      </c>
      <c r="E369" s="8" t="str">
        <f>"440982199012062564"</f>
        <v>440982199012062564</v>
      </c>
      <c r="F369" s="10">
        <v>44082</v>
      </c>
      <c r="G369" s="11" t="s">
        <v>88</v>
      </c>
      <c r="H369" s="12"/>
    </row>
    <row r="370" spans="1:8" ht="14.25" customHeight="1">
      <c r="A370" s="6" t="s">
        <v>21</v>
      </c>
      <c r="B370" s="7" t="s">
        <v>86</v>
      </c>
      <c r="C370" s="8" t="str">
        <f>"赖宛婷"</f>
        <v>赖宛婷</v>
      </c>
      <c r="D370" s="13" t="s">
        <v>84</v>
      </c>
      <c r="E370" s="8" t="str">
        <f>"445281199710104426"</f>
        <v>445281199710104426</v>
      </c>
      <c r="F370" s="10">
        <v>44082</v>
      </c>
      <c r="G370" s="11" t="s">
        <v>88</v>
      </c>
      <c r="H370" s="12"/>
    </row>
    <row r="371" spans="1:8" ht="14.25" customHeight="1">
      <c r="A371" s="6" t="s">
        <v>22</v>
      </c>
      <c r="B371" s="7" t="s">
        <v>86</v>
      </c>
      <c r="C371" s="8" t="str">
        <f>"梁彩铃"</f>
        <v>梁彩铃</v>
      </c>
      <c r="D371" s="13" t="s">
        <v>84</v>
      </c>
      <c r="E371" s="8" t="str">
        <f>"44018119971231542X"</f>
        <v>44018119971231542X</v>
      </c>
      <c r="F371" s="10">
        <v>44082</v>
      </c>
      <c r="G371" s="11" t="s">
        <v>88</v>
      </c>
      <c r="H371" s="12"/>
    </row>
    <row r="372" spans="1:8" ht="14.25" customHeight="1">
      <c r="A372" s="6" t="s">
        <v>23</v>
      </c>
      <c r="B372" s="7" t="s">
        <v>86</v>
      </c>
      <c r="C372" s="8" t="str">
        <f>"苏子夏"</f>
        <v>苏子夏</v>
      </c>
      <c r="D372" s="13" t="s">
        <v>84</v>
      </c>
      <c r="E372" s="8" t="str">
        <f>"450821199311100026"</f>
        <v>450821199311100026</v>
      </c>
      <c r="F372" s="10">
        <v>44082</v>
      </c>
      <c r="G372" s="11" t="s">
        <v>88</v>
      </c>
      <c r="H372" s="12"/>
    </row>
    <row r="373" spans="1:8" ht="14.25" customHeight="1">
      <c r="A373" s="6" t="s">
        <v>24</v>
      </c>
      <c r="B373" s="7" t="s">
        <v>86</v>
      </c>
      <c r="C373" s="8" t="str">
        <f>"林彩云"</f>
        <v>林彩云</v>
      </c>
      <c r="D373" s="13" t="s">
        <v>84</v>
      </c>
      <c r="E373" s="8" t="str">
        <f>"441203199007130021"</f>
        <v>441203199007130021</v>
      </c>
      <c r="F373" s="10">
        <v>44082</v>
      </c>
      <c r="G373" s="11" t="s">
        <v>88</v>
      </c>
      <c r="H373" s="12"/>
    </row>
    <row r="374" spans="1:8" ht="14.25" customHeight="1">
      <c r="A374" s="6" t="s">
        <v>25</v>
      </c>
      <c r="B374" s="7" t="s">
        <v>86</v>
      </c>
      <c r="C374" s="8" t="str">
        <f>"胡珊"</f>
        <v>胡珊</v>
      </c>
      <c r="D374" s="13" t="s">
        <v>84</v>
      </c>
      <c r="E374" s="8" t="str">
        <f>"362430199901220022"</f>
        <v>362430199901220022</v>
      </c>
      <c r="F374" s="10">
        <v>44082</v>
      </c>
      <c r="G374" s="11" t="s">
        <v>88</v>
      </c>
      <c r="H374" s="11"/>
    </row>
    <row r="375" spans="1:8" ht="14.25" customHeight="1">
      <c r="A375" s="6" t="s">
        <v>26</v>
      </c>
      <c r="B375" s="7" t="s">
        <v>86</v>
      </c>
      <c r="C375" s="8" t="str">
        <f>"冼绮漩"</f>
        <v>冼绮漩</v>
      </c>
      <c r="D375" s="13" t="s">
        <v>84</v>
      </c>
      <c r="E375" s="8" t="str">
        <f>"440181199206055426"</f>
        <v>440181199206055426</v>
      </c>
      <c r="F375" s="10">
        <v>44082</v>
      </c>
      <c r="G375" s="11" t="s">
        <v>88</v>
      </c>
      <c r="H375" s="11"/>
    </row>
    <row r="376" spans="1:8" ht="14.25" customHeight="1">
      <c r="A376" s="6" t="s">
        <v>27</v>
      </c>
      <c r="B376" s="7" t="s">
        <v>86</v>
      </c>
      <c r="C376" s="8" t="str">
        <f>"梁笑畑"</f>
        <v>梁笑畑</v>
      </c>
      <c r="D376" s="13" t="s">
        <v>84</v>
      </c>
      <c r="E376" s="8" t="str">
        <f>"440181199308270928"</f>
        <v>440181199308270928</v>
      </c>
      <c r="F376" s="10">
        <v>44082</v>
      </c>
      <c r="G376" s="11" t="s">
        <v>88</v>
      </c>
      <c r="H376" s="11"/>
    </row>
    <row r="377" spans="1:8" ht="14.25" customHeight="1">
      <c r="A377" s="6" t="s">
        <v>28</v>
      </c>
      <c r="B377" s="7" t="s">
        <v>86</v>
      </c>
      <c r="C377" s="8" t="str">
        <f>"卫碧华"</f>
        <v>卫碧华</v>
      </c>
      <c r="D377" s="13" t="s">
        <v>84</v>
      </c>
      <c r="E377" s="8" t="str">
        <f>"440181199106290023"</f>
        <v>440181199106290023</v>
      </c>
      <c r="F377" s="10">
        <v>44082</v>
      </c>
      <c r="G377" s="11" t="s">
        <v>88</v>
      </c>
      <c r="H377" s="11"/>
    </row>
    <row r="378" spans="1:8" ht="14.25" customHeight="1">
      <c r="A378" s="6" t="s">
        <v>29</v>
      </c>
      <c r="B378" s="7" t="s">
        <v>86</v>
      </c>
      <c r="C378" s="8" t="str">
        <f>"冯楚燕"</f>
        <v>冯楚燕</v>
      </c>
      <c r="D378" s="13" t="s">
        <v>84</v>
      </c>
      <c r="E378" s="8" t="str">
        <f>"440181199907221546"</f>
        <v>440181199907221546</v>
      </c>
      <c r="F378" s="10">
        <v>44082</v>
      </c>
      <c r="G378" s="11" t="s">
        <v>88</v>
      </c>
      <c r="H378" s="11"/>
    </row>
    <row r="379" spans="1:8" ht="14.25" customHeight="1">
      <c r="A379" s="6" t="s">
        <v>30</v>
      </c>
      <c r="B379" s="7" t="s">
        <v>86</v>
      </c>
      <c r="C379" s="8" t="str">
        <f>"周梓烨"</f>
        <v>周梓烨</v>
      </c>
      <c r="D379" s="13" t="s">
        <v>84</v>
      </c>
      <c r="E379" s="8" t="str">
        <f>"440181199311185724"</f>
        <v>440181199311185724</v>
      </c>
      <c r="F379" s="10">
        <v>44082</v>
      </c>
      <c r="G379" s="11" t="s">
        <v>88</v>
      </c>
      <c r="H379" s="11"/>
    </row>
    <row r="380" spans="1:8" ht="14.25" customHeight="1">
      <c r="A380" s="6" t="s">
        <v>31</v>
      </c>
      <c r="B380" s="7" t="s">
        <v>86</v>
      </c>
      <c r="C380" s="8" t="str">
        <f>"胡如意"</f>
        <v>胡如意</v>
      </c>
      <c r="D380" s="13" t="s">
        <v>84</v>
      </c>
      <c r="E380" s="8" t="str">
        <f>"360428199908125841"</f>
        <v>360428199908125841</v>
      </c>
      <c r="F380" s="10">
        <v>44082</v>
      </c>
      <c r="G380" s="11" t="s">
        <v>88</v>
      </c>
      <c r="H380" s="11"/>
    </row>
    <row r="381" spans="1:8" ht="14.25" customHeight="1">
      <c r="A381" s="6" t="s">
        <v>32</v>
      </c>
      <c r="B381" s="7" t="s">
        <v>86</v>
      </c>
      <c r="C381" s="8" t="str">
        <f>"刘竹叶"</f>
        <v>刘竹叶</v>
      </c>
      <c r="D381" s="13" t="s">
        <v>84</v>
      </c>
      <c r="E381" s="8" t="str">
        <f>"430923198804064449"</f>
        <v>430923198804064449</v>
      </c>
      <c r="F381" s="10">
        <v>44082</v>
      </c>
      <c r="G381" s="11" t="s">
        <v>88</v>
      </c>
      <c r="H381" s="11"/>
    </row>
    <row r="382" spans="1:8" ht="14.25" customHeight="1">
      <c r="A382" s="6" t="s">
        <v>33</v>
      </c>
      <c r="B382" s="7" t="s">
        <v>86</v>
      </c>
      <c r="C382" s="8" t="str">
        <f>"黄小珊"</f>
        <v>黄小珊</v>
      </c>
      <c r="D382" s="13" t="s">
        <v>84</v>
      </c>
      <c r="E382" s="8" t="str">
        <f>"441502199511210223"</f>
        <v>441502199511210223</v>
      </c>
      <c r="F382" s="10">
        <v>44082</v>
      </c>
      <c r="G382" s="11" t="s">
        <v>88</v>
      </c>
      <c r="H382" s="11"/>
    </row>
    <row r="383" spans="1:8" ht="14.25" customHeight="1">
      <c r="A383" s="6" t="s">
        <v>34</v>
      </c>
      <c r="B383" s="7" t="s">
        <v>86</v>
      </c>
      <c r="C383" s="8" t="str">
        <f>"张梓茵"</f>
        <v>张梓茵</v>
      </c>
      <c r="D383" s="13" t="s">
        <v>84</v>
      </c>
      <c r="E383" s="8" t="str">
        <f>"440582199803254587"</f>
        <v>440582199803254587</v>
      </c>
      <c r="F383" s="10">
        <v>44082</v>
      </c>
      <c r="G383" s="11" t="s">
        <v>88</v>
      </c>
      <c r="H383" s="11"/>
    </row>
    <row r="384" spans="1:8" ht="14.25" customHeight="1">
      <c r="A384" s="6" t="s">
        <v>35</v>
      </c>
      <c r="B384" s="14" t="s">
        <v>86</v>
      </c>
      <c r="C384" s="15" t="str">
        <f>"陈燕梅"</f>
        <v>陈燕梅</v>
      </c>
      <c r="D384" s="16" t="s">
        <v>84</v>
      </c>
      <c r="E384" s="15" t="str">
        <f>"450521199203250020"</f>
        <v>450521199203250020</v>
      </c>
      <c r="F384" s="10">
        <v>44082</v>
      </c>
      <c r="G384" s="11" t="s">
        <v>88</v>
      </c>
      <c r="H384" s="11"/>
    </row>
    <row r="385" spans="1:8" ht="14.25" customHeight="1">
      <c r="A385" s="17" t="s">
        <v>36</v>
      </c>
      <c r="B385" s="13" t="s">
        <v>90</v>
      </c>
      <c r="C385" s="8" t="str">
        <f>"胡涛"</f>
        <v>胡涛</v>
      </c>
      <c r="D385" s="13" t="s">
        <v>11</v>
      </c>
      <c r="E385" s="8" t="str">
        <f>"43042219980922641X"</f>
        <v>43042219980922641X</v>
      </c>
      <c r="F385" s="10">
        <v>44082</v>
      </c>
      <c r="G385" s="11" t="s">
        <v>88</v>
      </c>
      <c r="H385" s="11"/>
    </row>
    <row r="386" spans="1:8" ht="14.25" customHeight="1">
      <c r="A386" s="17" t="s">
        <v>37</v>
      </c>
      <c r="B386" s="13" t="s">
        <v>90</v>
      </c>
      <c r="C386" s="8" t="str">
        <f>"苏梓明"</f>
        <v>苏梓明</v>
      </c>
      <c r="D386" s="13" t="s">
        <v>11</v>
      </c>
      <c r="E386" s="8" t="str">
        <f>"440181199804205113"</f>
        <v>440181199804205113</v>
      </c>
      <c r="F386" s="10">
        <v>44082</v>
      </c>
      <c r="G386" s="11" t="s">
        <v>88</v>
      </c>
      <c r="H386" s="11"/>
    </row>
    <row r="387" spans="1:8" ht="14.25" customHeight="1">
      <c r="A387" s="17" t="s">
        <v>38</v>
      </c>
      <c r="B387" s="13" t="s">
        <v>90</v>
      </c>
      <c r="C387" s="8" t="str">
        <f>"吴楚健"</f>
        <v>吴楚健</v>
      </c>
      <c r="D387" s="13" t="s">
        <v>11</v>
      </c>
      <c r="E387" s="8" t="str">
        <f>"440181199803250916"</f>
        <v>440181199803250916</v>
      </c>
      <c r="F387" s="10">
        <v>44082</v>
      </c>
      <c r="G387" s="11" t="s">
        <v>88</v>
      </c>
      <c r="H387" s="11"/>
    </row>
    <row r="388" spans="1:8" ht="14.25" customHeight="1">
      <c r="A388" s="17" t="s">
        <v>39</v>
      </c>
      <c r="B388" s="13" t="s">
        <v>90</v>
      </c>
      <c r="C388" s="8" t="str">
        <f>"刘靖松"</f>
        <v>刘靖松</v>
      </c>
      <c r="D388" s="13" t="s">
        <v>11</v>
      </c>
      <c r="E388" s="8" t="str">
        <f>"440981199208187258"</f>
        <v>440981199208187258</v>
      </c>
      <c r="F388" s="10">
        <v>44082</v>
      </c>
      <c r="G388" s="11" t="s">
        <v>88</v>
      </c>
      <c r="H388" s="11"/>
    </row>
    <row r="389" spans="1:8" ht="14.25" customHeight="1">
      <c r="A389" s="17" t="s">
        <v>40</v>
      </c>
      <c r="B389" s="13" t="s">
        <v>90</v>
      </c>
      <c r="C389" s="8" t="str">
        <f>"刘展鹏"</f>
        <v>刘展鹏</v>
      </c>
      <c r="D389" s="13" t="s">
        <v>11</v>
      </c>
      <c r="E389" s="8" t="str">
        <f>"44010219870131101X"</f>
        <v>44010219870131101X</v>
      </c>
      <c r="F389" s="10">
        <v>44082</v>
      </c>
      <c r="G389" s="11" t="s">
        <v>88</v>
      </c>
      <c r="H389" s="11"/>
    </row>
    <row r="390" spans="1:8" ht="14.25" customHeight="1">
      <c r="A390" s="17" t="s">
        <v>41</v>
      </c>
      <c r="B390" s="13" t="s">
        <v>90</v>
      </c>
      <c r="C390" s="8" t="str">
        <f>"方晓佳"</f>
        <v>方晓佳</v>
      </c>
      <c r="D390" s="13" t="s">
        <v>11</v>
      </c>
      <c r="E390" s="8" t="str">
        <f>"411081199006207691"</f>
        <v>411081199006207691</v>
      </c>
      <c r="F390" s="10">
        <v>44082</v>
      </c>
      <c r="G390" s="11" t="s">
        <v>88</v>
      </c>
      <c r="H390" s="11"/>
    </row>
    <row r="391" spans="1:8" ht="14.25" customHeight="1">
      <c r="A391" s="17" t="s">
        <v>42</v>
      </c>
      <c r="B391" s="13" t="s">
        <v>90</v>
      </c>
      <c r="C391" s="8" t="str">
        <f>"何炬森"</f>
        <v>何炬森</v>
      </c>
      <c r="D391" s="13" t="s">
        <v>11</v>
      </c>
      <c r="E391" s="8" t="str">
        <f>"450881198710280871"</f>
        <v>450881198710280871</v>
      </c>
      <c r="F391" s="10">
        <v>44082</v>
      </c>
      <c r="G391" s="11" t="s">
        <v>88</v>
      </c>
      <c r="H391" s="11"/>
    </row>
    <row r="392" spans="1:8" ht="14.25" customHeight="1">
      <c r="A392" s="17" t="s">
        <v>43</v>
      </c>
      <c r="B392" s="13" t="s">
        <v>90</v>
      </c>
      <c r="C392" s="8" t="str">
        <f>"高炜熙"</f>
        <v>高炜熙</v>
      </c>
      <c r="D392" s="13" t="s">
        <v>11</v>
      </c>
      <c r="E392" s="8" t="str">
        <f>"440181199911225136"</f>
        <v>440181199911225136</v>
      </c>
      <c r="F392" s="10">
        <v>44082</v>
      </c>
      <c r="G392" s="11" t="s">
        <v>88</v>
      </c>
      <c r="H392" s="11"/>
    </row>
    <row r="393" spans="1:8" ht="14.25" customHeight="1">
      <c r="A393" s="17" t="s">
        <v>44</v>
      </c>
      <c r="B393" s="13" t="s">
        <v>90</v>
      </c>
      <c r="C393" s="8" t="str">
        <f>"梁俊祺"</f>
        <v>梁俊祺</v>
      </c>
      <c r="D393" s="13" t="s">
        <v>11</v>
      </c>
      <c r="E393" s="8" t="str">
        <f>"440111199703100057"</f>
        <v>440111199703100057</v>
      </c>
      <c r="F393" s="10">
        <v>44082</v>
      </c>
      <c r="G393" s="11" t="s">
        <v>88</v>
      </c>
      <c r="H393" s="11"/>
    </row>
    <row r="394" spans="1:8" ht="14.25" customHeight="1">
      <c r="A394" s="17" t="s">
        <v>45</v>
      </c>
      <c r="B394" s="13" t="s">
        <v>90</v>
      </c>
      <c r="C394" s="8" t="str">
        <f>"崔展杨"</f>
        <v>崔展杨</v>
      </c>
      <c r="D394" s="13" t="s">
        <v>11</v>
      </c>
      <c r="E394" s="8" t="str">
        <f>"440181200005304532"</f>
        <v>440181200005304532</v>
      </c>
      <c r="F394" s="10">
        <v>44082</v>
      </c>
      <c r="G394" s="11" t="s">
        <v>88</v>
      </c>
      <c r="H394" s="11"/>
    </row>
    <row r="395" spans="1:8" ht="14.25" customHeight="1">
      <c r="A395" s="17" t="s">
        <v>46</v>
      </c>
      <c r="B395" s="13" t="s">
        <v>90</v>
      </c>
      <c r="C395" s="8" t="str">
        <f>"梁耀康"</f>
        <v>梁耀康</v>
      </c>
      <c r="D395" s="13" t="s">
        <v>11</v>
      </c>
      <c r="E395" s="8" t="str">
        <f>"440181200008285111"</f>
        <v>440181200008285111</v>
      </c>
      <c r="F395" s="10">
        <v>44082</v>
      </c>
      <c r="G395" s="11" t="s">
        <v>88</v>
      </c>
      <c r="H395" s="11"/>
    </row>
    <row r="396" spans="1:8" ht="14.25" customHeight="1">
      <c r="A396" s="17" t="s">
        <v>47</v>
      </c>
      <c r="B396" s="13" t="s">
        <v>90</v>
      </c>
      <c r="C396" s="8" t="str">
        <f>"周伟添"</f>
        <v>周伟添</v>
      </c>
      <c r="D396" s="13" t="s">
        <v>11</v>
      </c>
      <c r="E396" s="8" t="str">
        <f>"440181200009295151"</f>
        <v>440181200009295151</v>
      </c>
      <c r="F396" s="10">
        <v>44082</v>
      </c>
      <c r="G396" s="11" t="s">
        <v>88</v>
      </c>
      <c r="H396" s="11"/>
    </row>
    <row r="397" spans="1:8" ht="14.25" customHeight="1">
      <c r="A397" s="17" t="s">
        <v>48</v>
      </c>
      <c r="B397" s="13" t="s">
        <v>90</v>
      </c>
      <c r="C397" s="8" t="str">
        <f>"范兰斌"</f>
        <v>范兰斌</v>
      </c>
      <c r="D397" s="13" t="s">
        <v>11</v>
      </c>
      <c r="E397" s="8" t="str">
        <f>"440224199009240479"</f>
        <v>440224199009240479</v>
      </c>
      <c r="F397" s="10">
        <v>44082</v>
      </c>
      <c r="G397" s="11" t="s">
        <v>88</v>
      </c>
      <c r="H397" s="11"/>
    </row>
    <row r="398" spans="1:8" ht="14.25" customHeight="1">
      <c r="A398" s="17" t="s">
        <v>49</v>
      </c>
      <c r="B398" s="13" t="s">
        <v>90</v>
      </c>
      <c r="C398" s="8" t="str">
        <f>"潘展鹏"</f>
        <v>潘展鹏</v>
      </c>
      <c r="D398" s="13" t="s">
        <v>11</v>
      </c>
      <c r="E398" s="8" t="str">
        <f>"440233199808066071"</f>
        <v>440233199808066071</v>
      </c>
      <c r="F398" s="10">
        <v>44082</v>
      </c>
      <c r="G398" s="11" t="s">
        <v>88</v>
      </c>
      <c r="H398" s="11"/>
    </row>
    <row r="399" spans="1:8" ht="14.25" customHeight="1">
      <c r="A399" s="17" t="s">
        <v>50</v>
      </c>
      <c r="B399" s="13" t="s">
        <v>90</v>
      </c>
      <c r="C399" s="8" t="str">
        <f>"李永健"</f>
        <v>李永健</v>
      </c>
      <c r="D399" s="13" t="s">
        <v>11</v>
      </c>
      <c r="E399" s="8" t="str">
        <f>"440181199306245139"</f>
        <v>440181199306245139</v>
      </c>
      <c r="F399" s="10">
        <v>44082</v>
      </c>
      <c r="G399" s="11" t="s">
        <v>88</v>
      </c>
      <c r="H399" s="11"/>
    </row>
    <row r="400" spans="1:8" s="1" customFormat="1" ht="14.25" customHeight="1">
      <c r="A400" s="17" t="s">
        <v>51</v>
      </c>
      <c r="B400" s="13" t="s">
        <v>90</v>
      </c>
      <c r="C400" s="8" t="str">
        <f>"黄志伟"</f>
        <v>黄志伟</v>
      </c>
      <c r="D400" s="13" t="s">
        <v>11</v>
      </c>
      <c r="E400" s="8" t="str">
        <f>"441622199104223319"</f>
        <v>441622199104223319</v>
      </c>
      <c r="F400" s="10">
        <v>44082</v>
      </c>
      <c r="G400" s="11" t="s">
        <v>88</v>
      </c>
      <c r="H400" s="11"/>
    </row>
    <row r="401" spans="1:8" s="1" customFormat="1" ht="14.25" customHeight="1">
      <c r="A401" s="17" t="s">
        <v>52</v>
      </c>
      <c r="B401" s="13" t="s">
        <v>90</v>
      </c>
      <c r="C401" s="8" t="str">
        <f>"吴诚壮"</f>
        <v>吴诚壮</v>
      </c>
      <c r="D401" s="13" t="s">
        <v>11</v>
      </c>
      <c r="E401" s="8" t="str">
        <f>"440882199807055098"</f>
        <v>440882199807055098</v>
      </c>
      <c r="F401" s="10">
        <v>44082</v>
      </c>
      <c r="G401" s="11" t="s">
        <v>88</v>
      </c>
      <c r="H401" s="11"/>
    </row>
    <row r="402" spans="1:8" s="1" customFormat="1" ht="14.25" customHeight="1">
      <c r="A402" s="17" t="s">
        <v>53</v>
      </c>
      <c r="B402" s="13" t="s">
        <v>90</v>
      </c>
      <c r="C402" s="8" t="str">
        <f>"覃学磷"</f>
        <v>覃学磷</v>
      </c>
      <c r="D402" s="13" t="s">
        <v>11</v>
      </c>
      <c r="E402" s="8" t="str">
        <f>"441224199905117517"</f>
        <v>441224199905117517</v>
      </c>
      <c r="F402" s="10">
        <v>44082</v>
      </c>
      <c r="G402" s="11" t="s">
        <v>88</v>
      </c>
      <c r="H402" s="11"/>
    </row>
    <row r="403" spans="1:8" s="1" customFormat="1" ht="14.25" customHeight="1">
      <c r="A403" s="17" t="s">
        <v>54</v>
      </c>
      <c r="B403" s="13" t="s">
        <v>90</v>
      </c>
      <c r="C403" s="8" t="str">
        <f>"杜贤达"</f>
        <v>杜贤达</v>
      </c>
      <c r="D403" s="13" t="s">
        <v>11</v>
      </c>
      <c r="E403" s="8" t="str">
        <f>"440181198509105131"</f>
        <v>440181198509105131</v>
      </c>
      <c r="F403" s="10">
        <v>44082</v>
      </c>
      <c r="G403" s="11" t="s">
        <v>88</v>
      </c>
      <c r="H403" s="11"/>
    </row>
    <row r="404" spans="1:8" s="1" customFormat="1" ht="14.25" customHeight="1">
      <c r="A404" s="17" t="s">
        <v>55</v>
      </c>
      <c r="B404" s="13" t="s">
        <v>90</v>
      </c>
      <c r="C404" s="8" t="str">
        <f>"冯镜彬"</f>
        <v>冯镜彬</v>
      </c>
      <c r="D404" s="13" t="s">
        <v>11</v>
      </c>
      <c r="E404" s="8" t="str">
        <f>"44018119960117541X"</f>
        <v>44018119960117541X</v>
      </c>
      <c r="F404" s="10">
        <v>44082</v>
      </c>
      <c r="G404" s="11" t="s">
        <v>88</v>
      </c>
      <c r="H404" s="11"/>
    </row>
    <row r="405" spans="1:8" s="1" customFormat="1" ht="14.25" customHeight="1">
      <c r="A405" s="17" t="s">
        <v>56</v>
      </c>
      <c r="B405" s="13" t="s">
        <v>90</v>
      </c>
      <c r="C405" s="8" t="str">
        <f>"彭梓维"</f>
        <v>彭梓维</v>
      </c>
      <c r="D405" s="13" t="s">
        <v>11</v>
      </c>
      <c r="E405" s="8" t="str">
        <f>"440181199612255116"</f>
        <v>440181199612255116</v>
      </c>
      <c r="F405" s="10">
        <v>44082</v>
      </c>
      <c r="G405" s="11" t="s">
        <v>88</v>
      </c>
      <c r="H405" s="11"/>
    </row>
    <row r="406" spans="1:8" s="1" customFormat="1" ht="14.25" customHeight="1">
      <c r="A406" s="17" t="s">
        <v>57</v>
      </c>
      <c r="B406" s="13" t="s">
        <v>90</v>
      </c>
      <c r="C406" s="8" t="str">
        <f>"植文浩"</f>
        <v>植文浩</v>
      </c>
      <c r="D406" s="13" t="s">
        <v>11</v>
      </c>
      <c r="E406" s="8" t="str">
        <f>"440181200001205131"</f>
        <v>440181200001205131</v>
      </c>
      <c r="F406" s="10">
        <v>44082</v>
      </c>
      <c r="G406" s="11" t="s">
        <v>88</v>
      </c>
      <c r="H406" s="11"/>
    </row>
    <row r="407" spans="1:8" s="1" customFormat="1" ht="14.25" customHeight="1">
      <c r="A407" s="17" t="s">
        <v>58</v>
      </c>
      <c r="B407" s="13" t="s">
        <v>90</v>
      </c>
      <c r="C407" s="8" t="str">
        <f>"陈明聪"</f>
        <v>陈明聪</v>
      </c>
      <c r="D407" s="13" t="s">
        <v>11</v>
      </c>
      <c r="E407" s="8" t="str">
        <f>"440825199403072636"</f>
        <v>440825199403072636</v>
      </c>
      <c r="F407" s="10">
        <v>44082</v>
      </c>
      <c r="G407" s="11" t="s">
        <v>88</v>
      </c>
      <c r="H407" s="11"/>
    </row>
    <row r="408" spans="1:8" s="1" customFormat="1" ht="14.25" customHeight="1">
      <c r="A408" s="17" t="s">
        <v>59</v>
      </c>
      <c r="B408" s="13" t="s">
        <v>90</v>
      </c>
      <c r="C408" s="8" t="str">
        <f>"陈俊杰"</f>
        <v>陈俊杰</v>
      </c>
      <c r="D408" s="13" t="s">
        <v>11</v>
      </c>
      <c r="E408" s="8" t="str">
        <f>"440181199810044512"</f>
        <v>440181199810044512</v>
      </c>
      <c r="F408" s="10">
        <v>44082</v>
      </c>
      <c r="G408" s="11" t="s">
        <v>88</v>
      </c>
      <c r="H408" s="11"/>
    </row>
    <row r="409" spans="1:8" s="1" customFormat="1" ht="14.25" customHeight="1">
      <c r="A409" s="17" t="s">
        <v>60</v>
      </c>
      <c r="B409" s="13" t="s">
        <v>90</v>
      </c>
      <c r="C409" s="8" t="str">
        <f>"黄炳强"</f>
        <v>黄炳强</v>
      </c>
      <c r="D409" s="13" t="s">
        <v>11</v>
      </c>
      <c r="E409" s="8" t="str">
        <f>"445381198910204094"</f>
        <v>445381198910204094</v>
      </c>
      <c r="F409" s="10">
        <v>44082</v>
      </c>
      <c r="G409" s="11" t="s">
        <v>88</v>
      </c>
      <c r="H409" s="11"/>
    </row>
    <row r="410" spans="1:8" s="1" customFormat="1" ht="14.25" customHeight="1">
      <c r="A410" s="17" t="s">
        <v>61</v>
      </c>
      <c r="B410" s="13" t="s">
        <v>90</v>
      </c>
      <c r="C410" s="8" t="str">
        <f>"李键涛"</f>
        <v>李键涛</v>
      </c>
      <c r="D410" s="13" t="s">
        <v>11</v>
      </c>
      <c r="E410" s="8" t="str">
        <f>"440181199510064511"</f>
        <v>440181199510064511</v>
      </c>
      <c r="F410" s="10">
        <v>44082</v>
      </c>
      <c r="G410" s="11" t="s">
        <v>88</v>
      </c>
      <c r="H410" s="11"/>
    </row>
    <row r="411" spans="1:8" s="1" customFormat="1" ht="14.25" customHeight="1">
      <c r="A411" s="17" t="s">
        <v>62</v>
      </c>
      <c r="B411" s="13" t="s">
        <v>90</v>
      </c>
      <c r="C411" s="8" t="str">
        <f>"陈浩"</f>
        <v>陈浩</v>
      </c>
      <c r="D411" s="13" t="s">
        <v>11</v>
      </c>
      <c r="E411" s="8" t="str">
        <f>"441481198903051394"</f>
        <v>441481198903051394</v>
      </c>
      <c r="F411" s="10">
        <v>44082</v>
      </c>
      <c r="G411" s="11" t="s">
        <v>88</v>
      </c>
      <c r="H411" s="11"/>
    </row>
    <row r="412" spans="1:8" s="1" customFormat="1" ht="14.25" customHeight="1">
      <c r="A412" s="17" t="s">
        <v>63</v>
      </c>
      <c r="B412" s="13" t="s">
        <v>90</v>
      </c>
      <c r="C412" s="8" t="str">
        <f>"黄俊华"</f>
        <v>黄俊华</v>
      </c>
      <c r="D412" s="13" t="s">
        <v>11</v>
      </c>
      <c r="E412" s="8" t="str">
        <f>"440981198809183952"</f>
        <v>440981198809183952</v>
      </c>
      <c r="F412" s="10">
        <v>44082</v>
      </c>
      <c r="G412" s="11" t="s">
        <v>88</v>
      </c>
      <c r="H412" s="11"/>
    </row>
    <row r="413" spans="1:8" s="1" customFormat="1" ht="14.25" customHeight="1">
      <c r="A413" s="17" t="s">
        <v>64</v>
      </c>
      <c r="B413" s="13" t="s">
        <v>90</v>
      </c>
      <c r="C413" s="8" t="str">
        <f>"林龙鹏"</f>
        <v>林龙鹏</v>
      </c>
      <c r="D413" s="13" t="s">
        <v>11</v>
      </c>
      <c r="E413" s="8" t="str">
        <f>"441224199704134839"</f>
        <v>441224199704134839</v>
      </c>
      <c r="F413" s="10">
        <v>44082</v>
      </c>
      <c r="G413" s="11" t="s">
        <v>88</v>
      </c>
      <c r="H413" s="11"/>
    </row>
    <row r="414" spans="1:8" s="1" customFormat="1" ht="14.25" customHeight="1">
      <c r="A414" s="17" t="s">
        <v>65</v>
      </c>
      <c r="B414" s="13" t="s">
        <v>90</v>
      </c>
      <c r="C414" s="8" t="str">
        <f>"曾宇权"</f>
        <v>曾宇权</v>
      </c>
      <c r="D414" s="13" t="s">
        <v>11</v>
      </c>
      <c r="E414" s="8" t="str">
        <f>"44172119901230003X"</f>
        <v>44172119901230003X</v>
      </c>
      <c r="F414" s="10">
        <v>44082</v>
      </c>
      <c r="G414" s="11" t="s">
        <v>88</v>
      </c>
      <c r="H414" s="11"/>
    </row>
    <row r="415" spans="1:8" s="1" customFormat="1" ht="14.25" customHeight="1">
      <c r="A415" s="17" t="s">
        <v>66</v>
      </c>
      <c r="B415" s="13" t="s">
        <v>90</v>
      </c>
      <c r="C415" s="8" t="str">
        <f>"黄显东"</f>
        <v>黄显东</v>
      </c>
      <c r="D415" s="13" t="s">
        <v>11</v>
      </c>
      <c r="E415" s="8" t="str">
        <f>"350624199802024034"</f>
        <v>350624199802024034</v>
      </c>
      <c r="F415" s="10">
        <v>44082</v>
      </c>
      <c r="G415" s="11" t="s">
        <v>88</v>
      </c>
      <c r="H415" s="11"/>
    </row>
    <row r="416" spans="1:8" s="1" customFormat="1" ht="14.25" customHeight="1">
      <c r="A416" s="17" t="s">
        <v>67</v>
      </c>
      <c r="B416" s="13" t="s">
        <v>90</v>
      </c>
      <c r="C416" s="8" t="str">
        <f>"余浩源"</f>
        <v>余浩源</v>
      </c>
      <c r="D416" s="13" t="s">
        <v>11</v>
      </c>
      <c r="E416" s="8" t="str">
        <f>"440783199805060310"</f>
        <v>440783199805060310</v>
      </c>
      <c r="F416" s="10">
        <v>44082</v>
      </c>
      <c r="G416" s="11" t="s">
        <v>88</v>
      </c>
      <c r="H416" s="11"/>
    </row>
    <row r="417" spans="1:8" s="1" customFormat="1" ht="14.25" customHeight="1">
      <c r="A417" s="17" t="s">
        <v>68</v>
      </c>
      <c r="B417" s="13" t="s">
        <v>90</v>
      </c>
      <c r="C417" s="8" t="str">
        <f>"陈毅贤"</f>
        <v>陈毅贤</v>
      </c>
      <c r="D417" s="13" t="s">
        <v>11</v>
      </c>
      <c r="E417" s="8" t="str">
        <f>"440181199902040631"</f>
        <v>440181199902040631</v>
      </c>
      <c r="F417" s="10">
        <v>44082</v>
      </c>
      <c r="G417" s="11" t="s">
        <v>88</v>
      </c>
      <c r="H417" s="11"/>
    </row>
    <row r="418" spans="1:8" s="1" customFormat="1" ht="14.25" customHeight="1">
      <c r="A418" s="17" t="s">
        <v>69</v>
      </c>
      <c r="B418" s="13" t="s">
        <v>90</v>
      </c>
      <c r="C418" s="8" t="str">
        <f>"何宇希"</f>
        <v>何宇希</v>
      </c>
      <c r="D418" s="13" t="s">
        <v>11</v>
      </c>
      <c r="E418" s="8" t="str">
        <f>"440181199810165138"</f>
        <v>440181199810165138</v>
      </c>
      <c r="F418" s="10">
        <v>44082</v>
      </c>
      <c r="G418" s="11" t="s">
        <v>88</v>
      </c>
      <c r="H418" s="11"/>
    </row>
    <row r="419" spans="1:8" s="1" customFormat="1" ht="14.25" customHeight="1">
      <c r="A419" s="17" t="s">
        <v>70</v>
      </c>
      <c r="B419" s="13" t="s">
        <v>90</v>
      </c>
      <c r="C419" s="8" t="str">
        <f>"郭承毅"</f>
        <v>郭承毅</v>
      </c>
      <c r="D419" s="13" t="s">
        <v>11</v>
      </c>
      <c r="E419" s="8" t="str">
        <f>"440181198901165171"</f>
        <v>440181198901165171</v>
      </c>
      <c r="F419" s="10">
        <v>44082</v>
      </c>
      <c r="G419" s="11" t="s">
        <v>88</v>
      </c>
      <c r="H419" s="11"/>
    </row>
    <row r="420" spans="1:8" s="1" customFormat="1" ht="14.25" customHeight="1">
      <c r="A420" s="17" t="s">
        <v>71</v>
      </c>
      <c r="B420" s="13" t="s">
        <v>90</v>
      </c>
      <c r="C420" s="8" t="str">
        <f>"曾子恒"</f>
        <v>曾子恒</v>
      </c>
      <c r="D420" s="13" t="s">
        <v>11</v>
      </c>
      <c r="E420" s="8" t="str">
        <f>"440301199212140116"</f>
        <v>440301199212140116</v>
      </c>
      <c r="F420" s="10">
        <v>44082</v>
      </c>
      <c r="G420" s="11" t="s">
        <v>88</v>
      </c>
      <c r="H420" s="11"/>
    </row>
    <row r="421" spans="1:8" s="1" customFormat="1" ht="14.25" customHeight="1">
      <c r="A421" s="17" t="s">
        <v>72</v>
      </c>
      <c r="B421" s="13" t="s">
        <v>90</v>
      </c>
      <c r="C421" s="8" t="str">
        <f>"刘聪"</f>
        <v>刘聪</v>
      </c>
      <c r="D421" s="13" t="s">
        <v>11</v>
      </c>
      <c r="E421" s="8" t="str">
        <f>"360722199608191538"</f>
        <v>360722199608191538</v>
      </c>
      <c r="F421" s="10">
        <v>44082</v>
      </c>
      <c r="G421" s="11" t="s">
        <v>88</v>
      </c>
      <c r="H421" s="11"/>
    </row>
    <row r="422" spans="1:8" s="1" customFormat="1" ht="14.25" customHeight="1">
      <c r="A422" s="17" t="s">
        <v>73</v>
      </c>
      <c r="B422" s="13" t="s">
        <v>90</v>
      </c>
      <c r="C422" s="8" t="str">
        <f>"黄宇海"</f>
        <v>黄宇海</v>
      </c>
      <c r="D422" s="13" t="s">
        <v>11</v>
      </c>
      <c r="E422" s="8" t="str">
        <f>"440181199709235111"</f>
        <v>440181199709235111</v>
      </c>
      <c r="F422" s="10">
        <v>44082</v>
      </c>
      <c r="G422" s="11" t="s">
        <v>88</v>
      </c>
      <c r="H422" s="11"/>
    </row>
    <row r="423" spans="1:8" s="1" customFormat="1" ht="14.25" customHeight="1">
      <c r="A423" s="17" t="s">
        <v>74</v>
      </c>
      <c r="B423" s="13" t="s">
        <v>90</v>
      </c>
      <c r="C423" s="8" t="str">
        <f>"刘家辉"</f>
        <v>刘家辉</v>
      </c>
      <c r="D423" s="13" t="s">
        <v>11</v>
      </c>
      <c r="E423" s="8" t="str">
        <f>"440181199507028413"</f>
        <v>440181199507028413</v>
      </c>
      <c r="F423" s="10">
        <v>44082</v>
      </c>
      <c r="G423" s="11" t="s">
        <v>88</v>
      </c>
      <c r="H423" s="11"/>
    </row>
    <row r="424" spans="1:8" s="1" customFormat="1" ht="14.25" customHeight="1">
      <c r="A424" s="17" t="s">
        <v>75</v>
      </c>
      <c r="B424" s="13" t="s">
        <v>90</v>
      </c>
      <c r="C424" s="8" t="str">
        <f>"周仁杰"</f>
        <v>周仁杰</v>
      </c>
      <c r="D424" s="13" t="s">
        <v>11</v>
      </c>
      <c r="E424" s="8" t="str">
        <f>"44088219970516033X"</f>
        <v>44088219970516033X</v>
      </c>
      <c r="F424" s="10">
        <v>44082</v>
      </c>
      <c r="G424" s="11" t="s">
        <v>88</v>
      </c>
      <c r="H424" s="11"/>
    </row>
    <row r="425" spans="1:8" s="1" customFormat="1" ht="14.25" customHeight="1">
      <c r="A425" s="17" t="s">
        <v>76</v>
      </c>
      <c r="B425" s="13" t="s">
        <v>90</v>
      </c>
      <c r="C425" s="8" t="str">
        <f>"林文彪"</f>
        <v>林文彪</v>
      </c>
      <c r="D425" s="13" t="s">
        <v>11</v>
      </c>
      <c r="E425" s="8" t="str">
        <f>"440181199708295155"</f>
        <v>440181199708295155</v>
      </c>
      <c r="F425" s="10">
        <v>44082</v>
      </c>
      <c r="G425" s="11" t="s">
        <v>88</v>
      </c>
      <c r="H425" s="11"/>
    </row>
    <row r="426" spans="1:8" s="1" customFormat="1" ht="14.25" customHeight="1">
      <c r="A426" s="17" t="s">
        <v>77</v>
      </c>
      <c r="B426" s="13" t="s">
        <v>90</v>
      </c>
      <c r="C426" s="8" t="str">
        <f>"李炳豪"</f>
        <v>李炳豪</v>
      </c>
      <c r="D426" s="13" t="s">
        <v>11</v>
      </c>
      <c r="E426" s="8" t="str">
        <f>"441324199306253336"</f>
        <v>441324199306253336</v>
      </c>
      <c r="F426" s="10">
        <v>44082</v>
      </c>
      <c r="G426" s="11" t="s">
        <v>88</v>
      </c>
      <c r="H426" s="11"/>
    </row>
    <row r="427" spans="1:8" s="1" customFormat="1" ht="14.25" customHeight="1">
      <c r="A427" s="17" t="s">
        <v>78</v>
      </c>
      <c r="B427" s="13" t="s">
        <v>90</v>
      </c>
      <c r="C427" s="8" t="str">
        <f>"邓劲豪"</f>
        <v>邓劲豪</v>
      </c>
      <c r="D427" s="13" t="s">
        <v>11</v>
      </c>
      <c r="E427" s="8" t="str">
        <f>"440181199504265114"</f>
        <v>440181199504265114</v>
      </c>
      <c r="F427" s="10">
        <v>44082</v>
      </c>
      <c r="G427" s="11" t="s">
        <v>88</v>
      </c>
      <c r="H427" s="11"/>
    </row>
    <row r="428" spans="1:8" ht="14.25" customHeight="1">
      <c r="A428" s="17" t="s">
        <v>79</v>
      </c>
      <c r="B428" s="13" t="s">
        <v>90</v>
      </c>
      <c r="C428" s="8" t="str">
        <f>"黄灏泓"</f>
        <v>黄灏泓</v>
      </c>
      <c r="D428" s="13" t="s">
        <v>11</v>
      </c>
      <c r="E428" s="8" t="str">
        <f>"44018120000920511x"</f>
        <v>44018120000920511x</v>
      </c>
      <c r="F428" s="10">
        <v>44082</v>
      </c>
      <c r="G428" s="11" t="s">
        <v>88</v>
      </c>
      <c r="H428" s="11"/>
    </row>
    <row r="429" spans="1:8" ht="22.5">
      <c r="A429" s="3" t="s">
        <v>91</v>
      </c>
      <c r="B429" s="3"/>
      <c r="C429" s="3"/>
      <c r="D429" s="3"/>
      <c r="E429" s="3"/>
      <c r="F429" s="3"/>
      <c r="G429" s="3"/>
      <c r="H429" s="3"/>
    </row>
    <row r="430" spans="1:8" ht="37.5">
      <c r="A430" s="4" t="s">
        <v>2</v>
      </c>
      <c r="B430" s="4" t="s">
        <v>3</v>
      </c>
      <c r="C430" s="5" t="s">
        <v>4</v>
      </c>
      <c r="D430" s="4" t="s">
        <v>5</v>
      </c>
      <c r="E430" s="5" t="s">
        <v>6</v>
      </c>
      <c r="F430" s="4" t="s">
        <v>7</v>
      </c>
      <c r="G430" s="4" t="s">
        <v>8</v>
      </c>
      <c r="H430" s="4" t="s">
        <v>9</v>
      </c>
    </row>
    <row r="431" spans="1:8" ht="14.25" customHeight="1">
      <c r="A431" s="6" t="s">
        <v>10</v>
      </c>
      <c r="B431" s="7" t="s">
        <v>92</v>
      </c>
      <c r="C431" s="8" t="str">
        <f>"梁嘉杰"</f>
        <v>梁嘉杰</v>
      </c>
      <c r="D431" s="7" t="s">
        <v>11</v>
      </c>
      <c r="E431" s="8" t="str">
        <f>"440181199409275138"</f>
        <v>440181199409275138</v>
      </c>
      <c r="F431" s="10">
        <v>44082</v>
      </c>
      <c r="G431" s="11" t="s">
        <v>88</v>
      </c>
      <c r="H431" s="12"/>
    </row>
    <row r="432" spans="1:8" ht="14.25" customHeight="1">
      <c r="A432" s="6" t="s">
        <v>13</v>
      </c>
      <c r="B432" s="7" t="s">
        <v>92</v>
      </c>
      <c r="C432" s="8" t="str">
        <f>"简圣坤"</f>
        <v>简圣坤</v>
      </c>
      <c r="D432" s="7" t="s">
        <v>11</v>
      </c>
      <c r="E432" s="8" t="str">
        <f>"440883199301023271"</f>
        <v>440883199301023271</v>
      </c>
      <c r="F432" s="10">
        <v>44082</v>
      </c>
      <c r="G432" s="11" t="s">
        <v>88</v>
      </c>
      <c r="H432" s="12"/>
    </row>
    <row r="433" spans="1:8" ht="14.25" customHeight="1">
      <c r="A433" s="6" t="s">
        <v>14</v>
      </c>
      <c r="B433" s="7" t="s">
        <v>92</v>
      </c>
      <c r="C433" s="8" t="str">
        <f>"杨田新"</f>
        <v>杨田新</v>
      </c>
      <c r="D433" s="7" t="s">
        <v>11</v>
      </c>
      <c r="E433" s="8" t="str">
        <f>"440883199206073211"</f>
        <v>440883199206073211</v>
      </c>
      <c r="F433" s="10">
        <v>44082</v>
      </c>
      <c r="G433" s="11" t="s">
        <v>88</v>
      </c>
      <c r="H433" s="12"/>
    </row>
    <row r="434" spans="1:8" ht="14.25" customHeight="1">
      <c r="A434" s="6" t="s">
        <v>15</v>
      </c>
      <c r="B434" s="7" t="s">
        <v>92</v>
      </c>
      <c r="C434" s="8" t="str">
        <f>"黄锦超"</f>
        <v>黄锦超</v>
      </c>
      <c r="D434" s="7" t="s">
        <v>11</v>
      </c>
      <c r="E434" s="8" t="str">
        <f>"440111198907090319"</f>
        <v>440111198907090319</v>
      </c>
      <c r="F434" s="10">
        <v>44082</v>
      </c>
      <c r="G434" s="11" t="s">
        <v>88</v>
      </c>
      <c r="H434" s="12"/>
    </row>
    <row r="435" spans="1:8" ht="14.25" customHeight="1">
      <c r="A435" s="6" t="s">
        <v>16</v>
      </c>
      <c r="B435" s="7" t="s">
        <v>92</v>
      </c>
      <c r="C435" s="8" t="str">
        <f>"彭烨毅"</f>
        <v>彭烨毅</v>
      </c>
      <c r="D435" s="7" t="s">
        <v>11</v>
      </c>
      <c r="E435" s="8" t="str">
        <f>"440181199612245110"</f>
        <v>440181199612245110</v>
      </c>
      <c r="F435" s="10">
        <v>44082</v>
      </c>
      <c r="G435" s="11" t="s">
        <v>88</v>
      </c>
      <c r="H435" s="12"/>
    </row>
    <row r="436" spans="1:8" ht="14.25" customHeight="1">
      <c r="A436" s="6" t="s">
        <v>17</v>
      </c>
      <c r="B436" s="7" t="s">
        <v>92</v>
      </c>
      <c r="C436" s="8" t="str">
        <f>"张希煜"</f>
        <v>张希煜</v>
      </c>
      <c r="D436" s="7" t="s">
        <v>11</v>
      </c>
      <c r="E436" s="8" t="str">
        <f>"441521199405270838"</f>
        <v>441521199405270838</v>
      </c>
      <c r="F436" s="10">
        <v>44082</v>
      </c>
      <c r="G436" s="11" t="s">
        <v>88</v>
      </c>
      <c r="H436" s="12"/>
    </row>
    <row r="437" spans="1:8" ht="14.25" customHeight="1">
      <c r="A437" s="6" t="s">
        <v>18</v>
      </c>
      <c r="B437" s="7" t="s">
        <v>92</v>
      </c>
      <c r="C437" s="8" t="str">
        <f>"伍俊霖"</f>
        <v>伍俊霖</v>
      </c>
      <c r="D437" s="7" t="s">
        <v>11</v>
      </c>
      <c r="E437" s="8" t="str">
        <f>"440181199703185117"</f>
        <v>440181199703185117</v>
      </c>
      <c r="F437" s="10">
        <v>44082</v>
      </c>
      <c r="G437" s="11" t="s">
        <v>88</v>
      </c>
      <c r="H437" s="12"/>
    </row>
    <row r="438" spans="1:8" ht="14.25" customHeight="1">
      <c r="A438" s="6" t="s">
        <v>19</v>
      </c>
      <c r="B438" s="7" t="s">
        <v>92</v>
      </c>
      <c r="C438" s="8" t="str">
        <f>"何嘉杰"</f>
        <v>何嘉杰</v>
      </c>
      <c r="D438" s="7" t="s">
        <v>11</v>
      </c>
      <c r="E438" s="8" t="str">
        <f>"440103198710012712"</f>
        <v>440103198710012712</v>
      </c>
      <c r="F438" s="10">
        <v>44082</v>
      </c>
      <c r="G438" s="11" t="s">
        <v>88</v>
      </c>
      <c r="H438" s="12"/>
    </row>
    <row r="439" spans="1:8" ht="14.25" customHeight="1">
      <c r="A439" s="6" t="s">
        <v>20</v>
      </c>
      <c r="B439" s="7" t="s">
        <v>92</v>
      </c>
      <c r="C439" s="8" t="str">
        <f>"戚嘉超"</f>
        <v>戚嘉超</v>
      </c>
      <c r="D439" s="7" t="s">
        <v>11</v>
      </c>
      <c r="E439" s="8" t="str">
        <f>"440184198912040912"</f>
        <v>440184198912040912</v>
      </c>
      <c r="F439" s="10">
        <v>44082</v>
      </c>
      <c r="G439" s="11" t="s">
        <v>88</v>
      </c>
      <c r="H439" s="12"/>
    </row>
    <row r="440" spans="1:8" ht="14.25" customHeight="1">
      <c r="A440" s="6" t="s">
        <v>21</v>
      </c>
      <c r="B440" s="7" t="s">
        <v>92</v>
      </c>
      <c r="C440" s="8" t="str">
        <f>"陈健汉"</f>
        <v>陈健汉</v>
      </c>
      <c r="D440" s="7" t="s">
        <v>11</v>
      </c>
      <c r="E440" s="8" t="str">
        <f>"44018119851204515X"</f>
        <v>44018119851204515X</v>
      </c>
      <c r="F440" s="10">
        <v>44082</v>
      </c>
      <c r="G440" s="11" t="s">
        <v>88</v>
      </c>
      <c r="H440" s="12"/>
    </row>
    <row r="441" spans="1:8" ht="14.25" customHeight="1">
      <c r="A441" s="6" t="s">
        <v>22</v>
      </c>
      <c r="B441" s="7" t="s">
        <v>92</v>
      </c>
      <c r="C441" s="8" t="str">
        <f>"方祺景"</f>
        <v>方祺景</v>
      </c>
      <c r="D441" s="7" t="s">
        <v>11</v>
      </c>
      <c r="E441" s="8" t="str">
        <f>"440882199707274736"</f>
        <v>440882199707274736</v>
      </c>
      <c r="F441" s="10">
        <v>44082</v>
      </c>
      <c r="G441" s="11" t="s">
        <v>88</v>
      </c>
      <c r="H441" s="12"/>
    </row>
    <row r="442" spans="1:8" ht="14.25" customHeight="1">
      <c r="A442" s="6" t="s">
        <v>23</v>
      </c>
      <c r="B442" s="7" t="s">
        <v>92</v>
      </c>
      <c r="C442" s="8" t="str">
        <f>"张俊华"</f>
        <v>张俊华</v>
      </c>
      <c r="D442" s="7" t="s">
        <v>11</v>
      </c>
      <c r="E442" s="8" t="str">
        <f>"411121198911296035"</f>
        <v>411121198911296035</v>
      </c>
      <c r="F442" s="10">
        <v>44082</v>
      </c>
      <c r="G442" s="11" t="s">
        <v>88</v>
      </c>
      <c r="H442" s="12"/>
    </row>
    <row r="443" spans="1:8" ht="14.25" customHeight="1">
      <c r="A443" s="6" t="s">
        <v>24</v>
      </c>
      <c r="B443" s="7" t="s">
        <v>92</v>
      </c>
      <c r="C443" s="8" t="str">
        <f>"祝浩"</f>
        <v>祝浩</v>
      </c>
      <c r="D443" s="7" t="s">
        <v>11</v>
      </c>
      <c r="E443" s="8" t="str">
        <f>"340826199112274433"</f>
        <v>340826199112274433</v>
      </c>
      <c r="F443" s="10">
        <v>44082</v>
      </c>
      <c r="G443" s="11" t="s">
        <v>88</v>
      </c>
      <c r="H443" s="12"/>
    </row>
    <row r="444" spans="1:8" ht="14.25" customHeight="1">
      <c r="A444" s="6" t="s">
        <v>25</v>
      </c>
      <c r="B444" s="7" t="s">
        <v>92</v>
      </c>
      <c r="C444" s="8" t="str">
        <f>"陈志东"</f>
        <v>陈志东</v>
      </c>
      <c r="D444" s="7" t="s">
        <v>11</v>
      </c>
      <c r="E444" s="8" t="str">
        <f>"440582199107104278"</f>
        <v>440582199107104278</v>
      </c>
      <c r="F444" s="10">
        <v>44082</v>
      </c>
      <c r="G444" s="11" t="s">
        <v>88</v>
      </c>
      <c r="H444" s="12"/>
    </row>
    <row r="445" spans="1:8" ht="14.25" customHeight="1">
      <c r="A445" s="6" t="s">
        <v>26</v>
      </c>
      <c r="B445" s="7" t="s">
        <v>92</v>
      </c>
      <c r="C445" s="8" t="str">
        <f>"杨欣泽"</f>
        <v>杨欣泽</v>
      </c>
      <c r="D445" s="7" t="s">
        <v>11</v>
      </c>
      <c r="E445" s="8" t="str">
        <f>"440582198808205819"</f>
        <v>440582198808205819</v>
      </c>
      <c r="F445" s="10">
        <v>44082</v>
      </c>
      <c r="G445" s="11" t="s">
        <v>88</v>
      </c>
      <c r="H445" s="12"/>
    </row>
    <row r="446" spans="1:8" ht="14.25" customHeight="1">
      <c r="A446" s="6" t="s">
        <v>27</v>
      </c>
      <c r="B446" s="7" t="s">
        <v>92</v>
      </c>
      <c r="C446" s="8" t="str">
        <f>"崔志权"</f>
        <v>崔志权</v>
      </c>
      <c r="D446" s="7" t="s">
        <v>11</v>
      </c>
      <c r="E446" s="8" t="str">
        <f>"440181198807067516"</f>
        <v>440181198807067516</v>
      </c>
      <c r="F446" s="10">
        <v>44082</v>
      </c>
      <c r="G446" s="11" t="s">
        <v>88</v>
      </c>
      <c r="H446" s="11"/>
    </row>
    <row r="447" spans="1:8" ht="14.25" customHeight="1">
      <c r="A447" s="6" t="s">
        <v>28</v>
      </c>
      <c r="B447" s="7" t="s">
        <v>92</v>
      </c>
      <c r="C447" s="8" t="str">
        <f>"曾烽"</f>
        <v>曾烽</v>
      </c>
      <c r="D447" s="7" t="s">
        <v>11</v>
      </c>
      <c r="E447" s="8" t="str">
        <f>"441622199603164798"</f>
        <v>441622199603164798</v>
      </c>
      <c r="F447" s="10">
        <v>44082</v>
      </c>
      <c r="G447" s="11" t="s">
        <v>88</v>
      </c>
      <c r="H447" s="11"/>
    </row>
    <row r="448" spans="1:8" ht="14.25" customHeight="1">
      <c r="A448" s="6" t="s">
        <v>29</v>
      </c>
      <c r="B448" s="7" t="s">
        <v>92</v>
      </c>
      <c r="C448" s="8" t="str">
        <f>"梁泽豪"</f>
        <v>梁泽豪</v>
      </c>
      <c r="D448" s="7" t="s">
        <v>11</v>
      </c>
      <c r="E448" s="8" t="str">
        <f>"44018119890823511x"</f>
        <v>44018119890823511x</v>
      </c>
      <c r="F448" s="10">
        <v>44082</v>
      </c>
      <c r="G448" s="11" t="s">
        <v>88</v>
      </c>
      <c r="H448" s="11"/>
    </row>
    <row r="449" spans="1:8" ht="14.25" customHeight="1">
      <c r="A449" s="6" t="s">
        <v>30</v>
      </c>
      <c r="B449" s="7" t="s">
        <v>92</v>
      </c>
      <c r="C449" s="8" t="str">
        <f>"谢勇华"</f>
        <v>谢勇华</v>
      </c>
      <c r="D449" s="7" t="s">
        <v>11</v>
      </c>
      <c r="E449" s="8" t="str">
        <f>"450902199710100935"</f>
        <v>450902199710100935</v>
      </c>
      <c r="F449" s="10">
        <v>44082</v>
      </c>
      <c r="G449" s="11" t="s">
        <v>88</v>
      </c>
      <c r="H449" s="11"/>
    </row>
    <row r="450" spans="1:8" ht="14.25" customHeight="1">
      <c r="A450" s="6" t="s">
        <v>31</v>
      </c>
      <c r="B450" s="7" t="s">
        <v>92</v>
      </c>
      <c r="C450" s="8" t="str">
        <f>"李振伟"</f>
        <v>李振伟</v>
      </c>
      <c r="D450" s="7" t="s">
        <v>11</v>
      </c>
      <c r="E450" s="8" t="str">
        <f>"440821199102271716"</f>
        <v>440821199102271716</v>
      </c>
      <c r="F450" s="10">
        <v>44082</v>
      </c>
      <c r="G450" s="11" t="s">
        <v>88</v>
      </c>
      <c r="H450" s="11"/>
    </row>
    <row r="451" spans="1:8" ht="14.25" customHeight="1">
      <c r="A451" s="6" t="s">
        <v>32</v>
      </c>
      <c r="B451" s="7" t="s">
        <v>92</v>
      </c>
      <c r="C451" s="8" t="str">
        <f>"曾明俊"</f>
        <v>曾明俊</v>
      </c>
      <c r="D451" s="7" t="s">
        <v>11</v>
      </c>
      <c r="E451" s="8" t="str">
        <f>"441424199503082279"</f>
        <v>441424199503082279</v>
      </c>
      <c r="F451" s="10">
        <v>44082</v>
      </c>
      <c r="G451" s="11" t="s">
        <v>88</v>
      </c>
      <c r="H451" s="11"/>
    </row>
    <row r="452" spans="1:8" ht="14.25" customHeight="1">
      <c r="A452" s="6" t="s">
        <v>33</v>
      </c>
      <c r="B452" s="7" t="s">
        <v>92</v>
      </c>
      <c r="C452" s="8" t="str">
        <f>"付翼"</f>
        <v>付翼</v>
      </c>
      <c r="D452" s="7" t="s">
        <v>11</v>
      </c>
      <c r="E452" s="8" t="str">
        <f>"22028319871222861X"</f>
        <v>22028319871222861X</v>
      </c>
      <c r="F452" s="10">
        <v>44082</v>
      </c>
      <c r="G452" s="11" t="s">
        <v>88</v>
      </c>
      <c r="H452" s="11"/>
    </row>
    <row r="453" spans="1:8" ht="14.25" customHeight="1">
      <c r="A453" s="6" t="s">
        <v>34</v>
      </c>
      <c r="B453" s="7" t="s">
        <v>92</v>
      </c>
      <c r="C453" s="8" t="str">
        <f>"郭健文"</f>
        <v>郭健文</v>
      </c>
      <c r="D453" s="7" t="s">
        <v>11</v>
      </c>
      <c r="E453" s="8" t="str">
        <f>"440181198904245177"</f>
        <v>440181198904245177</v>
      </c>
      <c r="F453" s="10">
        <v>44082</v>
      </c>
      <c r="G453" s="11" t="s">
        <v>88</v>
      </c>
      <c r="H453" s="11"/>
    </row>
    <row r="454" spans="1:8" ht="14.25" customHeight="1">
      <c r="A454" s="6" t="s">
        <v>35</v>
      </c>
      <c r="B454" s="7" t="s">
        <v>93</v>
      </c>
      <c r="C454" s="8" t="str">
        <f>"黄佑荣"</f>
        <v>黄佑荣</v>
      </c>
      <c r="D454" s="7" t="s">
        <v>11</v>
      </c>
      <c r="E454" s="8" t="str">
        <f>"440181198908304533"</f>
        <v>440181198908304533</v>
      </c>
      <c r="F454" s="10">
        <v>44082</v>
      </c>
      <c r="G454" s="11" t="s">
        <v>88</v>
      </c>
      <c r="H454" s="11"/>
    </row>
    <row r="455" spans="1:8" ht="14.25" customHeight="1">
      <c r="A455" s="6" t="s">
        <v>36</v>
      </c>
      <c r="B455" s="7" t="s">
        <v>93</v>
      </c>
      <c r="C455" s="8" t="str">
        <f>"邓锦校"</f>
        <v>邓锦校</v>
      </c>
      <c r="D455" s="7" t="s">
        <v>11</v>
      </c>
      <c r="E455" s="8" t="str">
        <f>"440923199304094330"</f>
        <v>440923199304094330</v>
      </c>
      <c r="F455" s="10">
        <v>44082</v>
      </c>
      <c r="G455" s="11" t="s">
        <v>88</v>
      </c>
      <c r="H455" s="11"/>
    </row>
    <row r="456" spans="1:8" ht="15" customHeight="1">
      <c r="A456" s="6" t="s">
        <v>37</v>
      </c>
      <c r="B456" s="7" t="s">
        <v>93</v>
      </c>
      <c r="C456" s="8" t="str">
        <f>"李家成"</f>
        <v>李家成</v>
      </c>
      <c r="D456" s="7" t="s">
        <v>11</v>
      </c>
      <c r="E456" s="8" t="str">
        <f>"440181198902033939"</f>
        <v>440181198902033939</v>
      </c>
      <c r="F456" s="10">
        <v>44082</v>
      </c>
      <c r="G456" s="11" t="s">
        <v>88</v>
      </c>
      <c r="H456" s="11"/>
    </row>
    <row r="457" spans="1:8" ht="14.25" customHeight="1">
      <c r="A457" s="6" t="s">
        <v>38</v>
      </c>
      <c r="B457" s="7" t="s">
        <v>93</v>
      </c>
      <c r="C457" s="8" t="str">
        <f>"胡荣亮"</f>
        <v>胡荣亮</v>
      </c>
      <c r="D457" s="7" t="s">
        <v>11</v>
      </c>
      <c r="E457" s="8" t="str">
        <f>"440181199407024212"</f>
        <v>440181199407024212</v>
      </c>
      <c r="F457" s="10">
        <v>44082</v>
      </c>
      <c r="G457" s="11" t="s">
        <v>88</v>
      </c>
      <c r="H457" s="11"/>
    </row>
    <row r="458" spans="1:8" ht="14.25" customHeight="1">
      <c r="A458" s="6" t="s">
        <v>39</v>
      </c>
      <c r="B458" s="7" t="s">
        <v>93</v>
      </c>
      <c r="C458" s="8" t="str">
        <f>"周海锋"</f>
        <v>周海锋</v>
      </c>
      <c r="D458" s="7" t="s">
        <v>11</v>
      </c>
      <c r="E458" s="8" t="str">
        <f>"440181199103203617"</f>
        <v>440181199103203617</v>
      </c>
      <c r="F458" s="10">
        <v>44082</v>
      </c>
      <c r="G458" s="11" t="s">
        <v>88</v>
      </c>
      <c r="H458" s="11"/>
    </row>
    <row r="459" spans="1:8" ht="14.25" customHeight="1">
      <c r="A459" s="6" t="s">
        <v>40</v>
      </c>
      <c r="B459" s="7" t="s">
        <v>93</v>
      </c>
      <c r="C459" s="8" t="str">
        <f>"曾伟源"</f>
        <v>曾伟源</v>
      </c>
      <c r="D459" s="7" t="s">
        <v>11</v>
      </c>
      <c r="E459" s="8" t="str">
        <f>"44018119971113423X"</f>
        <v>44018119971113423X</v>
      </c>
      <c r="F459" s="10">
        <v>44082</v>
      </c>
      <c r="G459" s="11" t="s">
        <v>88</v>
      </c>
      <c r="H459" s="11"/>
    </row>
    <row r="460" spans="1:8" ht="14.25" customHeight="1">
      <c r="A460" s="6" t="s">
        <v>41</v>
      </c>
      <c r="B460" s="7" t="s">
        <v>93</v>
      </c>
      <c r="C460" s="8" t="str">
        <f>"林浩铭"</f>
        <v>林浩铭</v>
      </c>
      <c r="D460" s="7" t="s">
        <v>11</v>
      </c>
      <c r="E460" s="8" t="str">
        <f>"440181199804124516"</f>
        <v>440181199804124516</v>
      </c>
      <c r="F460" s="10">
        <v>44082</v>
      </c>
      <c r="G460" s="11" t="s">
        <v>88</v>
      </c>
      <c r="H460" s="11"/>
    </row>
    <row r="461" spans="1:8" ht="14.25" customHeight="1">
      <c r="A461" s="6" t="s">
        <v>42</v>
      </c>
      <c r="B461" s="7" t="s">
        <v>93</v>
      </c>
      <c r="C461" s="8" t="str">
        <f>"罗绍樟"</f>
        <v>罗绍樟</v>
      </c>
      <c r="D461" s="7" t="s">
        <v>11</v>
      </c>
      <c r="E461" s="8" t="str">
        <f>"440181199504184218"</f>
        <v>440181199504184218</v>
      </c>
      <c r="F461" s="10">
        <v>44082</v>
      </c>
      <c r="G461" s="11" t="s">
        <v>88</v>
      </c>
      <c r="H461" s="11"/>
    </row>
    <row r="462" spans="1:8" ht="14.25" customHeight="1">
      <c r="A462" s="6" t="s">
        <v>43</v>
      </c>
      <c r="B462" s="7" t="s">
        <v>93</v>
      </c>
      <c r="C462" s="8" t="str">
        <f>"曾浩坚"</f>
        <v>曾浩坚</v>
      </c>
      <c r="D462" s="7" t="s">
        <v>11</v>
      </c>
      <c r="E462" s="8" t="str">
        <f>"440181199712234259"</f>
        <v>440181199712234259</v>
      </c>
      <c r="F462" s="10">
        <v>44082</v>
      </c>
      <c r="G462" s="11" t="s">
        <v>88</v>
      </c>
      <c r="H462" s="11"/>
    </row>
    <row r="463" spans="1:8" ht="14.25" customHeight="1">
      <c r="A463" s="6" t="s">
        <v>44</v>
      </c>
      <c r="B463" s="7" t="s">
        <v>93</v>
      </c>
      <c r="C463" s="8" t="str">
        <f>"陈永杰"</f>
        <v>陈永杰</v>
      </c>
      <c r="D463" s="7" t="s">
        <v>11</v>
      </c>
      <c r="E463" s="8" t="str">
        <f>"44018119910925751X"</f>
        <v>44018119910925751X</v>
      </c>
      <c r="F463" s="10">
        <v>44082</v>
      </c>
      <c r="G463" s="11" t="s">
        <v>88</v>
      </c>
      <c r="H463" s="11"/>
    </row>
    <row r="464" spans="1:8" ht="14.25" customHeight="1">
      <c r="A464" s="6" t="s">
        <v>45</v>
      </c>
      <c r="B464" s="7" t="s">
        <v>93</v>
      </c>
      <c r="C464" s="8" t="str">
        <f>"曾灿辉"</f>
        <v>曾灿辉</v>
      </c>
      <c r="D464" s="7" t="s">
        <v>11</v>
      </c>
      <c r="E464" s="8" t="str">
        <f>"440181199904098415"</f>
        <v>440181199904098415</v>
      </c>
      <c r="F464" s="10">
        <v>44082</v>
      </c>
      <c r="G464" s="11" t="s">
        <v>88</v>
      </c>
      <c r="H464" s="11"/>
    </row>
    <row r="465" spans="1:8" ht="14.25" customHeight="1">
      <c r="A465" s="6" t="s">
        <v>46</v>
      </c>
      <c r="B465" s="7" t="s">
        <v>93</v>
      </c>
      <c r="C465" s="8" t="str">
        <f>"罗厚丽"</f>
        <v>罗厚丽</v>
      </c>
      <c r="D465" s="7" t="s">
        <v>11</v>
      </c>
      <c r="E465" s="8" t="str">
        <f>"430426199206205017"</f>
        <v>430426199206205017</v>
      </c>
      <c r="F465" s="10">
        <v>44082</v>
      </c>
      <c r="G465" s="11" t="s">
        <v>88</v>
      </c>
      <c r="H465" s="11"/>
    </row>
    <row r="466" spans="1:8" ht="14.25" customHeight="1">
      <c r="A466" s="6" t="s">
        <v>47</v>
      </c>
      <c r="B466" s="7" t="s">
        <v>93</v>
      </c>
      <c r="C466" s="8" t="str">
        <f>"文广洪"</f>
        <v>文广洪</v>
      </c>
      <c r="D466" s="7" t="s">
        <v>11</v>
      </c>
      <c r="E466" s="8" t="str">
        <f>"440181199508124538"</f>
        <v>440181199508124538</v>
      </c>
      <c r="F466" s="10">
        <v>44082</v>
      </c>
      <c r="G466" s="11" t="s">
        <v>88</v>
      </c>
      <c r="H466" s="11"/>
    </row>
    <row r="467" spans="1:8" ht="14.25" customHeight="1">
      <c r="A467" s="6" t="s">
        <v>48</v>
      </c>
      <c r="B467" s="7" t="s">
        <v>93</v>
      </c>
      <c r="C467" s="8" t="str">
        <f>"胡广山"</f>
        <v>胡广山</v>
      </c>
      <c r="D467" s="7" t="s">
        <v>11</v>
      </c>
      <c r="E467" s="8" t="str">
        <f>"44142419980210487X"</f>
        <v>44142419980210487X</v>
      </c>
      <c r="F467" s="10">
        <v>44082</v>
      </c>
      <c r="G467" s="11" t="s">
        <v>88</v>
      </c>
      <c r="H467" s="11"/>
    </row>
    <row r="468" spans="1:8" ht="14.25" customHeight="1">
      <c r="A468" s="6" t="s">
        <v>49</v>
      </c>
      <c r="B468" s="7" t="s">
        <v>93</v>
      </c>
      <c r="C468" s="8" t="str">
        <f>"熊坤"</f>
        <v>熊坤</v>
      </c>
      <c r="D468" s="7" t="s">
        <v>11</v>
      </c>
      <c r="E468" s="8" t="str">
        <f>"42110219911111523X"</f>
        <v>42110219911111523X</v>
      </c>
      <c r="F468" s="10">
        <v>44082</v>
      </c>
      <c r="G468" s="11" t="s">
        <v>88</v>
      </c>
      <c r="H468" s="11"/>
    </row>
    <row r="469" spans="1:8" ht="14.25" customHeight="1">
      <c r="A469" s="6" t="s">
        <v>50</v>
      </c>
      <c r="B469" s="7" t="s">
        <v>93</v>
      </c>
      <c r="C469" s="8" t="str">
        <f>"黎永强"</f>
        <v>黎永强</v>
      </c>
      <c r="D469" s="7" t="s">
        <v>11</v>
      </c>
      <c r="E469" s="8" t="str">
        <f>"440181198601134816"</f>
        <v>440181198601134816</v>
      </c>
      <c r="F469" s="10">
        <v>44082</v>
      </c>
      <c r="G469" s="11" t="s">
        <v>88</v>
      </c>
      <c r="H469" s="11"/>
    </row>
    <row r="470" spans="1:8" ht="14.25" customHeight="1">
      <c r="A470" s="6" t="s">
        <v>51</v>
      </c>
      <c r="B470" s="7" t="s">
        <v>93</v>
      </c>
      <c r="C470" s="8" t="str">
        <f>"吴锦波"</f>
        <v>吴锦波</v>
      </c>
      <c r="D470" s="7" t="s">
        <v>11</v>
      </c>
      <c r="E470" s="8" t="str">
        <f>"440181198906034816"</f>
        <v>440181198906034816</v>
      </c>
      <c r="F470" s="10">
        <v>44082</v>
      </c>
      <c r="G470" s="11" t="s">
        <v>88</v>
      </c>
      <c r="H470" s="11"/>
    </row>
    <row r="471" spans="1:8" s="1" customFormat="1" ht="14.25" customHeight="1">
      <c r="A471" s="6" t="s">
        <v>52</v>
      </c>
      <c r="B471" s="7" t="s">
        <v>93</v>
      </c>
      <c r="C471" s="8" t="str">
        <f>"曾伟泺"</f>
        <v>曾伟泺</v>
      </c>
      <c r="D471" s="7" t="s">
        <v>11</v>
      </c>
      <c r="E471" s="8" t="str">
        <f>"44018119970523631X"</f>
        <v>44018119970523631X</v>
      </c>
      <c r="F471" s="10">
        <v>44082</v>
      </c>
      <c r="G471" s="11" t="s">
        <v>88</v>
      </c>
      <c r="H471" s="11"/>
    </row>
    <row r="472" spans="1:8" s="1" customFormat="1" ht="15" customHeight="1">
      <c r="A472" s="6" t="s">
        <v>53</v>
      </c>
      <c r="B472" s="7" t="s">
        <v>93</v>
      </c>
      <c r="C472" s="8" t="str">
        <f>"吴建星"</f>
        <v>吴建星</v>
      </c>
      <c r="D472" s="7" t="s">
        <v>11</v>
      </c>
      <c r="E472" s="8" t="str">
        <f>"431129198707272612"</f>
        <v>431129198707272612</v>
      </c>
      <c r="F472" s="10">
        <v>44082</v>
      </c>
      <c r="G472" s="11" t="s">
        <v>88</v>
      </c>
      <c r="H472" s="11"/>
    </row>
    <row r="473" spans="1:8" s="1" customFormat="1" ht="14.25" customHeight="1">
      <c r="A473" s="6" t="s">
        <v>54</v>
      </c>
      <c r="B473" s="7" t="s">
        <v>93</v>
      </c>
      <c r="C473" s="8" t="str">
        <f>"何铭熙"</f>
        <v>何铭熙</v>
      </c>
      <c r="D473" s="7" t="s">
        <v>11</v>
      </c>
      <c r="E473" s="8" t="str">
        <f>"440181198610208418"</f>
        <v>440181198610208418</v>
      </c>
      <c r="F473" s="10">
        <v>44082</v>
      </c>
      <c r="G473" s="11" t="s">
        <v>88</v>
      </c>
      <c r="H473" s="11"/>
    </row>
    <row r="474" spans="1:8" s="1" customFormat="1" ht="14.25" customHeight="1">
      <c r="A474" s="6" t="s">
        <v>55</v>
      </c>
      <c r="B474" s="7" t="s">
        <v>93</v>
      </c>
      <c r="C474" s="8" t="str">
        <f>"黄科"</f>
        <v>黄科</v>
      </c>
      <c r="D474" s="7" t="s">
        <v>11</v>
      </c>
      <c r="E474" s="8" t="str">
        <f>"441622199306186974"</f>
        <v>441622199306186974</v>
      </c>
      <c r="F474" s="10">
        <v>44082</v>
      </c>
      <c r="G474" s="11" t="s">
        <v>88</v>
      </c>
      <c r="H474" s="11"/>
    </row>
    <row r="475" spans="1:8" s="1" customFormat="1" ht="14.25" customHeight="1">
      <c r="A475" s="6" t="s">
        <v>56</v>
      </c>
      <c r="B475" s="7" t="s">
        <v>93</v>
      </c>
      <c r="C475" s="8" t="str">
        <f>"邬志恒"</f>
        <v>邬志恒</v>
      </c>
      <c r="D475" s="7" t="s">
        <v>11</v>
      </c>
      <c r="E475" s="8" t="str">
        <f>"440181199211294536"</f>
        <v>440181199211294536</v>
      </c>
      <c r="F475" s="10">
        <v>44082</v>
      </c>
      <c r="G475" s="11" t="s">
        <v>88</v>
      </c>
      <c r="H475" s="11"/>
    </row>
    <row r="476" spans="1:8" s="1" customFormat="1" ht="14.25" customHeight="1">
      <c r="A476" s="6" t="s">
        <v>57</v>
      </c>
      <c r="B476" s="7" t="s">
        <v>93</v>
      </c>
      <c r="C476" s="8" t="str">
        <f>"黄煜明"</f>
        <v>黄煜明</v>
      </c>
      <c r="D476" s="7" t="s">
        <v>11</v>
      </c>
      <c r="E476" s="8" t="str">
        <f>"440181199910085418"</f>
        <v>440181199910085418</v>
      </c>
      <c r="F476" s="10">
        <v>44082</v>
      </c>
      <c r="G476" s="11" t="s">
        <v>88</v>
      </c>
      <c r="H476" s="11"/>
    </row>
    <row r="477" spans="1:8" s="1" customFormat="1" ht="14.25" customHeight="1">
      <c r="A477" s="6" t="s">
        <v>58</v>
      </c>
      <c r="B477" s="7" t="s">
        <v>93</v>
      </c>
      <c r="C477" s="8" t="str">
        <f>"王家俊"</f>
        <v>王家俊</v>
      </c>
      <c r="D477" s="7" t="s">
        <v>11</v>
      </c>
      <c r="E477" s="8" t="str">
        <f>"440181199210288433"</f>
        <v>440181199210288433</v>
      </c>
      <c r="F477" s="10">
        <v>44082</v>
      </c>
      <c r="G477" s="11" t="s">
        <v>88</v>
      </c>
      <c r="H477" s="11"/>
    </row>
    <row r="478" spans="1:8" s="1" customFormat="1" ht="14.25" customHeight="1">
      <c r="A478" s="6" t="s">
        <v>59</v>
      </c>
      <c r="B478" s="7" t="s">
        <v>93</v>
      </c>
      <c r="C478" s="8" t="str">
        <f>"陈杰成"</f>
        <v>陈杰成</v>
      </c>
      <c r="D478" s="7" t="s">
        <v>11</v>
      </c>
      <c r="E478" s="8" t="str">
        <f>"44018119930420451X"</f>
        <v>44018119930420451X</v>
      </c>
      <c r="F478" s="10">
        <v>44082</v>
      </c>
      <c r="G478" s="11" t="s">
        <v>88</v>
      </c>
      <c r="H478" s="11"/>
    </row>
    <row r="479" spans="1:8" s="1" customFormat="1" ht="14.25" customHeight="1">
      <c r="A479" s="6" t="s">
        <v>60</v>
      </c>
      <c r="B479" s="7" t="s">
        <v>93</v>
      </c>
      <c r="C479" s="8" t="str">
        <f>"朱志键"</f>
        <v>朱志键</v>
      </c>
      <c r="D479" s="7" t="s">
        <v>11</v>
      </c>
      <c r="E479" s="8" t="str">
        <f>"440181199701114518"</f>
        <v>440181199701114518</v>
      </c>
      <c r="F479" s="10">
        <v>44082</v>
      </c>
      <c r="G479" s="11" t="s">
        <v>88</v>
      </c>
      <c r="H479" s="11"/>
    </row>
    <row r="480" spans="1:8" s="1" customFormat="1" ht="14.25" customHeight="1">
      <c r="A480" s="6" t="s">
        <v>61</v>
      </c>
      <c r="B480" s="7" t="s">
        <v>93</v>
      </c>
      <c r="C480" s="8" t="str">
        <f>"关杰英"</f>
        <v>关杰英</v>
      </c>
      <c r="D480" s="7" t="s">
        <v>11</v>
      </c>
      <c r="E480" s="8" t="str">
        <f>"440181199106184837"</f>
        <v>440181199106184837</v>
      </c>
      <c r="F480" s="10">
        <v>44082</v>
      </c>
      <c r="G480" s="11" t="s">
        <v>88</v>
      </c>
      <c r="H480" s="11"/>
    </row>
    <row r="481" spans="1:8" s="1" customFormat="1" ht="14.25" customHeight="1">
      <c r="A481" s="6" t="s">
        <v>62</v>
      </c>
      <c r="B481" s="7" t="s">
        <v>93</v>
      </c>
      <c r="C481" s="8" t="str">
        <f>"邬炯恒"</f>
        <v>邬炯恒</v>
      </c>
      <c r="D481" s="7" t="s">
        <v>11</v>
      </c>
      <c r="E481" s="8" t="str">
        <f>"44018119880723453X"</f>
        <v>44018119880723453X</v>
      </c>
      <c r="F481" s="10">
        <v>44082</v>
      </c>
      <c r="G481" s="11" t="s">
        <v>88</v>
      </c>
      <c r="H481" s="11"/>
    </row>
    <row r="482" spans="1:8" s="1" customFormat="1" ht="14.25" customHeight="1">
      <c r="A482" s="6" t="s">
        <v>63</v>
      </c>
      <c r="B482" s="7" t="s">
        <v>93</v>
      </c>
      <c r="C482" s="8" t="str">
        <f>"郭梓程"</f>
        <v>郭梓程</v>
      </c>
      <c r="D482" s="7" t="s">
        <v>11</v>
      </c>
      <c r="E482" s="8" t="str">
        <f>"440181198911025113"</f>
        <v>440181198911025113</v>
      </c>
      <c r="F482" s="10">
        <v>44082</v>
      </c>
      <c r="G482" s="11" t="s">
        <v>88</v>
      </c>
      <c r="H482" s="11"/>
    </row>
    <row r="483" spans="1:8" s="1" customFormat="1" ht="14.25" customHeight="1">
      <c r="A483" s="6" t="s">
        <v>64</v>
      </c>
      <c r="B483" s="7" t="s">
        <v>93</v>
      </c>
      <c r="C483" s="8" t="str">
        <f>"蒋俊辉"</f>
        <v>蒋俊辉</v>
      </c>
      <c r="D483" s="7" t="s">
        <v>11</v>
      </c>
      <c r="E483" s="8" t="str">
        <f>"44018119940522451X"</f>
        <v>44018119940522451X</v>
      </c>
      <c r="F483" s="10">
        <v>44082</v>
      </c>
      <c r="G483" s="11" t="s">
        <v>88</v>
      </c>
      <c r="H483" s="11"/>
    </row>
    <row r="484" spans="1:8" s="1" customFormat="1" ht="14.25" customHeight="1">
      <c r="A484" s="6" t="s">
        <v>65</v>
      </c>
      <c r="B484" s="7" t="s">
        <v>93</v>
      </c>
      <c r="C484" s="8" t="str">
        <f>"王韩伦"</f>
        <v>王韩伦</v>
      </c>
      <c r="D484" s="7" t="s">
        <v>11</v>
      </c>
      <c r="E484" s="8" t="str">
        <f>"430422199803083075"</f>
        <v>430422199803083075</v>
      </c>
      <c r="F484" s="10">
        <v>44082</v>
      </c>
      <c r="G484" s="11" t="s">
        <v>88</v>
      </c>
      <c r="H484" s="11"/>
    </row>
    <row r="485" spans="1:8" s="1" customFormat="1" ht="14.25" customHeight="1">
      <c r="A485" s="6" t="s">
        <v>66</v>
      </c>
      <c r="B485" s="7" t="s">
        <v>93</v>
      </c>
      <c r="C485" s="8" t="str">
        <f>"林紫祺"</f>
        <v>林紫祺</v>
      </c>
      <c r="D485" s="7" t="s">
        <v>11</v>
      </c>
      <c r="E485" s="8" t="str">
        <f>"440181199602081538"</f>
        <v>440181199602081538</v>
      </c>
      <c r="F485" s="10">
        <v>44082</v>
      </c>
      <c r="G485" s="11" t="s">
        <v>88</v>
      </c>
      <c r="H485" s="11"/>
    </row>
    <row r="486" spans="1:8" s="1" customFormat="1" ht="14.25" customHeight="1">
      <c r="A486" s="6" t="s">
        <v>67</v>
      </c>
      <c r="B486" s="7" t="s">
        <v>93</v>
      </c>
      <c r="C486" s="8" t="str">
        <f>"李梓坚"</f>
        <v>李梓坚</v>
      </c>
      <c r="D486" s="7" t="s">
        <v>11</v>
      </c>
      <c r="E486" s="8" t="str">
        <f>"440181199509114534"</f>
        <v>440181199509114534</v>
      </c>
      <c r="F486" s="10">
        <v>44082</v>
      </c>
      <c r="G486" s="11" t="s">
        <v>88</v>
      </c>
      <c r="H486" s="11"/>
    </row>
    <row r="487" spans="1:8" s="1" customFormat="1" ht="14.25" customHeight="1">
      <c r="A487" s="6" t="s">
        <v>68</v>
      </c>
      <c r="B487" s="7" t="s">
        <v>93</v>
      </c>
      <c r="C487" s="8" t="str">
        <f>"朱嘉杰"</f>
        <v>朱嘉杰</v>
      </c>
      <c r="D487" s="7" t="s">
        <v>11</v>
      </c>
      <c r="E487" s="8" t="str">
        <f>"440181199410244515"</f>
        <v>440181199410244515</v>
      </c>
      <c r="F487" s="10">
        <v>44082</v>
      </c>
      <c r="G487" s="11" t="s">
        <v>88</v>
      </c>
      <c r="H487" s="11"/>
    </row>
    <row r="488" spans="1:8" s="1" customFormat="1" ht="14.25" customHeight="1">
      <c r="A488" s="6" t="s">
        <v>69</v>
      </c>
      <c r="B488" s="7" t="s">
        <v>93</v>
      </c>
      <c r="C488" s="8" t="str">
        <f>"李志斌"</f>
        <v>李志斌</v>
      </c>
      <c r="D488" s="7" t="s">
        <v>11</v>
      </c>
      <c r="E488" s="8" t="str">
        <f>"440181198605094516"</f>
        <v>440181198605094516</v>
      </c>
      <c r="F488" s="10">
        <v>44082</v>
      </c>
      <c r="G488" s="11" t="s">
        <v>88</v>
      </c>
      <c r="H488" s="11"/>
    </row>
    <row r="489" spans="1:8" s="1" customFormat="1" ht="14.25" customHeight="1">
      <c r="A489" s="6" t="s">
        <v>70</v>
      </c>
      <c r="B489" s="7" t="s">
        <v>93</v>
      </c>
      <c r="C489" s="8" t="str">
        <f>"蒋伟焯"</f>
        <v>蒋伟焯</v>
      </c>
      <c r="D489" s="7" t="s">
        <v>11</v>
      </c>
      <c r="E489" s="8" t="str">
        <f>"44018119950907451X"</f>
        <v>44018119950907451X</v>
      </c>
      <c r="F489" s="10">
        <v>44082</v>
      </c>
      <c r="G489" s="11" t="s">
        <v>88</v>
      </c>
      <c r="H489" s="11"/>
    </row>
    <row r="490" spans="1:8" s="1" customFormat="1" ht="15" customHeight="1">
      <c r="A490" s="6" t="s">
        <v>71</v>
      </c>
      <c r="B490" s="7" t="s">
        <v>93</v>
      </c>
      <c r="C490" s="8" t="str">
        <f>"卢骏杰"</f>
        <v>卢骏杰</v>
      </c>
      <c r="D490" s="7" t="s">
        <v>11</v>
      </c>
      <c r="E490" s="8" t="str">
        <f>"440181199411044515"</f>
        <v>440181199411044515</v>
      </c>
      <c r="F490" s="10">
        <v>44082</v>
      </c>
      <c r="G490" s="11" t="s">
        <v>88</v>
      </c>
      <c r="H490" s="11"/>
    </row>
    <row r="491" spans="1:8" s="1" customFormat="1" ht="14.25" customHeight="1">
      <c r="A491" s="6" t="s">
        <v>72</v>
      </c>
      <c r="B491" s="7" t="s">
        <v>93</v>
      </c>
      <c r="C491" s="8" t="str">
        <f>"何文宇"</f>
        <v>何文宇</v>
      </c>
      <c r="D491" s="7" t="s">
        <v>11</v>
      </c>
      <c r="E491" s="8" t="str">
        <f>"440181199009110617"</f>
        <v>440181199009110617</v>
      </c>
      <c r="F491" s="10">
        <v>44082</v>
      </c>
      <c r="G491" s="11" t="s">
        <v>88</v>
      </c>
      <c r="H491" s="11"/>
    </row>
    <row r="492" spans="1:8" s="1" customFormat="1" ht="14.25" customHeight="1">
      <c r="A492" s="6" t="s">
        <v>73</v>
      </c>
      <c r="B492" s="7" t="s">
        <v>93</v>
      </c>
      <c r="C492" s="8" t="str">
        <f>"吴培辉"</f>
        <v>吴培辉</v>
      </c>
      <c r="D492" s="7" t="s">
        <v>11</v>
      </c>
      <c r="E492" s="8" t="str">
        <f>"440181199310124217"</f>
        <v>440181199310124217</v>
      </c>
      <c r="F492" s="10">
        <v>44082</v>
      </c>
      <c r="G492" s="11" t="s">
        <v>88</v>
      </c>
      <c r="H492" s="11"/>
    </row>
    <row r="493" spans="1:8" s="1" customFormat="1" ht="14.25" customHeight="1">
      <c r="A493" s="6" t="s">
        <v>74</v>
      </c>
      <c r="B493" s="7" t="s">
        <v>93</v>
      </c>
      <c r="C493" s="8" t="str">
        <f>"陈梓俊"</f>
        <v>陈梓俊</v>
      </c>
      <c r="D493" s="7" t="s">
        <v>11</v>
      </c>
      <c r="E493" s="8" t="str">
        <f>"440181199712134514"</f>
        <v>440181199712134514</v>
      </c>
      <c r="F493" s="10">
        <v>44082</v>
      </c>
      <c r="G493" s="11" t="s">
        <v>88</v>
      </c>
      <c r="H493" s="11"/>
    </row>
    <row r="494" spans="1:8" s="1" customFormat="1" ht="14.25" customHeight="1">
      <c r="A494" s="6" t="s">
        <v>75</v>
      </c>
      <c r="B494" s="7" t="s">
        <v>93</v>
      </c>
      <c r="C494" s="8" t="str">
        <f>"文湛星"</f>
        <v>文湛星</v>
      </c>
      <c r="D494" s="7" t="s">
        <v>11</v>
      </c>
      <c r="E494" s="8" t="str">
        <f>"440181198704064515"</f>
        <v>440181198704064515</v>
      </c>
      <c r="F494" s="10">
        <v>44082</v>
      </c>
      <c r="G494" s="11" t="s">
        <v>88</v>
      </c>
      <c r="H494" s="11"/>
    </row>
    <row r="495" spans="1:8" s="1" customFormat="1" ht="14.25" customHeight="1">
      <c r="A495" s="6" t="s">
        <v>76</v>
      </c>
      <c r="B495" s="7" t="s">
        <v>93</v>
      </c>
      <c r="C495" s="8" t="str">
        <f>"李健友"</f>
        <v>李健友</v>
      </c>
      <c r="D495" s="7" t="s">
        <v>11</v>
      </c>
      <c r="E495" s="8" t="str">
        <f>"44018119940629451X"</f>
        <v>44018119940629451X</v>
      </c>
      <c r="F495" s="10">
        <v>44082</v>
      </c>
      <c r="G495" s="11" t="s">
        <v>88</v>
      </c>
      <c r="H495" s="11"/>
    </row>
    <row r="496" spans="1:8" s="1" customFormat="1" ht="14.25" customHeight="1">
      <c r="A496" s="6" t="s">
        <v>77</v>
      </c>
      <c r="B496" s="7" t="s">
        <v>93</v>
      </c>
      <c r="C496" s="8" t="str">
        <f>"郭嘉俊"</f>
        <v>郭嘉俊</v>
      </c>
      <c r="D496" s="7" t="s">
        <v>11</v>
      </c>
      <c r="E496" s="8" t="str">
        <f>"440181199903062410"</f>
        <v>440181199903062410</v>
      </c>
      <c r="F496" s="10">
        <v>44082</v>
      </c>
      <c r="G496" s="11" t="s">
        <v>88</v>
      </c>
      <c r="H496" s="11"/>
    </row>
    <row r="497" spans="1:8" s="1" customFormat="1" ht="14.25" customHeight="1">
      <c r="A497" s="6" t="s">
        <v>78</v>
      </c>
      <c r="B497" s="7" t="s">
        <v>93</v>
      </c>
      <c r="C497" s="8" t="str">
        <f>"谭泳钊"</f>
        <v>谭泳钊</v>
      </c>
      <c r="D497" s="7" t="s">
        <v>11</v>
      </c>
      <c r="E497" s="8" t="str">
        <f>"440111199906052710"</f>
        <v>440111199906052710</v>
      </c>
      <c r="F497" s="10">
        <v>44082</v>
      </c>
      <c r="G497" s="11" t="s">
        <v>88</v>
      </c>
      <c r="H497" s="11"/>
    </row>
    <row r="498" spans="1:8" s="1" customFormat="1" ht="14.25" customHeight="1">
      <c r="A498" s="6" t="s">
        <v>79</v>
      </c>
      <c r="B498" s="7" t="s">
        <v>93</v>
      </c>
      <c r="C498" s="8" t="str">
        <f>"张润标"</f>
        <v>张润标</v>
      </c>
      <c r="D498" s="7" t="s">
        <v>11</v>
      </c>
      <c r="E498" s="8" t="str">
        <f>"44018119930421841X"</f>
        <v>44018119930421841X</v>
      </c>
      <c r="F498" s="10">
        <v>44082</v>
      </c>
      <c r="G498" s="11" t="s">
        <v>88</v>
      </c>
      <c r="H498" s="11"/>
    </row>
    <row r="499" spans="1:8" s="1" customFormat="1" ht="14.25" customHeight="1">
      <c r="A499" s="6" t="s">
        <v>80</v>
      </c>
      <c r="B499" s="7" t="s">
        <v>93</v>
      </c>
      <c r="C499" s="8" t="str">
        <f>"罗嘉辉"</f>
        <v>罗嘉辉</v>
      </c>
      <c r="D499" s="7" t="s">
        <v>11</v>
      </c>
      <c r="E499" s="8" t="str">
        <f>"440181199411260912"</f>
        <v>440181199411260912</v>
      </c>
      <c r="F499" s="10">
        <v>44082</v>
      </c>
      <c r="G499" s="11" t="s">
        <v>88</v>
      </c>
      <c r="H499" s="11"/>
    </row>
    <row r="500" spans="1:8" s="1" customFormat="1" ht="14.25" customHeight="1">
      <c r="A500" s="6" t="s">
        <v>81</v>
      </c>
      <c r="B500" s="7" t="s">
        <v>93</v>
      </c>
      <c r="C500" s="8" t="str">
        <f>"尹炳雄"</f>
        <v>尹炳雄</v>
      </c>
      <c r="D500" s="7" t="s">
        <v>11</v>
      </c>
      <c r="E500" s="8" t="str">
        <f>"440181199309284512"</f>
        <v>440181199309284512</v>
      </c>
      <c r="F500" s="10">
        <v>44082</v>
      </c>
      <c r="G500" s="11" t="s">
        <v>88</v>
      </c>
      <c r="H500" s="11"/>
    </row>
    <row r="501" spans="1:8" ht="22.5">
      <c r="A501" s="3" t="s">
        <v>94</v>
      </c>
      <c r="B501" s="3"/>
      <c r="C501" s="3"/>
      <c r="D501" s="3"/>
      <c r="E501" s="3"/>
      <c r="F501" s="3"/>
      <c r="G501" s="3"/>
      <c r="H501" s="3"/>
    </row>
    <row r="502" spans="1:8" ht="37.5">
      <c r="A502" s="4" t="s">
        <v>2</v>
      </c>
      <c r="B502" s="4" t="s">
        <v>3</v>
      </c>
      <c r="C502" s="5" t="s">
        <v>4</v>
      </c>
      <c r="D502" s="4" t="s">
        <v>5</v>
      </c>
      <c r="E502" s="5" t="s">
        <v>6</v>
      </c>
      <c r="F502" s="4" t="s">
        <v>7</v>
      </c>
      <c r="G502" s="4" t="s">
        <v>8</v>
      </c>
      <c r="H502" s="4" t="s">
        <v>9</v>
      </c>
    </row>
    <row r="503" spans="1:8" ht="14.25" customHeight="1">
      <c r="A503" s="6" t="s">
        <v>10</v>
      </c>
      <c r="B503" s="7" t="s">
        <v>93</v>
      </c>
      <c r="C503" s="8" t="str">
        <f>"曾俊杰"</f>
        <v>曾俊杰</v>
      </c>
      <c r="D503" s="7" t="s">
        <v>11</v>
      </c>
      <c r="E503" s="8" t="str">
        <f>"440181199808130016"</f>
        <v>440181199808130016</v>
      </c>
      <c r="F503" s="10">
        <v>44082</v>
      </c>
      <c r="G503" s="11" t="s">
        <v>88</v>
      </c>
      <c r="H503" s="12"/>
    </row>
    <row r="504" spans="1:8" ht="14.25" customHeight="1">
      <c r="A504" s="6" t="s">
        <v>13</v>
      </c>
      <c r="B504" s="7" t="s">
        <v>93</v>
      </c>
      <c r="C504" s="8" t="str">
        <f>"邬焯航"</f>
        <v>邬焯航</v>
      </c>
      <c r="D504" s="7" t="s">
        <v>11</v>
      </c>
      <c r="E504" s="8" t="str">
        <f>"440181199611034514"</f>
        <v>440181199611034514</v>
      </c>
      <c r="F504" s="10">
        <v>44082</v>
      </c>
      <c r="G504" s="11" t="s">
        <v>88</v>
      </c>
      <c r="H504" s="12"/>
    </row>
    <row r="505" spans="1:8" ht="14.25" customHeight="1">
      <c r="A505" s="6" t="s">
        <v>14</v>
      </c>
      <c r="B505" s="7" t="s">
        <v>93</v>
      </c>
      <c r="C505" s="8" t="str">
        <f>"林荣康"</f>
        <v>林荣康</v>
      </c>
      <c r="D505" s="7" t="s">
        <v>11</v>
      </c>
      <c r="E505" s="8" t="str">
        <f>"441226199803083734"</f>
        <v>441226199803083734</v>
      </c>
      <c r="F505" s="10">
        <v>44082</v>
      </c>
      <c r="G505" s="11" t="s">
        <v>88</v>
      </c>
      <c r="H505" s="12"/>
    </row>
    <row r="506" spans="1:8" ht="14.25" customHeight="1">
      <c r="A506" s="6" t="s">
        <v>15</v>
      </c>
      <c r="B506" s="7" t="s">
        <v>93</v>
      </c>
      <c r="C506" s="8" t="str">
        <f>"王志远"</f>
        <v>王志远</v>
      </c>
      <c r="D506" s="7" t="s">
        <v>11</v>
      </c>
      <c r="E506" s="8" t="str">
        <f>"440181198908161536"</f>
        <v>440181198908161536</v>
      </c>
      <c r="F506" s="10">
        <v>44082</v>
      </c>
      <c r="G506" s="11" t="s">
        <v>88</v>
      </c>
      <c r="H506" s="12"/>
    </row>
    <row r="507" spans="1:8" ht="14.25" customHeight="1">
      <c r="A507" s="6" t="s">
        <v>16</v>
      </c>
      <c r="B507" s="7" t="s">
        <v>93</v>
      </c>
      <c r="C507" s="8" t="str">
        <f>"黎嘉俊"</f>
        <v>黎嘉俊</v>
      </c>
      <c r="D507" s="7" t="s">
        <v>11</v>
      </c>
      <c r="E507" s="8" t="str">
        <f>"440181199107134815"</f>
        <v>440181199107134815</v>
      </c>
      <c r="F507" s="10">
        <v>44082</v>
      </c>
      <c r="G507" s="11" t="s">
        <v>88</v>
      </c>
      <c r="H507" s="12"/>
    </row>
    <row r="508" spans="1:8" ht="14.25" customHeight="1">
      <c r="A508" s="6" t="s">
        <v>17</v>
      </c>
      <c r="B508" s="7" t="s">
        <v>93</v>
      </c>
      <c r="C508" s="8" t="str">
        <f>"龙子扬"</f>
        <v>龙子扬</v>
      </c>
      <c r="D508" s="7" t="s">
        <v>11</v>
      </c>
      <c r="E508" s="8" t="str">
        <f>"440181199805060016"</f>
        <v>440181199805060016</v>
      </c>
      <c r="F508" s="10">
        <v>44082</v>
      </c>
      <c r="G508" s="11" t="s">
        <v>88</v>
      </c>
      <c r="H508" s="12"/>
    </row>
    <row r="509" spans="1:8" ht="14.25" customHeight="1">
      <c r="A509" s="6" t="s">
        <v>18</v>
      </c>
      <c r="B509" s="7" t="s">
        <v>93</v>
      </c>
      <c r="C509" s="8" t="str">
        <f>"冼景华"</f>
        <v>冼景华</v>
      </c>
      <c r="D509" s="7" t="s">
        <v>11</v>
      </c>
      <c r="E509" s="8" t="str">
        <f>"440181198712177819"</f>
        <v>440181198712177819</v>
      </c>
      <c r="F509" s="10">
        <v>44082</v>
      </c>
      <c r="G509" s="11" t="s">
        <v>88</v>
      </c>
      <c r="H509" s="12"/>
    </row>
    <row r="510" spans="1:8" ht="14.25" customHeight="1">
      <c r="A510" s="6" t="s">
        <v>19</v>
      </c>
      <c r="B510" s="7" t="s">
        <v>93</v>
      </c>
      <c r="C510" s="8" t="str">
        <f>"庄永康"</f>
        <v>庄永康</v>
      </c>
      <c r="D510" s="7" t="s">
        <v>11</v>
      </c>
      <c r="E510" s="8" t="str">
        <f>"440181199407083618"</f>
        <v>440181199407083618</v>
      </c>
      <c r="F510" s="10">
        <v>44082</v>
      </c>
      <c r="G510" s="11" t="s">
        <v>88</v>
      </c>
      <c r="H510" s="12"/>
    </row>
    <row r="511" spans="1:8" ht="14.25" customHeight="1">
      <c r="A511" s="6" t="s">
        <v>20</v>
      </c>
      <c r="B511" s="7" t="s">
        <v>93</v>
      </c>
      <c r="C511" s="8" t="str">
        <f>"蔡一锋"</f>
        <v>蔡一锋</v>
      </c>
      <c r="D511" s="7" t="s">
        <v>11</v>
      </c>
      <c r="E511" s="8" t="str">
        <f>"440923199503064097"</f>
        <v>440923199503064097</v>
      </c>
      <c r="F511" s="10">
        <v>44082</v>
      </c>
      <c r="G511" s="11" t="s">
        <v>88</v>
      </c>
      <c r="H511" s="12"/>
    </row>
    <row r="512" spans="1:8" ht="14.25" customHeight="1">
      <c r="A512" s="6" t="s">
        <v>21</v>
      </c>
      <c r="B512" s="7" t="s">
        <v>93</v>
      </c>
      <c r="C512" s="8" t="str">
        <f>"张仲磊"</f>
        <v>张仲磊</v>
      </c>
      <c r="D512" s="7" t="s">
        <v>11</v>
      </c>
      <c r="E512" s="8" t="str">
        <f>"440882199610103033"</f>
        <v>440882199610103033</v>
      </c>
      <c r="F512" s="10">
        <v>44082</v>
      </c>
      <c r="G512" s="11" t="s">
        <v>88</v>
      </c>
      <c r="H512" s="12"/>
    </row>
    <row r="513" spans="1:8" ht="14.25" customHeight="1">
      <c r="A513" s="6" t="s">
        <v>22</v>
      </c>
      <c r="B513" s="7" t="s">
        <v>93</v>
      </c>
      <c r="C513" s="8" t="str">
        <f>"谢浚权"</f>
        <v>谢浚权</v>
      </c>
      <c r="D513" s="7" t="s">
        <v>11</v>
      </c>
      <c r="E513" s="8" t="str">
        <f>"440111199908232715"</f>
        <v>440111199908232715</v>
      </c>
      <c r="F513" s="10">
        <v>44082</v>
      </c>
      <c r="G513" s="11" t="s">
        <v>88</v>
      </c>
      <c r="H513" s="12"/>
    </row>
    <row r="514" spans="1:8" ht="14.25" customHeight="1">
      <c r="A514" s="6" t="s">
        <v>23</v>
      </c>
      <c r="B514" s="7" t="s">
        <v>93</v>
      </c>
      <c r="C514" s="8" t="str">
        <f>"邓镇尧"</f>
        <v>邓镇尧</v>
      </c>
      <c r="D514" s="7" t="s">
        <v>11</v>
      </c>
      <c r="E514" s="8" t="str">
        <f>"44018119970414451X"</f>
        <v>44018119970414451X</v>
      </c>
      <c r="F514" s="10">
        <v>44082</v>
      </c>
      <c r="G514" s="11" t="s">
        <v>88</v>
      </c>
      <c r="H514" s="12"/>
    </row>
    <row r="515" spans="1:8" ht="14.25" customHeight="1">
      <c r="A515" s="6" t="s">
        <v>24</v>
      </c>
      <c r="B515" s="7" t="s">
        <v>93</v>
      </c>
      <c r="C515" s="8" t="str">
        <f>"何信宏"</f>
        <v>何信宏</v>
      </c>
      <c r="D515" s="7" t="s">
        <v>11</v>
      </c>
      <c r="E515" s="8" t="str">
        <f>"440181199203317814"</f>
        <v>440181199203317814</v>
      </c>
      <c r="F515" s="10">
        <v>44082</v>
      </c>
      <c r="G515" s="11" t="s">
        <v>88</v>
      </c>
      <c r="H515" s="12"/>
    </row>
    <row r="516" spans="1:8" ht="14.25" customHeight="1">
      <c r="A516" s="6" t="s">
        <v>25</v>
      </c>
      <c r="B516" s="7" t="s">
        <v>93</v>
      </c>
      <c r="C516" s="8" t="str">
        <f>"冯兆军"</f>
        <v>冯兆军</v>
      </c>
      <c r="D516" s="7" t="s">
        <v>11</v>
      </c>
      <c r="E516" s="8" t="str">
        <f>"44018119870420061X"</f>
        <v>44018119870420061X</v>
      </c>
      <c r="F516" s="10">
        <v>44082</v>
      </c>
      <c r="G516" s="11" t="s">
        <v>88</v>
      </c>
      <c r="H516" s="12"/>
    </row>
    <row r="517" spans="1:8" ht="14.25" customHeight="1">
      <c r="A517" s="6" t="s">
        <v>26</v>
      </c>
      <c r="B517" s="7" t="s">
        <v>93</v>
      </c>
      <c r="C517" s="8" t="str">
        <f>"郭汉荣"</f>
        <v>郭汉荣</v>
      </c>
      <c r="D517" s="7" t="s">
        <v>11</v>
      </c>
      <c r="E517" s="8" t="str">
        <f>"440181199407196313"</f>
        <v>440181199407196313</v>
      </c>
      <c r="F517" s="10">
        <v>44082</v>
      </c>
      <c r="G517" s="11" t="s">
        <v>88</v>
      </c>
      <c r="H517" s="12"/>
    </row>
    <row r="518" spans="1:8" ht="14.25" customHeight="1">
      <c r="A518" s="6" t="s">
        <v>27</v>
      </c>
      <c r="B518" s="7" t="s">
        <v>93</v>
      </c>
      <c r="C518" s="8" t="str">
        <f>"陈爱武"</f>
        <v>陈爱武</v>
      </c>
      <c r="D518" s="7" t="s">
        <v>11</v>
      </c>
      <c r="E518" s="8" t="str">
        <f>"342623199403050036"</f>
        <v>342623199403050036</v>
      </c>
      <c r="F518" s="10">
        <v>44082</v>
      </c>
      <c r="G518" s="11" t="s">
        <v>88</v>
      </c>
      <c r="H518" s="12"/>
    </row>
    <row r="519" spans="1:8" ht="14.25" customHeight="1">
      <c r="A519" s="6" t="s">
        <v>28</v>
      </c>
      <c r="B519" s="7" t="s">
        <v>93</v>
      </c>
      <c r="C519" s="8" t="str">
        <f>"潘世照"</f>
        <v>潘世照</v>
      </c>
      <c r="D519" s="7" t="s">
        <v>11</v>
      </c>
      <c r="E519" s="8" t="str">
        <f>"440825199311083514"</f>
        <v>440825199311083514</v>
      </c>
      <c r="F519" s="10">
        <v>44082</v>
      </c>
      <c r="G519" s="11" t="s">
        <v>88</v>
      </c>
      <c r="H519" s="12"/>
    </row>
    <row r="520" spans="1:8" ht="14.25" customHeight="1">
      <c r="A520" s="6" t="s">
        <v>29</v>
      </c>
      <c r="B520" s="7" t="s">
        <v>93</v>
      </c>
      <c r="C520" s="8" t="str">
        <f>"蒙柱聪"</f>
        <v>蒙柱聪</v>
      </c>
      <c r="D520" s="7" t="s">
        <v>11</v>
      </c>
      <c r="E520" s="8" t="str">
        <f>"440181199005103911"</f>
        <v>440181199005103911</v>
      </c>
      <c r="F520" s="10">
        <v>44082</v>
      </c>
      <c r="G520" s="11" t="s">
        <v>88</v>
      </c>
      <c r="H520" s="11"/>
    </row>
    <row r="521" spans="1:8" ht="14.25" customHeight="1">
      <c r="A521" s="6" t="s">
        <v>30</v>
      </c>
      <c r="B521" s="7" t="s">
        <v>93</v>
      </c>
      <c r="C521" s="8" t="str">
        <f>"胡山山"</f>
        <v>胡山山</v>
      </c>
      <c r="D521" s="7" t="s">
        <v>11</v>
      </c>
      <c r="E521" s="8" t="str">
        <f>"441424199509214818"</f>
        <v>441424199509214818</v>
      </c>
      <c r="F521" s="10">
        <v>44082</v>
      </c>
      <c r="G521" s="11" t="s">
        <v>88</v>
      </c>
      <c r="H521" s="11"/>
    </row>
    <row r="522" spans="1:8" ht="14.25" customHeight="1">
      <c r="A522" s="6" t="s">
        <v>31</v>
      </c>
      <c r="B522" s="7" t="s">
        <v>93</v>
      </c>
      <c r="C522" s="8" t="str">
        <f>"黄冠翔"</f>
        <v>黄冠翔</v>
      </c>
      <c r="D522" s="7" t="s">
        <v>11</v>
      </c>
      <c r="E522" s="8" t="str">
        <f>"440981200011140216"</f>
        <v>440981200011140216</v>
      </c>
      <c r="F522" s="10">
        <v>44082</v>
      </c>
      <c r="G522" s="11" t="s">
        <v>88</v>
      </c>
      <c r="H522" s="11"/>
    </row>
    <row r="523" spans="1:8" ht="14.25" customHeight="1">
      <c r="A523" s="6" t="s">
        <v>32</v>
      </c>
      <c r="B523" s="7" t="s">
        <v>93</v>
      </c>
      <c r="C523" s="8" t="str">
        <f>"陈灿成"</f>
        <v>陈灿成</v>
      </c>
      <c r="D523" s="7" t="s">
        <v>11</v>
      </c>
      <c r="E523" s="8" t="str">
        <f>"440181199012204219"</f>
        <v>440181199012204219</v>
      </c>
      <c r="F523" s="10">
        <v>44082</v>
      </c>
      <c r="G523" s="11" t="s">
        <v>88</v>
      </c>
      <c r="H523" s="11"/>
    </row>
    <row r="524" spans="1:8" ht="14.25" customHeight="1">
      <c r="A524" s="6" t="s">
        <v>33</v>
      </c>
      <c r="B524" s="7" t="s">
        <v>93</v>
      </c>
      <c r="C524" s="8" t="str">
        <f>"陈志开"</f>
        <v>陈志开</v>
      </c>
      <c r="D524" s="7" t="s">
        <v>11</v>
      </c>
      <c r="E524" s="8" t="str">
        <f>"440181199312164511"</f>
        <v>440181199312164511</v>
      </c>
      <c r="F524" s="10">
        <v>44082</v>
      </c>
      <c r="G524" s="11" t="s">
        <v>88</v>
      </c>
      <c r="H524" s="11"/>
    </row>
    <row r="525" spans="1:8" ht="14.25" customHeight="1">
      <c r="A525" s="6" t="s">
        <v>34</v>
      </c>
      <c r="B525" s="7" t="s">
        <v>93</v>
      </c>
      <c r="C525" s="8" t="str">
        <f>"曾嘉明"</f>
        <v>曾嘉明</v>
      </c>
      <c r="D525" s="7" t="s">
        <v>11</v>
      </c>
      <c r="E525" s="8" t="str">
        <f>"440181199508314251"</f>
        <v>440181199508314251</v>
      </c>
      <c r="F525" s="10">
        <v>44082</v>
      </c>
      <c r="G525" s="11" t="s">
        <v>88</v>
      </c>
      <c r="H525" s="11"/>
    </row>
    <row r="526" spans="1:8" ht="14.25" customHeight="1">
      <c r="A526" s="6" t="s">
        <v>35</v>
      </c>
      <c r="B526" s="7" t="s">
        <v>93</v>
      </c>
      <c r="C526" s="8" t="str">
        <f>"唐杰荣"</f>
        <v>唐杰荣</v>
      </c>
      <c r="D526" s="7" t="s">
        <v>11</v>
      </c>
      <c r="E526" s="8" t="str">
        <f>"440181198604224235"</f>
        <v>440181198604224235</v>
      </c>
      <c r="F526" s="10">
        <v>44082</v>
      </c>
      <c r="G526" s="11" t="s">
        <v>88</v>
      </c>
      <c r="H526" s="11"/>
    </row>
    <row r="527" spans="1:8" ht="14.25" customHeight="1">
      <c r="A527" s="6" t="s">
        <v>36</v>
      </c>
      <c r="B527" s="7" t="s">
        <v>93</v>
      </c>
      <c r="C527" s="8" t="str">
        <f>"陈绰亨"</f>
        <v>陈绰亨</v>
      </c>
      <c r="D527" s="7" t="s">
        <v>11</v>
      </c>
      <c r="E527" s="8" t="str">
        <f>"440181199506174515"</f>
        <v>440181199506174515</v>
      </c>
      <c r="F527" s="10">
        <v>44082</v>
      </c>
      <c r="G527" s="11" t="s">
        <v>88</v>
      </c>
      <c r="H527" s="11"/>
    </row>
    <row r="528" spans="1:8" ht="14.25" customHeight="1">
      <c r="A528" s="6" t="s">
        <v>37</v>
      </c>
      <c r="B528" s="7" t="s">
        <v>93</v>
      </c>
      <c r="C528" s="8" t="str">
        <f>"陈文达"</f>
        <v>陈文达</v>
      </c>
      <c r="D528" s="7" t="s">
        <v>11</v>
      </c>
      <c r="E528" s="8" t="str">
        <f>"440181199709164536"</f>
        <v>440181199709164536</v>
      </c>
      <c r="F528" s="10">
        <v>44082</v>
      </c>
      <c r="G528" s="11" t="s">
        <v>88</v>
      </c>
      <c r="H528" s="11"/>
    </row>
    <row r="529" spans="1:8" ht="14.25" customHeight="1">
      <c r="A529" s="6" t="s">
        <v>38</v>
      </c>
      <c r="B529" s="7" t="s">
        <v>93</v>
      </c>
      <c r="C529" s="8" t="str">
        <f>"陈子文"</f>
        <v>陈子文</v>
      </c>
      <c r="D529" s="7" t="s">
        <v>11</v>
      </c>
      <c r="E529" s="8" t="str">
        <f>"440181198512122418"</f>
        <v>440181198512122418</v>
      </c>
      <c r="F529" s="10">
        <v>44082</v>
      </c>
      <c r="G529" s="11" t="s">
        <v>88</v>
      </c>
      <c r="H529" s="11"/>
    </row>
    <row r="530" spans="1:8" ht="14.25" customHeight="1">
      <c r="A530" s="6" t="s">
        <v>39</v>
      </c>
      <c r="B530" s="7" t="s">
        <v>93</v>
      </c>
      <c r="C530" s="8" t="str">
        <f>"陈伟豪"</f>
        <v>陈伟豪</v>
      </c>
      <c r="D530" s="7" t="s">
        <v>11</v>
      </c>
      <c r="E530" s="8" t="str">
        <f>"440181199502064511"</f>
        <v>440181199502064511</v>
      </c>
      <c r="F530" s="10">
        <v>44082</v>
      </c>
      <c r="G530" s="11" t="s">
        <v>88</v>
      </c>
      <c r="H530" s="11"/>
    </row>
    <row r="531" spans="1:8" ht="14.25" customHeight="1">
      <c r="A531" s="6" t="s">
        <v>40</v>
      </c>
      <c r="B531" s="7" t="s">
        <v>93</v>
      </c>
      <c r="C531" s="8" t="str">
        <f>"梁伟健"</f>
        <v>梁伟健</v>
      </c>
      <c r="D531" s="7" t="s">
        <v>11</v>
      </c>
      <c r="E531" s="8" t="str">
        <f>"440181199402284533"</f>
        <v>440181199402284533</v>
      </c>
      <c r="F531" s="10">
        <v>44082</v>
      </c>
      <c r="G531" s="11" t="s">
        <v>88</v>
      </c>
      <c r="H531" s="11"/>
    </row>
    <row r="532" spans="1:8" ht="14.25" customHeight="1">
      <c r="A532" s="6" t="s">
        <v>41</v>
      </c>
      <c r="B532" s="7" t="s">
        <v>93</v>
      </c>
      <c r="C532" s="8" t="str">
        <f>"梁智文"</f>
        <v>梁智文</v>
      </c>
      <c r="D532" s="7" t="s">
        <v>11</v>
      </c>
      <c r="E532" s="8" t="str">
        <f>"440883199209080118"</f>
        <v>440883199209080118</v>
      </c>
      <c r="F532" s="10">
        <v>44082</v>
      </c>
      <c r="G532" s="11" t="s">
        <v>88</v>
      </c>
      <c r="H532" s="11"/>
    </row>
    <row r="533" spans="1:8" ht="14.25" customHeight="1">
      <c r="A533" s="6" t="s">
        <v>42</v>
      </c>
      <c r="B533" s="7" t="s">
        <v>93</v>
      </c>
      <c r="C533" s="8" t="str">
        <f>"何浩然"</f>
        <v>何浩然</v>
      </c>
      <c r="D533" s="7" t="s">
        <v>11</v>
      </c>
      <c r="E533" s="8" t="str">
        <f>"440181199102040617"</f>
        <v>440181199102040617</v>
      </c>
      <c r="F533" s="10">
        <v>44082</v>
      </c>
      <c r="G533" s="11" t="s">
        <v>88</v>
      </c>
      <c r="H533" s="11"/>
    </row>
    <row r="534" spans="1:8" ht="14.25" customHeight="1">
      <c r="A534" s="6" t="s">
        <v>43</v>
      </c>
      <c r="B534" s="7" t="s">
        <v>93</v>
      </c>
      <c r="C534" s="8" t="str">
        <f>"梁志豪"</f>
        <v>梁志豪</v>
      </c>
      <c r="D534" s="7" t="s">
        <v>11</v>
      </c>
      <c r="E534" s="8" t="str">
        <f>"44018119930829361X"</f>
        <v>44018119930829361X</v>
      </c>
      <c r="F534" s="10">
        <v>44082</v>
      </c>
      <c r="G534" s="11" t="s">
        <v>88</v>
      </c>
      <c r="H534" s="11"/>
    </row>
    <row r="535" spans="1:8" ht="14.25" customHeight="1">
      <c r="A535" s="6" t="s">
        <v>44</v>
      </c>
      <c r="B535" s="7" t="s">
        <v>93</v>
      </c>
      <c r="C535" s="8" t="str">
        <f>"梁炬文"</f>
        <v>梁炬文</v>
      </c>
      <c r="D535" s="7" t="s">
        <v>11</v>
      </c>
      <c r="E535" s="8" t="str">
        <f>"440181199103101231"</f>
        <v>440181199103101231</v>
      </c>
      <c r="F535" s="10">
        <v>44082</v>
      </c>
      <c r="G535" s="11" t="s">
        <v>88</v>
      </c>
      <c r="H535" s="11"/>
    </row>
    <row r="536" spans="1:8" ht="14.25" customHeight="1">
      <c r="A536" s="6" t="s">
        <v>45</v>
      </c>
      <c r="B536" s="7" t="s">
        <v>93</v>
      </c>
      <c r="C536" s="8" t="str">
        <f>"罗想增"</f>
        <v>罗想增</v>
      </c>
      <c r="D536" s="7" t="s">
        <v>11</v>
      </c>
      <c r="E536" s="8" t="str">
        <f>"440233198802267011"</f>
        <v>440233198802267011</v>
      </c>
      <c r="F536" s="10">
        <v>44082</v>
      </c>
      <c r="G536" s="11" t="s">
        <v>88</v>
      </c>
      <c r="H536" s="11"/>
    </row>
    <row r="537" spans="1:8" ht="14.25" customHeight="1">
      <c r="A537" s="6" t="s">
        <v>46</v>
      </c>
      <c r="B537" s="7" t="s">
        <v>93</v>
      </c>
      <c r="C537" s="8" t="str">
        <f>"王炬勇"</f>
        <v>王炬勇</v>
      </c>
      <c r="D537" s="7" t="s">
        <v>11</v>
      </c>
      <c r="E537" s="8" t="str">
        <f>"440181200012198416"</f>
        <v>440181200012198416</v>
      </c>
      <c r="F537" s="10">
        <v>44082</v>
      </c>
      <c r="G537" s="11" t="s">
        <v>88</v>
      </c>
      <c r="H537" s="11"/>
    </row>
    <row r="538" spans="1:8" ht="14.25" customHeight="1">
      <c r="A538" s="6" t="s">
        <v>47</v>
      </c>
      <c r="B538" s="7" t="s">
        <v>93</v>
      </c>
      <c r="C538" s="8" t="str">
        <f>"李子壕"</f>
        <v>李子壕</v>
      </c>
      <c r="D538" s="7" t="s">
        <v>11</v>
      </c>
      <c r="E538" s="8" t="str">
        <f>"440181198609167815"</f>
        <v>440181198609167815</v>
      </c>
      <c r="F538" s="10">
        <v>44082</v>
      </c>
      <c r="G538" s="11" t="s">
        <v>88</v>
      </c>
      <c r="H538" s="11"/>
    </row>
    <row r="539" spans="1:8" ht="14.25" customHeight="1">
      <c r="A539" s="6" t="s">
        <v>48</v>
      </c>
      <c r="B539" s="7" t="s">
        <v>93</v>
      </c>
      <c r="C539" s="8" t="str">
        <f>"徐少聪"</f>
        <v>徐少聪</v>
      </c>
      <c r="D539" s="7" t="s">
        <v>11</v>
      </c>
      <c r="E539" s="8" t="str">
        <f>"440181198509193012"</f>
        <v>440181198509193012</v>
      </c>
      <c r="F539" s="10">
        <v>44082</v>
      </c>
      <c r="G539" s="11" t="s">
        <v>88</v>
      </c>
      <c r="H539" s="11"/>
    </row>
    <row r="540" spans="1:8" ht="14.25" customHeight="1">
      <c r="A540" s="6" t="s">
        <v>49</v>
      </c>
      <c r="B540" s="7" t="s">
        <v>93</v>
      </c>
      <c r="C540" s="8" t="str">
        <f>"李成乐"</f>
        <v>李成乐</v>
      </c>
      <c r="D540" s="7" t="s">
        <v>11</v>
      </c>
      <c r="E540" s="8" t="str">
        <f>"440181199806114514"</f>
        <v>440181199806114514</v>
      </c>
      <c r="F540" s="10">
        <v>44082</v>
      </c>
      <c r="G540" s="11" t="s">
        <v>88</v>
      </c>
      <c r="H540" s="11"/>
    </row>
    <row r="541" spans="1:8" ht="14.25" customHeight="1">
      <c r="A541" s="6" t="s">
        <v>50</v>
      </c>
      <c r="B541" s="7" t="s">
        <v>93</v>
      </c>
      <c r="C541" s="8" t="str">
        <f>"翟树明"</f>
        <v>翟树明</v>
      </c>
      <c r="D541" s="7" t="s">
        <v>11</v>
      </c>
      <c r="E541" s="8" t="str">
        <f>"440181199003196317"</f>
        <v>440181199003196317</v>
      </c>
      <c r="F541" s="10">
        <v>44082</v>
      </c>
      <c r="G541" s="11" t="s">
        <v>88</v>
      </c>
      <c r="H541" s="11"/>
    </row>
    <row r="542" spans="1:8" ht="14.25" customHeight="1">
      <c r="A542" s="6" t="s">
        <v>51</v>
      </c>
      <c r="B542" s="7" t="s">
        <v>93</v>
      </c>
      <c r="C542" s="8" t="str">
        <f>"植志豪"</f>
        <v>植志豪</v>
      </c>
      <c r="D542" s="7" t="s">
        <v>11</v>
      </c>
      <c r="E542" s="8" t="str">
        <f>"440181198907204530"</f>
        <v>440181198907204530</v>
      </c>
      <c r="F542" s="10">
        <v>44082</v>
      </c>
      <c r="G542" s="11" t="s">
        <v>88</v>
      </c>
      <c r="H542" s="11"/>
    </row>
    <row r="543" spans="1:8" ht="14.25" customHeight="1">
      <c r="A543" s="6" t="s">
        <v>52</v>
      </c>
      <c r="B543" s="7" t="s">
        <v>93</v>
      </c>
      <c r="C543" s="8" t="str">
        <f>"郭子熙"</f>
        <v>郭子熙</v>
      </c>
      <c r="D543" s="7" t="s">
        <v>11</v>
      </c>
      <c r="E543" s="8" t="str">
        <f>"440181199409124217"</f>
        <v>440181199409124217</v>
      </c>
      <c r="F543" s="10">
        <v>44082</v>
      </c>
      <c r="G543" s="11" t="s">
        <v>88</v>
      </c>
      <c r="H543" s="11"/>
    </row>
    <row r="544" spans="1:8" ht="14.25" customHeight="1">
      <c r="A544" s="6" t="s">
        <v>53</v>
      </c>
      <c r="B544" s="7" t="s">
        <v>93</v>
      </c>
      <c r="C544" s="8" t="str">
        <f>"雷茂康"</f>
        <v>雷茂康</v>
      </c>
      <c r="D544" s="7" t="s">
        <v>11</v>
      </c>
      <c r="E544" s="8" t="str">
        <f>"440923198807143435"</f>
        <v>440923198807143435</v>
      </c>
      <c r="F544" s="10">
        <v>44082</v>
      </c>
      <c r="G544" s="11" t="s">
        <v>88</v>
      </c>
      <c r="H544" s="11"/>
    </row>
    <row r="545" spans="1:8" ht="14.25" customHeight="1">
      <c r="A545" s="6" t="s">
        <v>54</v>
      </c>
      <c r="B545" s="7" t="s">
        <v>93</v>
      </c>
      <c r="C545" s="8" t="str">
        <f>"邱梓康"</f>
        <v>邱梓康</v>
      </c>
      <c r="D545" s="7" t="s">
        <v>11</v>
      </c>
      <c r="E545" s="8" t="str">
        <f>"440181199901074215"</f>
        <v>440181199901074215</v>
      </c>
      <c r="F545" s="10">
        <v>44082</v>
      </c>
      <c r="G545" s="11" t="s">
        <v>88</v>
      </c>
      <c r="H545" s="11"/>
    </row>
    <row r="546" spans="1:8" ht="14.25" customHeight="1">
      <c r="A546" s="6" t="s">
        <v>55</v>
      </c>
      <c r="B546" s="7" t="s">
        <v>93</v>
      </c>
      <c r="C546" s="8" t="str">
        <f>"刘炽雄"</f>
        <v>刘炽雄</v>
      </c>
      <c r="D546" s="7" t="s">
        <v>11</v>
      </c>
      <c r="E546" s="8" t="str">
        <f>"441481200004251392"</f>
        <v>441481200004251392</v>
      </c>
      <c r="F546" s="10">
        <v>44082</v>
      </c>
      <c r="G546" s="11" t="s">
        <v>88</v>
      </c>
      <c r="H546" s="11"/>
    </row>
    <row r="547" spans="1:8" ht="14.25" customHeight="1">
      <c r="A547" s="6" t="s">
        <v>56</v>
      </c>
      <c r="B547" s="7" t="s">
        <v>93</v>
      </c>
      <c r="C547" s="8" t="str">
        <f>"黄伟高"</f>
        <v>黄伟高</v>
      </c>
      <c r="D547" s="7" t="s">
        <v>11</v>
      </c>
      <c r="E547" s="8" t="str">
        <f>"440181199108034218"</f>
        <v>440181199108034218</v>
      </c>
      <c r="F547" s="10">
        <v>44082</v>
      </c>
      <c r="G547" s="11" t="s">
        <v>88</v>
      </c>
      <c r="H547" s="11"/>
    </row>
    <row r="548" spans="1:8" ht="14.25" customHeight="1">
      <c r="A548" s="6" t="s">
        <v>57</v>
      </c>
      <c r="B548" s="7" t="s">
        <v>93</v>
      </c>
      <c r="C548" s="8" t="str">
        <f>"黄祥威"</f>
        <v>黄祥威</v>
      </c>
      <c r="D548" s="7" t="s">
        <v>11</v>
      </c>
      <c r="E548" s="8" t="str">
        <f>"440181199208154532"</f>
        <v>440181199208154532</v>
      </c>
      <c r="F548" s="10">
        <v>44082</v>
      </c>
      <c r="G548" s="11" t="s">
        <v>88</v>
      </c>
      <c r="H548" s="11"/>
    </row>
    <row r="549" spans="1:8" ht="14.25" customHeight="1">
      <c r="A549" s="6" t="s">
        <v>58</v>
      </c>
      <c r="B549" s="7" t="s">
        <v>93</v>
      </c>
      <c r="C549" s="8" t="str">
        <f>"黄泰耀"</f>
        <v>黄泰耀</v>
      </c>
      <c r="D549" s="7" t="s">
        <v>11</v>
      </c>
      <c r="E549" s="8" t="str">
        <f>"45088119870809501X"</f>
        <v>45088119870809501X</v>
      </c>
      <c r="F549" s="10">
        <v>44082</v>
      </c>
      <c r="G549" s="11" t="s">
        <v>88</v>
      </c>
      <c r="H549" s="11"/>
    </row>
    <row r="550" spans="1:8" ht="14.25" customHeight="1">
      <c r="A550" s="6" t="s">
        <v>59</v>
      </c>
      <c r="B550" s="7" t="s">
        <v>93</v>
      </c>
      <c r="C550" s="8" t="str">
        <f>"李志楠"</f>
        <v>李志楠</v>
      </c>
      <c r="D550" s="7" t="s">
        <v>11</v>
      </c>
      <c r="E550" s="8" t="str">
        <f>"440181198909254531"</f>
        <v>440181198909254531</v>
      </c>
      <c r="F550" s="10">
        <v>44082</v>
      </c>
      <c r="G550" s="11" t="s">
        <v>88</v>
      </c>
      <c r="H550" s="11"/>
    </row>
    <row r="551" spans="1:8" ht="14.25" customHeight="1">
      <c r="A551" s="6" t="s">
        <v>60</v>
      </c>
      <c r="B551" s="7" t="s">
        <v>93</v>
      </c>
      <c r="C551" s="8" t="str">
        <f>"梁慧聪"</f>
        <v>梁慧聪</v>
      </c>
      <c r="D551" s="7" t="s">
        <v>11</v>
      </c>
      <c r="E551" s="8" t="str">
        <f>"440923199003287892"</f>
        <v>440923199003287892</v>
      </c>
      <c r="F551" s="10">
        <v>44082</v>
      </c>
      <c r="G551" s="11" t="s">
        <v>88</v>
      </c>
      <c r="H551" s="11"/>
    </row>
    <row r="552" spans="1:8" ht="14.25" customHeight="1">
      <c r="A552" s="6" t="s">
        <v>61</v>
      </c>
      <c r="B552" s="7" t="s">
        <v>93</v>
      </c>
      <c r="C552" s="8" t="str">
        <f>"郭智聪"</f>
        <v>郭智聪</v>
      </c>
      <c r="D552" s="7" t="s">
        <v>11</v>
      </c>
      <c r="E552" s="8" t="str">
        <f>"44018119950622421X"</f>
        <v>44018119950622421X</v>
      </c>
      <c r="F552" s="10">
        <v>44082</v>
      </c>
      <c r="G552" s="11" t="s">
        <v>88</v>
      </c>
      <c r="H552" s="11"/>
    </row>
    <row r="553" spans="1:8" s="1" customFormat="1" ht="14.25" customHeight="1">
      <c r="A553" s="6" t="s">
        <v>62</v>
      </c>
      <c r="B553" s="7" t="s">
        <v>93</v>
      </c>
      <c r="C553" s="8" t="str">
        <f>"林巨德"</f>
        <v>林巨德</v>
      </c>
      <c r="D553" s="7" t="s">
        <v>11</v>
      </c>
      <c r="E553" s="8" t="str">
        <f>"44018119960504453X"</f>
        <v>44018119960504453X</v>
      </c>
      <c r="F553" s="10">
        <v>44082</v>
      </c>
      <c r="G553" s="11" t="s">
        <v>88</v>
      </c>
      <c r="H553" s="11"/>
    </row>
    <row r="554" spans="1:8" s="1" customFormat="1" ht="14.25" customHeight="1">
      <c r="A554" s="6" t="s">
        <v>63</v>
      </c>
      <c r="B554" s="7" t="s">
        <v>93</v>
      </c>
      <c r="C554" s="8" t="str">
        <f>"陈祎"</f>
        <v>陈祎</v>
      </c>
      <c r="D554" s="7" t="s">
        <v>11</v>
      </c>
      <c r="E554" s="8" t="str">
        <f>"452402199410160017"</f>
        <v>452402199410160017</v>
      </c>
      <c r="F554" s="10">
        <v>44082</v>
      </c>
      <c r="G554" s="11" t="s">
        <v>88</v>
      </c>
      <c r="H554" s="11"/>
    </row>
    <row r="555" spans="1:8" s="1" customFormat="1" ht="14.25" customHeight="1">
      <c r="A555" s="6" t="s">
        <v>64</v>
      </c>
      <c r="B555" s="7" t="s">
        <v>93</v>
      </c>
      <c r="C555" s="8" t="str">
        <f>"陈鹏"</f>
        <v>陈鹏</v>
      </c>
      <c r="D555" s="7" t="s">
        <v>11</v>
      </c>
      <c r="E555" s="8" t="str">
        <f>"445221199510236559"</f>
        <v>445221199510236559</v>
      </c>
      <c r="F555" s="10">
        <v>44082</v>
      </c>
      <c r="G555" s="11" t="s">
        <v>88</v>
      </c>
      <c r="H555" s="11"/>
    </row>
    <row r="556" spans="1:8" s="1" customFormat="1" ht="14.25" customHeight="1">
      <c r="A556" s="6" t="s">
        <v>65</v>
      </c>
      <c r="B556" s="7" t="s">
        <v>93</v>
      </c>
      <c r="C556" s="8" t="str">
        <f>"陈敏辉"</f>
        <v>陈敏辉</v>
      </c>
      <c r="D556" s="7" t="s">
        <v>11</v>
      </c>
      <c r="E556" s="8" t="str">
        <f>"440181198510084550"</f>
        <v>440181198510084550</v>
      </c>
      <c r="F556" s="10">
        <v>44082</v>
      </c>
      <c r="G556" s="11" t="s">
        <v>88</v>
      </c>
      <c r="H556" s="11"/>
    </row>
    <row r="557" spans="1:8" s="1" customFormat="1" ht="14.25" customHeight="1">
      <c r="A557" s="6" t="s">
        <v>66</v>
      </c>
      <c r="B557" s="7" t="s">
        <v>93</v>
      </c>
      <c r="C557" s="8" t="str">
        <f>"李锐潮"</f>
        <v>李锐潮</v>
      </c>
      <c r="D557" s="7" t="s">
        <v>11</v>
      </c>
      <c r="E557" s="8" t="str">
        <f>"440181199404024532"</f>
        <v>440181199404024532</v>
      </c>
      <c r="F557" s="10">
        <v>44082</v>
      </c>
      <c r="G557" s="11" t="s">
        <v>88</v>
      </c>
      <c r="H557" s="11"/>
    </row>
    <row r="558" spans="1:8" s="1" customFormat="1" ht="14.25" customHeight="1">
      <c r="A558" s="6" t="s">
        <v>67</v>
      </c>
      <c r="B558" s="7" t="s">
        <v>93</v>
      </c>
      <c r="C558" s="8" t="str">
        <f>"李衍毅"</f>
        <v>李衍毅</v>
      </c>
      <c r="D558" s="7" t="s">
        <v>11</v>
      </c>
      <c r="E558" s="8" t="str">
        <f>"44018119950819005X"</f>
        <v>44018119950819005X</v>
      </c>
      <c r="F558" s="10">
        <v>44082</v>
      </c>
      <c r="G558" s="11" t="s">
        <v>88</v>
      </c>
      <c r="H558" s="11"/>
    </row>
    <row r="559" spans="1:8" s="1" customFormat="1" ht="14.25" customHeight="1">
      <c r="A559" s="6" t="s">
        <v>68</v>
      </c>
      <c r="B559" s="7" t="s">
        <v>93</v>
      </c>
      <c r="C559" s="8" t="str">
        <f>"邵伟宁"</f>
        <v>邵伟宁</v>
      </c>
      <c r="D559" s="7" t="s">
        <v>11</v>
      </c>
      <c r="E559" s="8" t="str">
        <f>"520112199606092813"</f>
        <v>520112199606092813</v>
      </c>
      <c r="F559" s="10">
        <v>44082</v>
      </c>
      <c r="G559" s="11" t="s">
        <v>88</v>
      </c>
      <c r="H559" s="11"/>
    </row>
    <row r="560" spans="1:8" s="1" customFormat="1" ht="14.25" customHeight="1">
      <c r="A560" s="6" t="s">
        <v>69</v>
      </c>
      <c r="B560" s="7" t="s">
        <v>93</v>
      </c>
      <c r="C560" s="8" t="str">
        <f>"黄志文"</f>
        <v>黄志文</v>
      </c>
      <c r="D560" s="7" t="s">
        <v>11</v>
      </c>
      <c r="E560" s="8" t="str">
        <f>"440181199903182156"</f>
        <v>440181199903182156</v>
      </c>
      <c r="F560" s="10">
        <v>44082</v>
      </c>
      <c r="G560" s="11" t="s">
        <v>88</v>
      </c>
      <c r="H560" s="11"/>
    </row>
    <row r="561" spans="1:8" s="1" customFormat="1" ht="14.25" customHeight="1">
      <c r="A561" s="6" t="s">
        <v>70</v>
      </c>
      <c r="B561" s="7" t="s">
        <v>93</v>
      </c>
      <c r="C561" s="8" t="str">
        <f>"梁恩志"</f>
        <v>梁恩志</v>
      </c>
      <c r="D561" s="7" t="s">
        <v>11</v>
      </c>
      <c r="E561" s="8" t="str">
        <f>"440181198710134532"</f>
        <v>440181198710134532</v>
      </c>
      <c r="F561" s="10">
        <v>44082</v>
      </c>
      <c r="G561" s="11" t="s">
        <v>88</v>
      </c>
      <c r="H561" s="11"/>
    </row>
    <row r="562" spans="1:8" s="1" customFormat="1" ht="14.25" customHeight="1">
      <c r="A562" s="6" t="s">
        <v>71</v>
      </c>
      <c r="B562" s="7" t="s">
        <v>93</v>
      </c>
      <c r="C562" s="8" t="str">
        <f>"陈冠能"</f>
        <v>陈冠能</v>
      </c>
      <c r="D562" s="7" t="s">
        <v>11</v>
      </c>
      <c r="E562" s="8" t="str">
        <f>"440181198810304519"</f>
        <v>440181198810304519</v>
      </c>
      <c r="F562" s="10">
        <v>44082</v>
      </c>
      <c r="G562" s="11" t="s">
        <v>88</v>
      </c>
      <c r="H562" s="11"/>
    </row>
    <row r="563" spans="1:8" s="1" customFormat="1" ht="14.25" customHeight="1">
      <c r="A563" s="6" t="s">
        <v>72</v>
      </c>
      <c r="B563" s="7" t="s">
        <v>93</v>
      </c>
      <c r="C563" s="8" t="str">
        <f>"陈继明"</f>
        <v>陈继明</v>
      </c>
      <c r="D563" s="7" t="s">
        <v>11</v>
      </c>
      <c r="E563" s="8" t="str">
        <f>"440181198611032717"</f>
        <v>440181198611032717</v>
      </c>
      <c r="F563" s="10">
        <v>44082</v>
      </c>
      <c r="G563" s="11" t="s">
        <v>88</v>
      </c>
      <c r="H563" s="11"/>
    </row>
    <row r="564" spans="1:8" s="1" customFormat="1" ht="14.25" customHeight="1">
      <c r="A564" s="6" t="s">
        <v>73</v>
      </c>
      <c r="B564" s="7" t="s">
        <v>93</v>
      </c>
      <c r="C564" s="8" t="str">
        <f>"李柱华"</f>
        <v>李柱华</v>
      </c>
      <c r="D564" s="7" t="s">
        <v>11</v>
      </c>
      <c r="E564" s="8" t="str">
        <f>"440181198912284539"</f>
        <v>440181198912284539</v>
      </c>
      <c r="F564" s="10">
        <v>44082</v>
      </c>
      <c r="G564" s="11" t="s">
        <v>88</v>
      </c>
      <c r="H564" s="11"/>
    </row>
    <row r="565" spans="1:8" s="1" customFormat="1" ht="14.25" customHeight="1">
      <c r="A565" s="6" t="s">
        <v>74</v>
      </c>
      <c r="B565" s="7" t="s">
        <v>93</v>
      </c>
      <c r="C565" s="8" t="str">
        <f>"邬健新"</f>
        <v>邬健新</v>
      </c>
      <c r="D565" s="7" t="s">
        <v>11</v>
      </c>
      <c r="E565" s="8" t="str">
        <f>"440181199006154518"</f>
        <v>440181199006154518</v>
      </c>
      <c r="F565" s="10">
        <v>44082</v>
      </c>
      <c r="G565" s="11" t="s">
        <v>88</v>
      </c>
      <c r="H565" s="11"/>
    </row>
    <row r="566" spans="1:8" s="1" customFormat="1" ht="14.25" customHeight="1">
      <c r="A566" s="6" t="s">
        <v>75</v>
      </c>
      <c r="B566" s="7" t="s">
        <v>93</v>
      </c>
      <c r="C566" s="8" t="str">
        <f>"邓志豪"</f>
        <v>邓志豪</v>
      </c>
      <c r="D566" s="7" t="s">
        <v>11</v>
      </c>
      <c r="E566" s="8" t="str">
        <f>"440181199609214516"</f>
        <v>440181199609214516</v>
      </c>
      <c r="F566" s="10">
        <v>44082</v>
      </c>
      <c r="G566" s="11" t="s">
        <v>88</v>
      </c>
      <c r="H566" s="11"/>
    </row>
    <row r="567" spans="1:8" s="1" customFormat="1" ht="14.25" customHeight="1">
      <c r="A567" s="6" t="s">
        <v>76</v>
      </c>
      <c r="B567" s="7" t="s">
        <v>93</v>
      </c>
      <c r="C567" s="8" t="str">
        <f>"文志伟"</f>
        <v>文志伟</v>
      </c>
      <c r="D567" s="7" t="s">
        <v>11</v>
      </c>
      <c r="E567" s="8" t="str">
        <f>"440181199005174517"</f>
        <v>440181199005174517</v>
      </c>
      <c r="F567" s="10">
        <v>44082</v>
      </c>
      <c r="G567" s="11" t="s">
        <v>88</v>
      </c>
      <c r="H567" s="11"/>
    </row>
    <row r="568" spans="1:8" s="1" customFormat="1" ht="14.25" customHeight="1">
      <c r="A568" s="6" t="s">
        <v>77</v>
      </c>
      <c r="B568" s="7" t="s">
        <v>93</v>
      </c>
      <c r="C568" s="8" t="str">
        <f>"胡展鹏"</f>
        <v>胡展鹏</v>
      </c>
      <c r="D568" s="7" t="s">
        <v>11</v>
      </c>
      <c r="E568" s="8" t="str">
        <f>"440181199507213934"</f>
        <v>440181199507213934</v>
      </c>
      <c r="F568" s="10">
        <v>44082</v>
      </c>
      <c r="G568" s="11" t="s">
        <v>88</v>
      </c>
      <c r="H568" s="11"/>
    </row>
    <row r="569" spans="1:8" s="1" customFormat="1" ht="14.25" customHeight="1">
      <c r="A569" s="6" t="s">
        <v>78</v>
      </c>
      <c r="B569" s="7" t="s">
        <v>93</v>
      </c>
      <c r="C569" s="8" t="str">
        <f>"张达明"</f>
        <v>张达明</v>
      </c>
      <c r="D569" s="7" t="s">
        <v>11</v>
      </c>
      <c r="E569" s="8" t="str">
        <f>"441424199906204015"</f>
        <v>441424199906204015</v>
      </c>
      <c r="F569" s="10">
        <v>44082</v>
      </c>
      <c r="G569" s="11" t="s">
        <v>88</v>
      </c>
      <c r="H569" s="11"/>
    </row>
    <row r="570" spans="1:8" s="1" customFormat="1" ht="14.25" customHeight="1">
      <c r="A570" s="6" t="s">
        <v>79</v>
      </c>
      <c r="B570" s="7" t="s">
        <v>93</v>
      </c>
      <c r="C570" s="8" t="str">
        <f>"杨赞威"</f>
        <v>杨赞威</v>
      </c>
      <c r="D570" s="7" t="s">
        <v>11</v>
      </c>
      <c r="E570" s="8" t="str">
        <f>"440181198711307837"</f>
        <v>440181198711307837</v>
      </c>
      <c r="F570" s="10">
        <v>44082</v>
      </c>
      <c r="G570" s="11" t="s">
        <v>88</v>
      </c>
      <c r="H570" s="11"/>
    </row>
    <row r="571" spans="1:8" s="1" customFormat="1" ht="14.25" customHeight="1">
      <c r="A571" s="6" t="s">
        <v>80</v>
      </c>
      <c r="B571" s="7" t="s">
        <v>93</v>
      </c>
      <c r="C571" s="8" t="str">
        <f>"陈健颖"</f>
        <v>陈健颖</v>
      </c>
      <c r="D571" s="7" t="s">
        <v>11</v>
      </c>
      <c r="E571" s="8" t="str">
        <f>"440181199505150634"</f>
        <v>440181199505150634</v>
      </c>
      <c r="F571" s="10">
        <v>44082</v>
      </c>
      <c r="G571" s="11" t="s">
        <v>88</v>
      </c>
      <c r="H571" s="11"/>
    </row>
    <row r="572" spans="1:8" s="1" customFormat="1" ht="14.25" customHeight="1">
      <c r="A572" s="6" t="s">
        <v>81</v>
      </c>
      <c r="B572" s="7" t="s">
        <v>93</v>
      </c>
      <c r="C572" s="8" t="str">
        <f>"熊梓衡"</f>
        <v>熊梓衡</v>
      </c>
      <c r="D572" s="7" t="s">
        <v>11</v>
      </c>
      <c r="E572" s="8" t="str">
        <f>"440181199507200017"</f>
        <v>440181199507200017</v>
      </c>
      <c r="F572" s="10">
        <v>44082</v>
      </c>
      <c r="G572" s="11" t="s">
        <v>88</v>
      </c>
      <c r="H572" s="11"/>
    </row>
    <row r="573" spans="1:8" ht="22.5">
      <c r="A573" s="3" t="s">
        <v>95</v>
      </c>
      <c r="B573" s="3"/>
      <c r="C573" s="3"/>
      <c r="D573" s="3"/>
      <c r="E573" s="3"/>
      <c r="F573" s="3"/>
      <c r="G573" s="3"/>
      <c r="H573" s="3"/>
    </row>
    <row r="574" spans="1:8" ht="37.5">
      <c r="A574" s="4" t="s">
        <v>2</v>
      </c>
      <c r="B574" s="4" t="s">
        <v>3</v>
      </c>
      <c r="C574" s="5" t="s">
        <v>4</v>
      </c>
      <c r="D574" s="4" t="s">
        <v>5</v>
      </c>
      <c r="E574" s="5" t="s">
        <v>6</v>
      </c>
      <c r="F574" s="4" t="s">
        <v>7</v>
      </c>
      <c r="G574" s="4" t="s">
        <v>8</v>
      </c>
      <c r="H574" s="4" t="s">
        <v>9</v>
      </c>
    </row>
    <row r="575" spans="1:8" ht="14.25" customHeight="1">
      <c r="A575" s="6" t="s">
        <v>10</v>
      </c>
      <c r="B575" s="7" t="s">
        <v>93</v>
      </c>
      <c r="C575" s="8" t="str">
        <f>"马树威"</f>
        <v>马树威</v>
      </c>
      <c r="D575" s="9" t="s">
        <v>11</v>
      </c>
      <c r="E575" s="8" t="str">
        <f>"440181199609094518"</f>
        <v>440181199609094518</v>
      </c>
      <c r="F575" s="10">
        <v>44082</v>
      </c>
      <c r="G575" s="11" t="s">
        <v>96</v>
      </c>
      <c r="H575" s="12"/>
    </row>
    <row r="576" spans="1:8" ht="14.25" customHeight="1">
      <c r="A576" s="6" t="s">
        <v>13</v>
      </c>
      <c r="B576" s="7" t="s">
        <v>93</v>
      </c>
      <c r="C576" s="8" t="str">
        <f>"胡勇"</f>
        <v>胡勇</v>
      </c>
      <c r="D576" s="9" t="s">
        <v>11</v>
      </c>
      <c r="E576" s="8" t="str">
        <f>"440923199605235918"</f>
        <v>440923199605235918</v>
      </c>
      <c r="F576" s="10">
        <v>44082</v>
      </c>
      <c r="G576" s="11" t="s">
        <v>96</v>
      </c>
      <c r="H576" s="12"/>
    </row>
    <row r="577" spans="1:8" ht="14.25" customHeight="1">
      <c r="A577" s="6" t="s">
        <v>14</v>
      </c>
      <c r="B577" s="7" t="s">
        <v>93</v>
      </c>
      <c r="C577" s="8" t="str">
        <f>"郑小林"</f>
        <v>郑小林</v>
      </c>
      <c r="D577" s="9" t="s">
        <v>11</v>
      </c>
      <c r="E577" s="8" t="str">
        <f>"441581199311308811"</f>
        <v>441581199311308811</v>
      </c>
      <c r="F577" s="10">
        <v>44082</v>
      </c>
      <c r="G577" s="11" t="s">
        <v>96</v>
      </c>
      <c r="H577" s="12"/>
    </row>
    <row r="578" spans="1:8" ht="14.25" customHeight="1">
      <c r="A578" s="6" t="s">
        <v>15</v>
      </c>
      <c r="B578" s="7" t="s">
        <v>93</v>
      </c>
      <c r="C578" s="8" t="str">
        <f>"梁永辉"</f>
        <v>梁永辉</v>
      </c>
      <c r="D578" s="9" t="s">
        <v>11</v>
      </c>
      <c r="E578" s="8" t="str">
        <f>"440181199612034516"</f>
        <v>440181199612034516</v>
      </c>
      <c r="F578" s="10">
        <v>44082</v>
      </c>
      <c r="G578" s="11" t="s">
        <v>96</v>
      </c>
      <c r="H578" s="12"/>
    </row>
    <row r="579" spans="1:8" ht="14.25" customHeight="1">
      <c r="A579" s="6" t="s">
        <v>16</v>
      </c>
      <c r="B579" s="7" t="s">
        <v>93</v>
      </c>
      <c r="C579" s="8" t="str">
        <f>"罗奇"</f>
        <v>罗奇</v>
      </c>
      <c r="D579" s="9" t="s">
        <v>11</v>
      </c>
      <c r="E579" s="8" t="str">
        <f>"440804199310021336"</f>
        <v>440804199310021336</v>
      </c>
      <c r="F579" s="10">
        <v>44082</v>
      </c>
      <c r="G579" s="11" t="s">
        <v>96</v>
      </c>
      <c r="H579" s="12"/>
    </row>
    <row r="580" spans="1:8" ht="14.25" customHeight="1">
      <c r="A580" s="6" t="s">
        <v>17</v>
      </c>
      <c r="B580" s="7" t="s">
        <v>93</v>
      </c>
      <c r="C580" s="8" t="str">
        <f>"李智健"</f>
        <v>李智健</v>
      </c>
      <c r="D580" s="9" t="s">
        <v>11</v>
      </c>
      <c r="E580" s="8" t="str">
        <f>"440181199503053937"</f>
        <v>440181199503053937</v>
      </c>
      <c r="F580" s="10">
        <v>44082</v>
      </c>
      <c r="G580" s="11" t="s">
        <v>96</v>
      </c>
      <c r="H580" s="12"/>
    </row>
    <row r="581" spans="1:8" ht="14.25" customHeight="1">
      <c r="A581" s="6" t="s">
        <v>18</v>
      </c>
      <c r="B581" s="7" t="s">
        <v>93</v>
      </c>
      <c r="C581" s="8" t="str">
        <f>"陈智钧"</f>
        <v>陈智钧</v>
      </c>
      <c r="D581" s="9" t="s">
        <v>11</v>
      </c>
      <c r="E581" s="8" t="str">
        <f>"440181199806092116"</f>
        <v>440181199806092116</v>
      </c>
      <c r="F581" s="10">
        <v>44082</v>
      </c>
      <c r="G581" s="11" t="s">
        <v>96</v>
      </c>
      <c r="H581" s="12"/>
    </row>
    <row r="582" spans="1:8" ht="14.25" customHeight="1">
      <c r="A582" s="6" t="s">
        <v>19</v>
      </c>
      <c r="B582" s="7" t="s">
        <v>93</v>
      </c>
      <c r="C582" s="8" t="str">
        <f>"陈英超"</f>
        <v>陈英超</v>
      </c>
      <c r="D582" s="9" t="s">
        <v>11</v>
      </c>
      <c r="E582" s="8" t="str">
        <f>"430482199610059315"</f>
        <v>430482199610059315</v>
      </c>
      <c r="F582" s="10">
        <v>44082</v>
      </c>
      <c r="G582" s="11" t="s">
        <v>96</v>
      </c>
      <c r="H582" s="12"/>
    </row>
    <row r="583" spans="1:8" ht="14.25" customHeight="1">
      <c r="A583" s="6" t="s">
        <v>20</v>
      </c>
      <c r="B583" s="7" t="s">
        <v>93</v>
      </c>
      <c r="C583" s="8" t="str">
        <f>"林子兴"</f>
        <v>林子兴</v>
      </c>
      <c r="D583" s="9" t="s">
        <v>11</v>
      </c>
      <c r="E583" s="8" t="str">
        <f>"441882199703032116"</f>
        <v>441882199703032116</v>
      </c>
      <c r="F583" s="10">
        <v>44082</v>
      </c>
      <c r="G583" s="11" t="s">
        <v>96</v>
      </c>
      <c r="H583" s="12"/>
    </row>
    <row r="584" spans="1:8" ht="14.25" customHeight="1">
      <c r="A584" s="6" t="s">
        <v>21</v>
      </c>
      <c r="B584" s="7" t="s">
        <v>93</v>
      </c>
      <c r="C584" s="8" t="str">
        <f>"陈光涛"</f>
        <v>陈光涛</v>
      </c>
      <c r="D584" s="9" t="s">
        <v>11</v>
      </c>
      <c r="E584" s="8" t="str">
        <f>"445381198801023438"</f>
        <v>445381198801023438</v>
      </c>
      <c r="F584" s="10">
        <v>44082</v>
      </c>
      <c r="G584" s="11" t="s">
        <v>96</v>
      </c>
      <c r="H584" s="12"/>
    </row>
    <row r="585" spans="1:8" ht="14.25" customHeight="1">
      <c r="A585" s="6" t="s">
        <v>22</v>
      </c>
      <c r="B585" s="7" t="s">
        <v>93</v>
      </c>
      <c r="C585" s="8" t="str">
        <f>"陈杨"</f>
        <v>陈杨</v>
      </c>
      <c r="D585" s="9" t="s">
        <v>11</v>
      </c>
      <c r="E585" s="8" t="str">
        <f>"420528199505145030"</f>
        <v>420528199505145030</v>
      </c>
      <c r="F585" s="10">
        <v>44082</v>
      </c>
      <c r="G585" s="11" t="s">
        <v>96</v>
      </c>
      <c r="H585" s="12"/>
    </row>
    <row r="586" spans="1:8" ht="14.25" customHeight="1">
      <c r="A586" s="6" t="s">
        <v>23</v>
      </c>
      <c r="B586" s="7" t="s">
        <v>93</v>
      </c>
      <c r="C586" s="8" t="str">
        <f>"张杰豪"</f>
        <v>张杰豪</v>
      </c>
      <c r="D586" s="9" t="s">
        <v>11</v>
      </c>
      <c r="E586" s="8" t="str">
        <f>"440181198512298114"</f>
        <v>440181198512298114</v>
      </c>
      <c r="F586" s="10">
        <v>44082</v>
      </c>
      <c r="G586" s="11" t="s">
        <v>96</v>
      </c>
      <c r="H586" s="12"/>
    </row>
    <row r="587" spans="1:8" ht="14.25" customHeight="1">
      <c r="A587" s="6" t="s">
        <v>24</v>
      </c>
      <c r="B587" s="7" t="s">
        <v>93</v>
      </c>
      <c r="C587" s="8" t="str">
        <f>"陈俊鸿"</f>
        <v>陈俊鸿</v>
      </c>
      <c r="D587" s="9" t="s">
        <v>11</v>
      </c>
      <c r="E587" s="8" t="str">
        <f>"440181199407297835"</f>
        <v>440181199407297835</v>
      </c>
      <c r="F587" s="10">
        <v>44082</v>
      </c>
      <c r="G587" s="11" t="s">
        <v>96</v>
      </c>
      <c r="H587" s="12"/>
    </row>
    <row r="588" spans="1:8" ht="14.25" customHeight="1">
      <c r="A588" s="6" t="s">
        <v>25</v>
      </c>
      <c r="B588" s="7" t="s">
        <v>93</v>
      </c>
      <c r="C588" s="8" t="str">
        <f>"梁国维"</f>
        <v>梁国维</v>
      </c>
      <c r="D588" s="9" t="s">
        <v>11</v>
      </c>
      <c r="E588" s="8" t="str">
        <f>"440181199609305119"</f>
        <v>440181199609305119</v>
      </c>
      <c r="F588" s="10">
        <v>44082</v>
      </c>
      <c r="G588" s="11" t="s">
        <v>96</v>
      </c>
      <c r="H588" s="12"/>
    </row>
    <row r="589" spans="1:8" ht="14.25" customHeight="1">
      <c r="A589" s="6" t="s">
        <v>26</v>
      </c>
      <c r="B589" s="7" t="s">
        <v>93</v>
      </c>
      <c r="C589" s="8" t="str">
        <f>"莫健豪"</f>
        <v>莫健豪</v>
      </c>
      <c r="D589" s="9" t="s">
        <v>11</v>
      </c>
      <c r="E589" s="8" t="str">
        <f>"440181199108144230"</f>
        <v>440181199108144230</v>
      </c>
      <c r="F589" s="10">
        <v>44082</v>
      </c>
      <c r="G589" s="11" t="s">
        <v>96</v>
      </c>
      <c r="H589" s="11"/>
    </row>
    <row r="590" spans="1:8" ht="14.25" customHeight="1">
      <c r="A590" s="6" t="s">
        <v>27</v>
      </c>
      <c r="B590" s="7" t="s">
        <v>93</v>
      </c>
      <c r="C590" s="8" t="str">
        <f>"梁楚炜"</f>
        <v>梁楚炜</v>
      </c>
      <c r="D590" s="9" t="s">
        <v>11</v>
      </c>
      <c r="E590" s="8" t="str">
        <f>"445321199411284032"</f>
        <v>445321199411284032</v>
      </c>
      <c r="F590" s="10">
        <v>44082</v>
      </c>
      <c r="G590" s="11" t="s">
        <v>96</v>
      </c>
      <c r="H590" s="11"/>
    </row>
    <row r="591" spans="1:8" ht="14.25" customHeight="1">
      <c r="A591" s="6" t="s">
        <v>28</v>
      </c>
      <c r="B591" s="7" t="s">
        <v>93</v>
      </c>
      <c r="C591" s="8" t="str">
        <f>"黄旭辉"</f>
        <v>黄旭辉</v>
      </c>
      <c r="D591" s="9" t="s">
        <v>11</v>
      </c>
      <c r="E591" s="8" t="str">
        <f>"440181199902210637"</f>
        <v>440181199902210637</v>
      </c>
      <c r="F591" s="10">
        <v>44082</v>
      </c>
      <c r="G591" s="11" t="s">
        <v>96</v>
      </c>
      <c r="H591" s="11"/>
    </row>
    <row r="592" spans="1:8" ht="14.25" customHeight="1">
      <c r="A592" s="6" t="s">
        <v>29</v>
      </c>
      <c r="B592" s="7" t="s">
        <v>93</v>
      </c>
      <c r="C592" s="8" t="str">
        <f>"林金锋"</f>
        <v>林金锋</v>
      </c>
      <c r="D592" s="9" t="s">
        <v>11</v>
      </c>
      <c r="E592" s="8" t="str">
        <f>"441324199507295911"</f>
        <v>441324199507295911</v>
      </c>
      <c r="F592" s="10">
        <v>44082</v>
      </c>
      <c r="G592" s="11" t="s">
        <v>96</v>
      </c>
      <c r="H592" s="11"/>
    </row>
    <row r="593" spans="1:8" ht="14.25" customHeight="1">
      <c r="A593" s="6" t="s">
        <v>30</v>
      </c>
      <c r="B593" s="7" t="s">
        <v>93</v>
      </c>
      <c r="C593" s="8" t="str">
        <f>"梁焯健"</f>
        <v>梁焯健</v>
      </c>
      <c r="D593" s="9" t="s">
        <v>11</v>
      </c>
      <c r="E593" s="8" t="str">
        <f>"440181199204065719"</f>
        <v>440181199204065719</v>
      </c>
      <c r="F593" s="10">
        <v>44082</v>
      </c>
      <c r="G593" s="11" t="s">
        <v>96</v>
      </c>
      <c r="H593" s="11"/>
    </row>
    <row r="594" spans="1:8" ht="14.25" customHeight="1">
      <c r="A594" s="6" t="s">
        <v>31</v>
      </c>
      <c r="B594" s="7" t="s">
        <v>93</v>
      </c>
      <c r="C594" s="8" t="str">
        <f>"郑越升"</f>
        <v>郑越升</v>
      </c>
      <c r="D594" s="9" t="s">
        <v>11</v>
      </c>
      <c r="E594" s="8" t="str">
        <f>"440902199608011213"</f>
        <v>440902199608011213</v>
      </c>
      <c r="F594" s="10">
        <v>44082</v>
      </c>
      <c r="G594" s="11" t="s">
        <v>96</v>
      </c>
      <c r="H594" s="11"/>
    </row>
    <row r="595" spans="1:8" ht="14.25" customHeight="1">
      <c r="A595" s="6" t="s">
        <v>32</v>
      </c>
      <c r="B595" s="7" t="s">
        <v>93</v>
      </c>
      <c r="C595" s="8" t="str">
        <f>"文煜锋"</f>
        <v>文煜锋</v>
      </c>
      <c r="D595" s="9" t="s">
        <v>11</v>
      </c>
      <c r="E595" s="8" t="str">
        <f>"441424199808034438"</f>
        <v>441424199808034438</v>
      </c>
      <c r="F595" s="10">
        <v>44082</v>
      </c>
      <c r="G595" s="11" t="s">
        <v>96</v>
      </c>
      <c r="H595" s="11"/>
    </row>
    <row r="596" spans="1:8" ht="14.25" customHeight="1">
      <c r="A596" s="6" t="s">
        <v>33</v>
      </c>
      <c r="B596" s="7" t="s">
        <v>93</v>
      </c>
      <c r="C596" s="8" t="str">
        <f>"朱明锋"</f>
        <v>朱明锋</v>
      </c>
      <c r="D596" s="9" t="s">
        <v>11</v>
      </c>
      <c r="E596" s="8" t="str">
        <f>"440181198602155715"</f>
        <v>440181198602155715</v>
      </c>
      <c r="F596" s="10">
        <v>44082</v>
      </c>
      <c r="G596" s="11" t="s">
        <v>96</v>
      </c>
      <c r="H596" s="11"/>
    </row>
    <row r="597" spans="1:8" ht="14.25" customHeight="1">
      <c r="A597" s="6" t="s">
        <v>34</v>
      </c>
      <c r="B597" s="7" t="s">
        <v>93</v>
      </c>
      <c r="C597" s="8" t="str">
        <f>"梁振烽"</f>
        <v>梁振烽</v>
      </c>
      <c r="D597" s="9" t="s">
        <v>11</v>
      </c>
      <c r="E597" s="8" t="str">
        <f>"440184199812091258"</f>
        <v>440184199812091258</v>
      </c>
      <c r="F597" s="10">
        <v>44082</v>
      </c>
      <c r="G597" s="11" t="s">
        <v>96</v>
      </c>
      <c r="H597" s="11"/>
    </row>
    <row r="598" spans="1:8" ht="14.25" customHeight="1">
      <c r="A598" s="6" t="s">
        <v>35</v>
      </c>
      <c r="B598" s="7" t="s">
        <v>93</v>
      </c>
      <c r="C598" s="8" t="str">
        <f>"曾伟杰"</f>
        <v>曾伟杰</v>
      </c>
      <c r="D598" s="9" t="s">
        <v>11</v>
      </c>
      <c r="E598" s="8" t="str">
        <f>"440181198907054253"</f>
        <v>440181198907054253</v>
      </c>
      <c r="F598" s="10">
        <v>44082</v>
      </c>
      <c r="G598" s="11" t="s">
        <v>96</v>
      </c>
      <c r="H598" s="11"/>
    </row>
    <row r="599" spans="1:8" ht="14.25" customHeight="1">
      <c r="A599" s="6" t="s">
        <v>36</v>
      </c>
      <c r="B599" s="7" t="s">
        <v>93</v>
      </c>
      <c r="C599" s="8" t="str">
        <f>"冯志德"</f>
        <v>冯志德</v>
      </c>
      <c r="D599" s="9" t="s">
        <v>11</v>
      </c>
      <c r="E599" s="8" t="str">
        <f>"440181199005294535"</f>
        <v>440181199005294535</v>
      </c>
      <c r="F599" s="10">
        <v>44082</v>
      </c>
      <c r="G599" s="11" t="s">
        <v>96</v>
      </c>
      <c r="H599" s="11"/>
    </row>
    <row r="600" spans="1:8" ht="14.25" customHeight="1">
      <c r="A600" s="6" t="s">
        <v>37</v>
      </c>
      <c r="B600" s="7" t="s">
        <v>93</v>
      </c>
      <c r="C600" s="8" t="str">
        <f>"饶铭锋"</f>
        <v>饶铭锋</v>
      </c>
      <c r="D600" s="9" t="s">
        <v>11</v>
      </c>
      <c r="E600" s="8" t="str">
        <f>"440181198807174514"</f>
        <v>440181198807174514</v>
      </c>
      <c r="F600" s="10">
        <v>44082</v>
      </c>
      <c r="G600" s="11" t="s">
        <v>96</v>
      </c>
      <c r="H600" s="11"/>
    </row>
    <row r="601" spans="1:8" ht="14.25" customHeight="1">
      <c r="A601" s="6" t="s">
        <v>38</v>
      </c>
      <c r="B601" s="7" t="s">
        <v>93</v>
      </c>
      <c r="C601" s="8" t="str">
        <f>"罗良维"</f>
        <v>罗良维</v>
      </c>
      <c r="D601" s="9" t="s">
        <v>11</v>
      </c>
      <c r="E601" s="8" t="str">
        <f>"452402199401225472"</f>
        <v>452402199401225472</v>
      </c>
      <c r="F601" s="10">
        <v>44082</v>
      </c>
      <c r="G601" s="11" t="s">
        <v>96</v>
      </c>
      <c r="H601" s="11"/>
    </row>
    <row r="602" spans="1:8" ht="14.25" customHeight="1">
      <c r="A602" s="6" t="s">
        <v>39</v>
      </c>
      <c r="B602" s="7" t="s">
        <v>93</v>
      </c>
      <c r="C602" s="8" t="str">
        <f>"吴业成"</f>
        <v>吴业成</v>
      </c>
      <c r="D602" s="9" t="s">
        <v>11</v>
      </c>
      <c r="E602" s="8" t="str">
        <f>"421127199706174332"</f>
        <v>421127199706174332</v>
      </c>
      <c r="F602" s="10">
        <v>44082</v>
      </c>
      <c r="G602" s="11" t="s">
        <v>96</v>
      </c>
      <c r="H602" s="11"/>
    </row>
    <row r="603" spans="1:8" ht="14.25" customHeight="1">
      <c r="A603" s="6" t="s">
        <v>40</v>
      </c>
      <c r="B603" s="7" t="s">
        <v>93</v>
      </c>
      <c r="C603" s="8" t="str">
        <f>"莦锐康"</f>
        <v>莦锐康</v>
      </c>
      <c r="D603" s="9" t="s">
        <v>11</v>
      </c>
      <c r="E603" s="8" t="str">
        <f>"440181199503163618"</f>
        <v>440181199503163618</v>
      </c>
      <c r="F603" s="10">
        <v>44082</v>
      </c>
      <c r="G603" s="11" t="s">
        <v>96</v>
      </c>
      <c r="H603" s="11"/>
    </row>
    <row r="604" spans="1:8" ht="14.25" customHeight="1">
      <c r="A604" s="6" t="s">
        <v>41</v>
      </c>
      <c r="B604" s="7" t="s">
        <v>93</v>
      </c>
      <c r="C604" s="8" t="str">
        <f>"龚万山"</f>
        <v>龚万山</v>
      </c>
      <c r="D604" s="9" t="s">
        <v>11</v>
      </c>
      <c r="E604" s="8" t="str">
        <f>"420528199405241834"</f>
        <v>420528199405241834</v>
      </c>
      <c r="F604" s="10">
        <v>44082</v>
      </c>
      <c r="G604" s="11" t="s">
        <v>96</v>
      </c>
      <c r="H604" s="11"/>
    </row>
    <row r="605" spans="1:8" ht="14.25" customHeight="1">
      <c r="A605" s="6" t="s">
        <v>42</v>
      </c>
      <c r="B605" s="7" t="s">
        <v>93</v>
      </c>
      <c r="C605" s="8" t="str">
        <f>"周家乐"</f>
        <v>周家乐</v>
      </c>
      <c r="D605" s="9" t="s">
        <v>11</v>
      </c>
      <c r="E605" s="8" t="str">
        <f>"43042619950901439X"</f>
        <v>43042619950901439X</v>
      </c>
      <c r="F605" s="10">
        <v>44082</v>
      </c>
      <c r="G605" s="11" t="s">
        <v>96</v>
      </c>
      <c r="H605" s="11"/>
    </row>
    <row r="606" spans="1:8" s="1" customFormat="1" ht="14.25" customHeight="1">
      <c r="A606" s="6" t="s">
        <v>43</v>
      </c>
      <c r="B606" s="7" t="s">
        <v>93</v>
      </c>
      <c r="C606" s="8" t="str">
        <f>"高智杰"</f>
        <v>高智杰</v>
      </c>
      <c r="D606" s="9" t="s">
        <v>11</v>
      </c>
      <c r="E606" s="8" t="str">
        <f>"440181199912165112"</f>
        <v>440181199912165112</v>
      </c>
      <c r="F606" s="10">
        <v>44082</v>
      </c>
      <c r="G606" s="11" t="s">
        <v>96</v>
      </c>
      <c r="H606" s="11"/>
    </row>
    <row r="607" spans="1:8" s="1" customFormat="1" ht="14.25" customHeight="1">
      <c r="A607" s="6" t="s">
        <v>44</v>
      </c>
      <c r="B607" s="7" t="s">
        <v>93</v>
      </c>
      <c r="C607" s="8" t="str">
        <f>"黄翠玲"</f>
        <v>黄翠玲</v>
      </c>
      <c r="D607" s="9" t="s">
        <v>84</v>
      </c>
      <c r="E607" s="8" t="str">
        <f>"441781200110296646"</f>
        <v>441781200110296646</v>
      </c>
      <c r="F607" s="10">
        <v>44082</v>
      </c>
      <c r="G607" s="11" t="s">
        <v>96</v>
      </c>
      <c r="H607" s="11"/>
    </row>
    <row r="608" spans="1:8" s="1" customFormat="1" ht="14.25" customHeight="1">
      <c r="A608" s="6" t="s">
        <v>45</v>
      </c>
      <c r="B608" s="7" t="s">
        <v>93</v>
      </c>
      <c r="C608" s="8" t="str">
        <f>"詹旭燕"</f>
        <v>詹旭燕</v>
      </c>
      <c r="D608" s="9" t="s">
        <v>84</v>
      </c>
      <c r="E608" s="8" t="str">
        <f>"440582199108077224"</f>
        <v>440582199108077224</v>
      </c>
      <c r="F608" s="10">
        <v>44082</v>
      </c>
      <c r="G608" s="11" t="s">
        <v>96</v>
      </c>
      <c r="H608" s="11"/>
    </row>
    <row r="609" spans="1:8" s="1" customFormat="1" ht="14.25" customHeight="1">
      <c r="A609" s="6" t="s">
        <v>46</v>
      </c>
      <c r="B609" s="7" t="s">
        <v>93</v>
      </c>
      <c r="C609" s="8" t="str">
        <f>"李敏桦"</f>
        <v>李敏桦</v>
      </c>
      <c r="D609" s="9" t="s">
        <v>84</v>
      </c>
      <c r="E609" s="8" t="str">
        <f>"440181199301071520"</f>
        <v>440181199301071520</v>
      </c>
      <c r="F609" s="10">
        <v>44082</v>
      </c>
      <c r="G609" s="11" t="s">
        <v>96</v>
      </c>
      <c r="H609" s="11"/>
    </row>
    <row r="610" spans="1:8" s="1" customFormat="1" ht="14.25" customHeight="1">
      <c r="A610" s="6" t="s">
        <v>47</v>
      </c>
      <c r="B610" s="7" t="s">
        <v>93</v>
      </c>
      <c r="C610" s="8" t="str">
        <f>"黄秀丽"</f>
        <v>黄秀丽</v>
      </c>
      <c r="D610" s="9" t="s">
        <v>84</v>
      </c>
      <c r="E610" s="8" t="str">
        <f>"445224199302105203"</f>
        <v>445224199302105203</v>
      </c>
      <c r="F610" s="10">
        <v>44082</v>
      </c>
      <c r="G610" s="11" t="s">
        <v>96</v>
      </c>
      <c r="H610" s="11"/>
    </row>
    <row r="611" spans="1:8" s="1" customFormat="1" ht="14.25" customHeight="1">
      <c r="A611" s="6" t="s">
        <v>48</v>
      </c>
      <c r="B611" s="7" t="s">
        <v>93</v>
      </c>
      <c r="C611" s="8" t="str">
        <f>"罗敏鸿"</f>
        <v>罗敏鸿</v>
      </c>
      <c r="D611" s="9" t="s">
        <v>84</v>
      </c>
      <c r="E611" s="8" t="str">
        <f>"440181199201104524"</f>
        <v>440181199201104524</v>
      </c>
      <c r="F611" s="10">
        <v>44082</v>
      </c>
      <c r="G611" s="11" t="s">
        <v>96</v>
      </c>
      <c r="H611" s="11"/>
    </row>
    <row r="612" spans="1:8" s="1" customFormat="1" ht="14.25" customHeight="1">
      <c r="A612" s="6" t="s">
        <v>49</v>
      </c>
      <c r="B612" s="7" t="s">
        <v>93</v>
      </c>
      <c r="C612" s="8" t="str">
        <f>"周艺敏"</f>
        <v>周艺敏</v>
      </c>
      <c r="D612" s="9" t="s">
        <v>84</v>
      </c>
      <c r="E612" s="8" t="str">
        <f>"440181199407072724"</f>
        <v>440181199407072724</v>
      </c>
      <c r="F612" s="10">
        <v>44082</v>
      </c>
      <c r="G612" s="11" t="s">
        <v>96</v>
      </c>
      <c r="H612" s="11"/>
    </row>
    <row r="613" spans="1:8" s="1" customFormat="1" ht="14.25" customHeight="1">
      <c r="A613" s="6" t="s">
        <v>50</v>
      </c>
      <c r="B613" s="7" t="s">
        <v>93</v>
      </c>
      <c r="C613" s="8" t="str">
        <f>"黎渐东"</f>
        <v>黎渐东</v>
      </c>
      <c r="D613" s="9" t="s">
        <v>84</v>
      </c>
      <c r="E613" s="8" t="str">
        <f>"440181199108174544"</f>
        <v>440181199108174544</v>
      </c>
      <c r="F613" s="10">
        <v>44082</v>
      </c>
      <c r="G613" s="11" t="s">
        <v>96</v>
      </c>
      <c r="H613" s="11"/>
    </row>
    <row r="614" spans="1:8" s="1" customFormat="1" ht="14.25" customHeight="1">
      <c r="A614" s="6" t="s">
        <v>51</v>
      </c>
      <c r="B614" s="7" t="s">
        <v>93</v>
      </c>
      <c r="C614" s="8" t="str">
        <f>"区泳珊"</f>
        <v>区泳珊</v>
      </c>
      <c r="D614" s="9" t="s">
        <v>84</v>
      </c>
      <c r="E614" s="8" t="str">
        <f>"440181199608235446"</f>
        <v>440181199608235446</v>
      </c>
      <c r="F614" s="10">
        <v>44082</v>
      </c>
      <c r="G614" s="11" t="s">
        <v>96</v>
      </c>
      <c r="H614" s="11"/>
    </row>
    <row r="615" spans="1:8" s="1" customFormat="1" ht="14.25" customHeight="1">
      <c r="A615" s="6" t="s">
        <v>52</v>
      </c>
      <c r="B615" s="7" t="s">
        <v>93</v>
      </c>
      <c r="C615" s="8" t="str">
        <f>"谭惠婷"</f>
        <v>谭惠婷</v>
      </c>
      <c r="D615" s="9" t="s">
        <v>84</v>
      </c>
      <c r="E615" s="8" t="str">
        <f>"440181198911204840"</f>
        <v>440181198911204840</v>
      </c>
      <c r="F615" s="10">
        <v>44082</v>
      </c>
      <c r="G615" s="11" t="s">
        <v>96</v>
      </c>
      <c r="H615" s="11"/>
    </row>
    <row r="616" spans="1:8" s="1" customFormat="1" ht="14.25" customHeight="1">
      <c r="A616" s="6" t="s">
        <v>53</v>
      </c>
      <c r="B616" s="7" t="s">
        <v>93</v>
      </c>
      <c r="C616" s="8" t="str">
        <f>"李娜"</f>
        <v>李娜</v>
      </c>
      <c r="D616" s="9" t="s">
        <v>84</v>
      </c>
      <c r="E616" s="8" t="str">
        <f>"440981199501186828"</f>
        <v>440981199501186828</v>
      </c>
      <c r="F616" s="10">
        <v>44082</v>
      </c>
      <c r="G616" s="11" t="s">
        <v>96</v>
      </c>
      <c r="H616" s="11"/>
    </row>
    <row r="617" spans="1:8" s="1" customFormat="1" ht="14.25" customHeight="1">
      <c r="A617" s="6" t="s">
        <v>54</v>
      </c>
      <c r="B617" s="7" t="s">
        <v>93</v>
      </c>
      <c r="C617" s="8" t="str">
        <f>"王瑜琪"</f>
        <v>王瑜琪</v>
      </c>
      <c r="D617" s="9" t="s">
        <v>84</v>
      </c>
      <c r="E617" s="8" t="str">
        <f>"230225199104234621"</f>
        <v>230225199104234621</v>
      </c>
      <c r="F617" s="10">
        <v>44082</v>
      </c>
      <c r="G617" s="11" t="s">
        <v>96</v>
      </c>
      <c r="H617" s="11"/>
    </row>
    <row r="618" spans="1:8" s="1" customFormat="1" ht="14.25" customHeight="1">
      <c r="A618" s="6" t="s">
        <v>55</v>
      </c>
      <c r="B618" s="7" t="s">
        <v>93</v>
      </c>
      <c r="C618" s="8" t="str">
        <f>"崔楚韵"</f>
        <v>崔楚韵</v>
      </c>
      <c r="D618" s="9" t="s">
        <v>84</v>
      </c>
      <c r="E618" s="8" t="str">
        <f>"440181199506134564"</f>
        <v>440181199506134564</v>
      </c>
      <c r="F618" s="10">
        <v>44082</v>
      </c>
      <c r="G618" s="11" t="s">
        <v>96</v>
      </c>
      <c r="H618" s="11"/>
    </row>
    <row r="619" spans="1:8" s="1" customFormat="1" ht="14.25" customHeight="1">
      <c r="A619" s="6" t="s">
        <v>56</v>
      </c>
      <c r="B619" s="7" t="s">
        <v>93</v>
      </c>
      <c r="C619" s="8" t="str">
        <f>"曾锦仪"</f>
        <v>曾锦仪</v>
      </c>
      <c r="D619" s="9" t="s">
        <v>84</v>
      </c>
      <c r="E619" s="8" t="str">
        <f>"440181199309304288"</f>
        <v>440181199309304288</v>
      </c>
      <c r="F619" s="10">
        <v>44082</v>
      </c>
      <c r="G619" s="11" t="s">
        <v>96</v>
      </c>
      <c r="H619" s="11"/>
    </row>
    <row r="620" spans="1:8" s="1" customFormat="1" ht="14.25" customHeight="1">
      <c r="A620" s="6" t="s">
        <v>57</v>
      </c>
      <c r="B620" s="7" t="s">
        <v>93</v>
      </c>
      <c r="C620" s="8" t="str">
        <f>"郑文敏"</f>
        <v>郑文敏</v>
      </c>
      <c r="D620" s="9" t="s">
        <v>84</v>
      </c>
      <c r="E620" s="8" t="str">
        <f>"440823199208285684"</f>
        <v>440823199208285684</v>
      </c>
      <c r="F620" s="10">
        <v>44082</v>
      </c>
      <c r="G620" s="11" t="s">
        <v>96</v>
      </c>
      <c r="H620" s="11"/>
    </row>
    <row r="621" spans="1:8" s="1" customFormat="1" ht="14.25" customHeight="1">
      <c r="A621" s="6" t="s">
        <v>58</v>
      </c>
      <c r="B621" s="7" t="s">
        <v>93</v>
      </c>
      <c r="C621" s="8" t="str">
        <f>"柯艺红"</f>
        <v>柯艺红</v>
      </c>
      <c r="D621" s="9" t="s">
        <v>84</v>
      </c>
      <c r="E621" s="8" t="str">
        <f>"44088319870619084x"</f>
        <v>44088319870619084x</v>
      </c>
      <c r="F621" s="10">
        <v>44082</v>
      </c>
      <c r="G621" s="11" t="s">
        <v>96</v>
      </c>
      <c r="H621" s="11"/>
    </row>
    <row r="622" spans="1:8" s="1" customFormat="1" ht="14.25" customHeight="1">
      <c r="A622" s="6" t="s">
        <v>59</v>
      </c>
      <c r="B622" s="7" t="s">
        <v>93</v>
      </c>
      <c r="C622" s="8" t="str">
        <f>"曾小劲"</f>
        <v>曾小劲</v>
      </c>
      <c r="D622" s="9" t="s">
        <v>84</v>
      </c>
      <c r="E622" s="8" t="str">
        <f>"440882199301101528"</f>
        <v>440882199301101528</v>
      </c>
      <c r="F622" s="10">
        <v>44082</v>
      </c>
      <c r="G622" s="11" t="s">
        <v>96</v>
      </c>
      <c r="H622" s="11"/>
    </row>
    <row r="623" spans="1:8" s="1" customFormat="1" ht="14.25" customHeight="1">
      <c r="A623" s="6" t="s">
        <v>60</v>
      </c>
      <c r="B623" s="7" t="s">
        <v>93</v>
      </c>
      <c r="C623" s="8" t="str">
        <f>"曾键欣"</f>
        <v>曾键欣</v>
      </c>
      <c r="D623" s="9" t="s">
        <v>84</v>
      </c>
      <c r="E623" s="8" t="str">
        <f>"440181199808194247"</f>
        <v>440181199808194247</v>
      </c>
      <c r="F623" s="10">
        <v>44082</v>
      </c>
      <c r="G623" s="11" t="s">
        <v>96</v>
      </c>
      <c r="H623" s="11"/>
    </row>
    <row r="624" spans="1:8" s="1" customFormat="1" ht="14.25" customHeight="1">
      <c r="A624" s="6" t="s">
        <v>61</v>
      </c>
      <c r="B624" s="7" t="s">
        <v>93</v>
      </c>
      <c r="C624" s="8" t="str">
        <f>"罗巧琳"</f>
        <v>罗巧琳</v>
      </c>
      <c r="D624" s="9" t="s">
        <v>84</v>
      </c>
      <c r="E624" s="8" t="str">
        <f>"440181199711054547"</f>
        <v>440181199711054547</v>
      </c>
      <c r="F624" s="10">
        <v>44082</v>
      </c>
      <c r="G624" s="11" t="s">
        <v>96</v>
      </c>
      <c r="H624" s="11"/>
    </row>
    <row r="625" spans="1:8" s="1" customFormat="1" ht="14.25" customHeight="1">
      <c r="A625" s="6" t="s">
        <v>62</v>
      </c>
      <c r="B625" s="7" t="s">
        <v>93</v>
      </c>
      <c r="C625" s="8" t="str">
        <f>"刘宝玉"</f>
        <v>刘宝玉</v>
      </c>
      <c r="D625" s="9" t="s">
        <v>84</v>
      </c>
      <c r="E625" s="8" t="str">
        <f>"445381198509127221"</f>
        <v>445381198509127221</v>
      </c>
      <c r="F625" s="10">
        <v>44082</v>
      </c>
      <c r="G625" s="11" t="s">
        <v>96</v>
      </c>
      <c r="H625" s="11"/>
    </row>
    <row r="626" spans="1:8" s="1" customFormat="1" ht="14.25" customHeight="1">
      <c r="A626" s="6" t="s">
        <v>63</v>
      </c>
      <c r="B626" s="7" t="s">
        <v>93</v>
      </c>
      <c r="C626" s="8" t="str">
        <f>"吴伟怡"</f>
        <v>吴伟怡</v>
      </c>
      <c r="D626" s="9" t="s">
        <v>84</v>
      </c>
      <c r="E626" s="8" t="str">
        <f>"440181199810254544"</f>
        <v>440181199810254544</v>
      </c>
      <c r="F626" s="10">
        <v>44082</v>
      </c>
      <c r="G626" s="11" t="s">
        <v>96</v>
      </c>
      <c r="H626" s="11"/>
    </row>
    <row r="627" spans="1:8" s="1" customFormat="1" ht="14.25" customHeight="1">
      <c r="A627" s="6" t="s">
        <v>64</v>
      </c>
      <c r="B627" s="7" t="s">
        <v>93</v>
      </c>
      <c r="C627" s="8" t="str">
        <f>"许佩仪"</f>
        <v>许佩仪</v>
      </c>
      <c r="D627" s="9" t="s">
        <v>84</v>
      </c>
      <c r="E627" s="8" t="str">
        <f>"441284198807162826"</f>
        <v>441284198807162826</v>
      </c>
      <c r="F627" s="10">
        <v>44082</v>
      </c>
      <c r="G627" s="11" t="s">
        <v>96</v>
      </c>
      <c r="H627" s="11"/>
    </row>
    <row r="628" spans="1:8" ht="14.25" customHeight="1">
      <c r="A628" s="6" t="s">
        <v>65</v>
      </c>
      <c r="B628" s="7" t="s">
        <v>93</v>
      </c>
      <c r="C628" s="8" t="str">
        <f>"关天静"</f>
        <v>关天静</v>
      </c>
      <c r="D628" s="9" t="s">
        <v>84</v>
      </c>
      <c r="E628" s="8" t="str">
        <f>"441702199503213345"</f>
        <v>441702199503213345</v>
      </c>
      <c r="F628" s="10">
        <v>44082</v>
      </c>
      <c r="G628" s="11" t="s">
        <v>96</v>
      </c>
      <c r="H628" s="11"/>
    </row>
    <row r="629" spans="1:8" ht="14.25" customHeight="1">
      <c r="A629" s="6" t="s">
        <v>66</v>
      </c>
      <c r="B629" s="7" t="s">
        <v>93</v>
      </c>
      <c r="C629" s="8" t="str">
        <f>"张方睿"</f>
        <v>张方睿</v>
      </c>
      <c r="D629" s="9" t="s">
        <v>84</v>
      </c>
      <c r="E629" s="8" t="str">
        <f>"500113199907309142"</f>
        <v>500113199907309142</v>
      </c>
      <c r="F629" s="10">
        <v>44082</v>
      </c>
      <c r="G629" s="11" t="s">
        <v>96</v>
      </c>
      <c r="H629" s="11"/>
    </row>
    <row r="630" spans="1:8" ht="14.25" customHeight="1">
      <c r="A630" s="6" t="s">
        <v>67</v>
      </c>
      <c r="B630" s="7" t="s">
        <v>93</v>
      </c>
      <c r="C630" s="8" t="str">
        <f>"丁菊"</f>
        <v>丁菊</v>
      </c>
      <c r="D630" s="9" t="s">
        <v>84</v>
      </c>
      <c r="E630" s="8" t="str">
        <f>"371621199109214521"</f>
        <v>371621199109214521</v>
      </c>
      <c r="F630" s="10">
        <v>44082</v>
      </c>
      <c r="G630" s="11" t="s">
        <v>96</v>
      </c>
      <c r="H630" s="11"/>
    </row>
    <row r="631" spans="1:8" ht="14.25" customHeight="1">
      <c r="A631" s="6" t="s">
        <v>68</v>
      </c>
      <c r="B631" s="7" t="s">
        <v>93</v>
      </c>
      <c r="C631" s="8" t="str">
        <f>"林渐芬"</f>
        <v>林渐芬</v>
      </c>
      <c r="D631" s="9" t="s">
        <v>84</v>
      </c>
      <c r="E631" s="8" t="str">
        <f>"440181198602114825"</f>
        <v>440181198602114825</v>
      </c>
      <c r="F631" s="10">
        <v>44082</v>
      </c>
      <c r="G631" s="11" t="s">
        <v>96</v>
      </c>
      <c r="H631" s="11"/>
    </row>
    <row r="632" spans="1:8" ht="14.25" customHeight="1">
      <c r="A632" s="6" t="s">
        <v>69</v>
      </c>
      <c r="B632" s="7" t="s">
        <v>93</v>
      </c>
      <c r="C632" s="8" t="str">
        <f>"吴小秀"</f>
        <v>吴小秀</v>
      </c>
      <c r="D632" s="9" t="s">
        <v>84</v>
      </c>
      <c r="E632" s="8" t="str">
        <f>"441481198901204449"</f>
        <v>441481198901204449</v>
      </c>
      <c r="F632" s="10">
        <v>44082</v>
      </c>
      <c r="G632" s="11" t="s">
        <v>96</v>
      </c>
      <c r="H632" s="11"/>
    </row>
    <row r="633" spans="1:8" ht="14.25" customHeight="1">
      <c r="A633" s="6" t="s">
        <v>70</v>
      </c>
      <c r="B633" s="7" t="s">
        <v>93</v>
      </c>
      <c r="C633" s="8" t="str">
        <f>"苏经敏"</f>
        <v>苏经敏</v>
      </c>
      <c r="D633" s="9" t="s">
        <v>84</v>
      </c>
      <c r="E633" s="8" t="str">
        <f>"441781199707026707"</f>
        <v>441781199707026707</v>
      </c>
      <c r="F633" s="10">
        <v>44082</v>
      </c>
      <c r="G633" s="11" t="s">
        <v>96</v>
      </c>
      <c r="H633" s="11"/>
    </row>
    <row r="634" spans="1:8" ht="14.25" customHeight="1">
      <c r="A634" s="6" t="s">
        <v>71</v>
      </c>
      <c r="B634" s="7" t="s">
        <v>93</v>
      </c>
      <c r="C634" s="8" t="str">
        <f>"谢礼珍"</f>
        <v>谢礼珍</v>
      </c>
      <c r="D634" s="9" t="s">
        <v>84</v>
      </c>
      <c r="E634" s="8" t="str">
        <f>"44522119880314686X"</f>
        <v>44522119880314686X</v>
      </c>
      <c r="F634" s="10">
        <v>44082</v>
      </c>
      <c r="G634" s="11" t="s">
        <v>96</v>
      </c>
      <c r="H634" s="11"/>
    </row>
    <row r="635" spans="1:8" ht="14.25" customHeight="1">
      <c r="A635" s="6" t="s">
        <v>72</v>
      </c>
      <c r="B635" s="7" t="s">
        <v>93</v>
      </c>
      <c r="C635" s="8" t="str">
        <f>"廖文婷"</f>
        <v>廖文婷</v>
      </c>
      <c r="D635" s="9" t="s">
        <v>84</v>
      </c>
      <c r="E635" s="8" t="str">
        <f>"441322199302251429"</f>
        <v>441322199302251429</v>
      </c>
      <c r="F635" s="10">
        <v>44082</v>
      </c>
      <c r="G635" s="11" t="s">
        <v>96</v>
      </c>
      <c r="H635" s="11"/>
    </row>
    <row r="636" spans="1:8" ht="14.25" customHeight="1">
      <c r="A636" s="6" t="s">
        <v>73</v>
      </c>
      <c r="B636" s="7" t="s">
        <v>93</v>
      </c>
      <c r="C636" s="8" t="str">
        <f>"陈梓茵"</f>
        <v>陈梓茵</v>
      </c>
      <c r="D636" s="9" t="s">
        <v>84</v>
      </c>
      <c r="E636" s="8" t="str">
        <f>"440181199911014523"</f>
        <v>440181199911014523</v>
      </c>
      <c r="F636" s="10">
        <v>44082</v>
      </c>
      <c r="G636" s="11" t="s">
        <v>96</v>
      </c>
      <c r="H636" s="11"/>
    </row>
    <row r="637" spans="1:8" ht="14.25" customHeight="1">
      <c r="A637" s="6" t="s">
        <v>74</v>
      </c>
      <c r="B637" s="7" t="s">
        <v>93</v>
      </c>
      <c r="C637" s="8" t="str">
        <f>"刘倩羽"</f>
        <v>刘倩羽</v>
      </c>
      <c r="D637" s="9" t="s">
        <v>84</v>
      </c>
      <c r="E637" s="8" t="str">
        <f>"441283199812285028"</f>
        <v>441283199812285028</v>
      </c>
      <c r="F637" s="10">
        <v>44082</v>
      </c>
      <c r="G637" s="11" t="s">
        <v>96</v>
      </c>
      <c r="H637" s="11"/>
    </row>
    <row r="638" spans="1:8" ht="14.25" customHeight="1">
      <c r="A638" s="6" t="s">
        <v>75</v>
      </c>
      <c r="B638" s="7" t="s">
        <v>93</v>
      </c>
      <c r="C638" s="8" t="str">
        <f>"张婉君"</f>
        <v>张婉君</v>
      </c>
      <c r="D638" s="9" t="s">
        <v>84</v>
      </c>
      <c r="E638" s="8" t="str">
        <f>"440181199009044824"</f>
        <v>440181199009044824</v>
      </c>
      <c r="F638" s="10">
        <v>44082</v>
      </c>
      <c r="G638" s="11" t="s">
        <v>96</v>
      </c>
      <c r="H638" s="11"/>
    </row>
    <row r="639" spans="1:8" ht="14.25" customHeight="1">
      <c r="A639" s="6" t="s">
        <v>76</v>
      </c>
      <c r="B639" s="7" t="s">
        <v>93</v>
      </c>
      <c r="C639" s="8" t="str">
        <f>"黎思华"</f>
        <v>黎思华</v>
      </c>
      <c r="D639" s="9" t="s">
        <v>84</v>
      </c>
      <c r="E639" s="8" t="str">
        <f>"440181199210244860"</f>
        <v>440181199210244860</v>
      </c>
      <c r="F639" s="10">
        <v>44082</v>
      </c>
      <c r="G639" s="11" t="s">
        <v>96</v>
      </c>
      <c r="H639" s="11"/>
    </row>
    <row r="640" spans="1:8" ht="14.25" customHeight="1">
      <c r="A640" s="6" t="s">
        <v>77</v>
      </c>
      <c r="B640" s="7" t="s">
        <v>93</v>
      </c>
      <c r="C640" s="8" t="str">
        <f>"刘素玉"</f>
        <v>刘素玉</v>
      </c>
      <c r="D640" s="9" t="s">
        <v>84</v>
      </c>
      <c r="E640" s="8" t="str">
        <f>"440181198509234822"</f>
        <v>440181198509234822</v>
      </c>
      <c r="F640" s="10">
        <v>44082</v>
      </c>
      <c r="G640" s="11" t="s">
        <v>96</v>
      </c>
      <c r="H640" s="11"/>
    </row>
    <row r="641" spans="1:8" ht="14.25" customHeight="1">
      <c r="A641" s="6" t="s">
        <v>78</v>
      </c>
      <c r="B641" s="7" t="s">
        <v>93</v>
      </c>
      <c r="C641" s="8" t="str">
        <f>"陈贤妹"</f>
        <v>陈贤妹</v>
      </c>
      <c r="D641" s="9" t="s">
        <v>84</v>
      </c>
      <c r="E641" s="8" t="str">
        <f>"445122199805285244"</f>
        <v>445122199805285244</v>
      </c>
      <c r="F641" s="10">
        <v>44082</v>
      </c>
      <c r="G641" s="11" t="s">
        <v>96</v>
      </c>
      <c r="H641" s="11"/>
    </row>
    <row r="642" spans="1:8" ht="14.25" customHeight="1">
      <c r="A642" s="6" t="s">
        <v>79</v>
      </c>
      <c r="B642" s="7" t="s">
        <v>93</v>
      </c>
      <c r="C642" s="8" t="str">
        <f>"郭杰仪"</f>
        <v>郭杰仪</v>
      </c>
      <c r="D642" s="9" t="s">
        <v>84</v>
      </c>
      <c r="E642" s="8" t="str">
        <f>"440181199510081549"</f>
        <v>440181199510081549</v>
      </c>
      <c r="F642" s="10">
        <v>44082</v>
      </c>
      <c r="G642" s="11" t="s">
        <v>96</v>
      </c>
      <c r="H642" s="11"/>
    </row>
    <row r="643" spans="1:8" ht="14.25" customHeight="1">
      <c r="A643" s="6" t="s">
        <v>80</v>
      </c>
      <c r="B643" s="7" t="s">
        <v>93</v>
      </c>
      <c r="C643" s="8" t="str">
        <f>"蒋健欣"</f>
        <v>蒋健欣</v>
      </c>
      <c r="D643" s="9" t="s">
        <v>84</v>
      </c>
      <c r="E643" s="8" t="str">
        <f>"440181199302044524"</f>
        <v>440181199302044524</v>
      </c>
      <c r="F643" s="10">
        <v>44082</v>
      </c>
      <c r="G643" s="11" t="s">
        <v>96</v>
      </c>
      <c r="H643" s="11"/>
    </row>
    <row r="644" spans="1:8" ht="22.5">
      <c r="A644" s="3" t="s">
        <v>97</v>
      </c>
      <c r="B644" s="3"/>
      <c r="C644" s="3"/>
      <c r="D644" s="3"/>
      <c r="E644" s="3"/>
      <c r="F644" s="3"/>
      <c r="G644" s="3"/>
      <c r="H644" s="3"/>
    </row>
    <row r="645" spans="1:8" ht="37.5">
      <c r="A645" s="5" t="s">
        <v>2</v>
      </c>
      <c r="B645" s="5" t="s">
        <v>3</v>
      </c>
      <c r="C645" s="5" t="s">
        <v>4</v>
      </c>
      <c r="D645" s="5" t="s">
        <v>5</v>
      </c>
      <c r="E645" s="5" t="s">
        <v>6</v>
      </c>
      <c r="F645" s="5" t="s">
        <v>7</v>
      </c>
      <c r="G645" s="5" t="s">
        <v>8</v>
      </c>
      <c r="H645" s="5" t="s">
        <v>9</v>
      </c>
    </row>
    <row r="646" spans="1:8" ht="14.25" customHeight="1">
      <c r="A646" s="6" t="s">
        <v>10</v>
      </c>
      <c r="B646" s="18" t="s">
        <v>98</v>
      </c>
      <c r="C646" s="8" t="str">
        <f>"郭伟楠"</f>
        <v>郭伟楠</v>
      </c>
      <c r="D646" s="13" t="s">
        <v>11</v>
      </c>
      <c r="E646" s="8" t="str">
        <f>"440181199310173916"</f>
        <v>440181199310173916</v>
      </c>
      <c r="F646" s="19">
        <v>44082</v>
      </c>
      <c r="G646" s="11" t="s">
        <v>96</v>
      </c>
      <c r="H646" s="12"/>
    </row>
    <row r="647" spans="1:8" ht="14.25" customHeight="1">
      <c r="A647" s="6" t="s">
        <v>13</v>
      </c>
      <c r="B647" s="18" t="s">
        <v>98</v>
      </c>
      <c r="C647" s="8" t="str">
        <f>"黄昊扬"</f>
        <v>黄昊扬</v>
      </c>
      <c r="D647" s="13" t="s">
        <v>11</v>
      </c>
      <c r="E647" s="8" t="str">
        <f>"440181199701054519"</f>
        <v>440181199701054519</v>
      </c>
      <c r="F647" s="19">
        <v>44082</v>
      </c>
      <c r="G647" s="11" t="s">
        <v>96</v>
      </c>
      <c r="H647" s="12"/>
    </row>
    <row r="648" spans="1:8" ht="14.25" customHeight="1">
      <c r="A648" s="6" t="s">
        <v>14</v>
      </c>
      <c r="B648" s="18" t="s">
        <v>98</v>
      </c>
      <c r="C648" s="8" t="str">
        <f>"陈鉴壕"</f>
        <v>陈鉴壕</v>
      </c>
      <c r="D648" s="13" t="s">
        <v>11</v>
      </c>
      <c r="E648" s="8" t="str">
        <f>"44018120010608361X"</f>
        <v>44018120010608361X</v>
      </c>
      <c r="F648" s="19">
        <v>44082</v>
      </c>
      <c r="G648" s="11" t="s">
        <v>96</v>
      </c>
      <c r="H648" s="12"/>
    </row>
    <row r="649" spans="1:8" ht="14.25" customHeight="1">
      <c r="A649" s="6" t="s">
        <v>15</v>
      </c>
      <c r="B649" s="18" t="s">
        <v>98</v>
      </c>
      <c r="C649" s="8" t="str">
        <f>"甘伟聪"</f>
        <v>甘伟聪</v>
      </c>
      <c r="D649" s="13" t="s">
        <v>11</v>
      </c>
      <c r="E649" s="8" t="str">
        <f>"440181198607158114"</f>
        <v>440181198607158114</v>
      </c>
      <c r="F649" s="19">
        <v>44082</v>
      </c>
      <c r="G649" s="11" t="s">
        <v>96</v>
      </c>
      <c r="H649" s="12"/>
    </row>
    <row r="650" spans="1:8" ht="14.25" customHeight="1">
      <c r="A650" s="6" t="s">
        <v>16</v>
      </c>
      <c r="B650" s="18" t="s">
        <v>98</v>
      </c>
      <c r="C650" s="8" t="str">
        <f>"邵展华"</f>
        <v>邵展华</v>
      </c>
      <c r="D650" s="13" t="s">
        <v>11</v>
      </c>
      <c r="E650" s="8" t="str">
        <f>"440181198905134815"</f>
        <v>440181198905134815</v>
      </c>
      <c r="F650" s="19">
        <v>44082</v>
      </c>
      <c r="G650" s="11" t="s">
        <v>96</v>
      </c>
      <c r="H650" s="12"/>
    </row>
    <row r="651" spans="1:8" ht="14.25" customHeight="1">
      <c r="A651" s="6" t="s">
        <v>17</v>
      </c>
      <c r="B651" s="18" t="s">
        <v>98</v>
      </c>
      <c r="C651" s="8" t="str">
        <f>"黎仲朗"</f>
        <v>黎仲朗</v>
      </c>
      <c r="D651" s="13" t="s">
        <v>11</v>
      </c>
      <c r="E651" s="8" t="str">
        <f>"440181199906174813"</f>
        <v>440181199906174813</v>
      </c>
      <c r="F651" s="19">
        <v>44082</v>
      </c>
      <c r="G651" s="11" t="s">
        <v>96</v>
      </c>
      <c r="H651" s="12"/>
    </row>
    <row r="652" spans="1:8" ht="14.25" customHeight="1">
      <c r="A652" s="6" t="s">
        <v>18</v>
      </c>
      <c r="B652" s="18" t="s">
        <v>98</v>
      </c>
      <c r="C652" s="8" t="str">
        <f>"梁卫文"</f>
        <v>梁卫文</v>
      </c>
      <c r="D652" s="13" t="s">
        <v>11</v>
      </c>
      <c r="E652" s="8" t="str">
        <f>"440181198901122710"</f>
        <v>440181198901122710</v>
      </c>
      <c r="F652" s="19">
        <v>44082</v>
      </c>
      <c r="G652" s="11" t="s">
        <v>96</v>
      </c>
      <c r="H652" s="12"/>
    </row>
    <row r="653" spans="1:8" ht="14.25" customHeight="1">
      <c r="A653" s="6" t="s">
        <v>19</v>
      </c>
      <c r="B653" s="18" t="s">
        <v>98</v>
      </c>
      <c r="C653" s="8" t="str">
        <f>"黄景聪"</f>
        <v>黄景聪</v>
      </c>
      <c r="D653" s="13" t="s">
        <v>11</v>
      </c>
      <c r="E653" s="8" t="str">
        <f>"440181199409110659"</f>
        <v>440181199409110659</v>
      </c>
      <c r="F653" s="19">
        <v>44082</v>
      </c>
      <c r="G653" s="11" t="s">
        <v>96</v>
      </c>
      <c r="H653" s="12"/>
    </row>
    <row r="654" spans="1:8" ht="14.25" customHeight="1">
      <c r="A654" s="6" t="s">
        <v>20</v>
      </c>
      <c r="B654" s="18" t="s">
        <v>98</v>
      </c>
      <c r="C654" s="8" t="str">
        <f>"何伟杰"</f>
        <v>何伟杰</v>
      </c>
      <c r="D654" s="13" t="s">
        <v>11</v>
      </c>
      <c r="E654" s="8" t="str">
        <f>"440181198712172153"</f>
        <v>440181198712172153</v>
      </c>
      <c r="F654" s="19">
        <v>44082</v>
      </c>
      <c r="G654" s="11" t="s">
        <v>96</v>
      </c>
      <c r="H654" s="12"/>
    </row>
    <row r="655" spans="1:8" ht="14.25" customHeight="1">
      <c r="A655" s="6" t="s">
        <v>21</v>
      </c>
      <c r="B655" s="18" t="s">
        <v>98</v>
      </c>
      <c r="C655" s="8" t="str">
        <f>"邵展成"</f>
        <v>邵展成</v>
      </c>
      <c r="D655" s="13" t="s">
        <v>11</v>
      </c>
      <c r="E655" s="8" t="str">
        <f>"440181199902054814"</f>
        <v>440181199902054814</v>
      </c>
      <c r="F655" s="19">
        <v>44082</v>
      </c>
      <c r="G655" s="11" t="s">
        <v>96</v>
      </c>
      <c r="H655" s="12"/>
    </row>
    <row r="656" spans="1:8" ht="14.25" customHeight="1">
      <c r="A656" s="6" t="s">
        <v>22</v>
      </c>
      <c r="B656" s="18" t="s">
        <v>98</v>
      </c>
      <c r="C656" s="8" t="str">
        <f>"梁焯贤"</f>
        <v>梁焯贤</v>
      </c>
      <c r="D656" s="13" t="s">
        <v>11</v>
      </c>
      <c r="E656" s="8" t="str">
        <f>"440181199907227817"</f>
        <v>440181199907227817</v>
      </c>
      <c r="F656" s="19">
        <v>44082</v>
      </c>
      <c r="G656" s="11" t="s">
        <v>96</v>
      </c>
      <c r="H656" s="12"/>
    </row>
    <row r="657" spans="1:8" ht="14.25" customHeight="1">
      <c r="A657" s="6" t="s">
        <v>23</v>
      </c>
      <c r="B657" s="18" t="s">
        <v>98</v>
      </c>
      <c r="C657" s="8" t="str">
        <f>"陈凯"</f>
        <v>陈凯</v>
      </c>
      <c r="D657" s="13" t="s">
        <v>11</v>
      </c>
      <c r="E657" s="8" t="str">
        <f>"445102199412120611"</f>
        <v>445102199412120611</v>
      </c>
      <c r="F657" s="19">
        <v>44082</v>
      </c>
      <c r="G657" s="11" t="s">
        <v>96</v>
      </c>
      <c r="H657" s="12"/>
    </row>
    <row r="658" spans="1:8" ht="14.25" customHeight="1">
      <c r="A658" s="6" t="s">
        <v>24</v>
      </c>
      <c r="B658" s="18" t="s">
        <v>98</v>
      </c>
      <c r="C658" s="8" t="str">
        <f>"陆家伟"</f>
        <v>陆家伟</v>
      </c>
      <c r="D658" s="13" t="s">
        <v>11</v>
      </c>
      <c r="E658" s="8" t="str">
        <f>"440982199409201876"</f>
        <v>440982199409201876</v>
      </c>
      <c r="F658" s="19">
        <v>44082</v>
      </c>
      <c r="G658" s="11" t="s">
        <v>96</v>
      </c>
      <c r="H658" s="12"/>
    </row>
    <row r="659" spans="1:8" ht="14.25" customHeight="1">
      <c r="A659" s="6" t="s">
        <v>25</v>
      </c>
      <c r="B659" s="18" t="s">
        <v>98</v>
      </c>
      <c r="C659" s="8" t="str">
        <f>"冯栩汶"</f>
        <v>冯栩汶</v>
      </c>
      <c r="D659" s="13" t="s">
        <v>11</v>
      </c>
      <c r="E659" s="8" t="str">
        <f>"440181199804134212"</f>
        <v>440181199804134212</v>
      </c>
      <c r="F659" s="19">
        <v>44082</v>
      </c>
      <c r="G659" s="11" t="s">
        <v>96</v>
      </c>
      <c r="H659" s="12"/>
    </row>
    <row r="660" spans="1:8" ht="14.25" customHeight="1">
      <c r="A660" s="6" t="s">
        <v>26</v>
      </c>
      <c r="B660" s="18" t="s">
        <v>98</v>
      </c>
      <c r="C660" s="8" t="str">
        <f>"黄嘉乐"</f>
        <v>黄嘉乐</v>
      </c>
      <c r="D660" s="13" t="s">
        <v>11</v>
      </c>
      <c r="E660" s="8" t="str">
        <f>"440181199702013911"</f>
        <v>440181199702013911</v>
      </c>
      <c r="F660" s="19">
        <v>44082</v>
      </c>
      <c r="G660" s="11" t="s">
        <v>96</v>
      </c>
      <c r="H660" s="12"/>
    </row>
    <row r="661" spans="1:8" ht="14.25" customHeight="1">
      <c r="A661" s="6" t="s">
        <v>27</v>
      </c>
      <c r="B661" s="18" t="s">
        <v>98</v>
      </c>
      <c r="C661" s="8" t="str">
        <f>"林炼南"</f>
        <v>林炼南</v>
      </c>
      <c r="D661" s="13" t="s">
        <v>11</v>
      </c>
      <c r="E661" s="8" t="str">
        <f>"440181199509304813"</f>
        <v>440181199509304813</v>
      </c>
      <c r="F661" s="19">
        <v>44082</v>
      </c>
      <c r="G661" s="11" t="s">
        <v>96</v>
      </c>
      <c r="H661" s="11"/>
    </row>
    <row r="662" spans="1:8" ht="14.25" customHeight="1">
      <c r="A662" s="6" t="s">
        <v>28</v>
      </c>
      <c r="B662" s="18" t="s">
        <v>98</v>
      </c>
      <c r="C662" s="8" t="str">
        <f>"黄嘉烨"</f>
        <v>黄嘉烨</v>
      </c>
      <c r="D662" s="13" t="s">
        <v>11</v>
      </c>
      <c r="E662" s="8" t="str">
        <f>"44018119990417481x"</f>
        <v>44018119990417481x</v>
      </c>
      <c r="F662" s="19">
        <v>44082</v>
      </c>
      <c r="G662" s="11" t="s">
        <v>96</v>
      </c>
      <c r="H662" s="11"/>
    </row>
    <row r="663" spans="1:8" ht="14.25" customHeight="1">
      <c r="A663" s="6" t="s">
        <v>29</v>
      </c>
      <c r="B663" s="18" t="s">
        <v>98</v>
      </c>
      <c r="C663" s="8" t="str">
        <f>"陈梓豪"</f>
        <v>陈梓豪</v>
      </c>
      <c r="D663" s="13" t="s">
        <v>11</v>
      </c>
      <c r="E663" s="8" t="str">
        <f>"440181199701284816"</f>
        <v>440181199701284816</v>
      </c>
      <c r="F663" s="19">
        <v>44082</v>
      </c>
      <c r="G663" s="11" t="s">
        <v>96</v>
      </c>
      <c r="H663" s="11"/>
    </row>
    <row r="664" spans="1:8" ht="14.25" customHeight="1">
      <c r="A664" s="6" t="s">
        <v>30</v>
      </c>
      <c r="B664" s="18" t="s">
        <v>98</v>
      </c>
      <c r="C664" s="8" t="str">
        <f>"张展程"</f>
        <v>张展程</v>
      </c>
      <c r="D664" s="13" t="s">
        <v>11</v>
      </c>
      <c r="E664" s="8" t="str">
        <f>"440181199412273336"</f>
        <v>440181199412273336</v>
      </c>
      <c r="F664" s="19">
        <v>44082</v>
      </c>
      <c r="G664" s="11" t="s">
        <v>96</v>
      </c>
      <c r="H664" s="11"/>
    </row>
    <row r="665" spans="1:8" ht="14.25" customHeight="1">
      <c r="A665" s="6" t="s">
        <v>31</v>
      </c>
      <c r="B665" s="18" t="s">
        <v>98</v>
      </c>
      <c r="C665" s="8" t="str">
        <f>"陈俊朗"</f>
        <v>陈俊朗</v>
      </c>
      <c r="D665" s="13" t="s">
        <v>11</v>
      </c>
      <c r="E665" s="8" t="str">
        <f>"440181199812123951"</f>
        <v>440181199812123951</v>
      </c>
      <c r="F665" s="19">
        <v>44082</v>
      </c>
      <c r="G665" s="11" t="s">
        <v>96</v>
      </c>
      <c r="H665" s="11"/>
    </row>
    <row r="666" spans="1:8" ht="14.25" customHeight="1">
      <c r="A666" s="6" t="s">
        <v>32</v>
      </c>
      <c r="B666" s="18" t="s">
        <v>98</v>
      </c>
      <c r="C666" s="8" t="str">
        <f>"吴国威"</f>
        <v>吴国威</v>
      </c>
      <c r="D666" s="13" t="s">
        <v>11</v>
      </c>
      <c r="E666" s="8" t="str">
        <f>"440181198510014835"</f>
        <v>440181198510014835</v>
      </c>
      <c r="F666" s="19">
        <v>44082</v>
      </c>
      <c r="G666" s="11" t="s">
        <v>96</v>
      </c>
      <c r="H666" s="11"/>
    </row>
    <row r="667" spans="1:8" ht="14.25" customHeight="1">
      <c r="A667" s="6" t="s">
        <v>33</v>
      </c>
      <c r="B667" s="18" t="s">
        <v>98</v>
      </c>
      <c r="C667" s="8" t="str">
        <f>"黄启聪"</f>
        <v>黄启聪</v>
      </c>
      <c r="D667" s="13" t="s">
        <v>11</v>
      </c>
      <c r="E667" s="8" t="str">
        <f>"440181199310094812"</f>
        <v>440181199310094812</v>
      </c>
      <c r="F667" s="19">
        <v>44082</v>
      </c>
      <c r="G667" s="11" t="s">
        <v>96</v>
      </c>
      <c r="H667" s="11"/>
    </row>
    <row r="668" spans="1:8" ht="14.25" customHeight="1">
      <c r="A668" s="6" t="s">
        <v>34</v>
      </c>
      <c r="B668" s="18" t="s">
        <v>98</v>
      </c>
      <c r="C668" s="8" t="str">
        <f>"文汉坤"</f>
        <v>文汉坤</v>
      </c>
      <c r="D668" s="13" t="s">
        <v>11</v>
      </c>
      <c r="E668" s="8" t="str">
        <f>"440883199401252290"</f>
        <v>440883199401252290</v>
      </c>
      <c r="F668" s="19">
        <v>44082</v>
      </c>
      <c r="G668" s="11" t="s">
        <v>96</v>
      </c>
      <c r="H668" s="11"/>
    </row>
    <row r="669" spans="1:8" ht="14.25" customHeight="1">
      <c r="A669" s="6" t="s">
        <v>35</v>
      </c>
      <c r="B669" s="18" t="s">
        <v>98</v>
      </c>
      <c r="C669" s="8" t="str">
        <f>"林键泉"</f>
        <v>林键泉</v>
      </c>
      <c r="D669" s="13" t="s">
        <v>11</v>
      </c>
      <c r="E669" s="8" t="str">
        <f>"440181199806094816"</f>
        <v>440181199806094816</v>
      </c>
      <c r="F669" s="19">
        <v>44082</v>
      </c>
      <c r="G669" s="11" t="s">
        <v>96</v>
      </c>
      <c r="H669" s="11"/>
    </row>
    <row r="670" spans="1:8" ht="14.25" customHeight="1">
      <c r="A670" s="6" t="s">
        <v>36</v>
      </c>
      <c r="B670" s="18" t="s">
        <v>98</v>
      </c>
      <c r="C670" s="8" t="str">
        <f>"冯俊尧"</f>
        <v>冯俊尧</v>
      </c>
      <c r="D670" s="13" t="s">
        <v>11</v>
      </c>
      <c r="E670" s="8" t="str">
        <f>"440181198911303910"</f>
        <v>440181198911303910</v>
      </c>
      <c r="F670" s="19">
        <v>44082</v>
      </c>
      <c r="G670" s="11" t="s">
        <v>96</v>
      </c>
      <c r="H670" s="11"/>
    </row>
    <row r="671" spans="1:8" ht="14.25" customHeight="1">
      <c r="A671" s="6" t="s">
        <v>37</v>
      </c>
      <c r="B671" s="18" t="s">
        <v>98</v>
      </c>
      <c r="C671" s="8" t="str">
        <f>"谢周澎"</f>
        <v>谢周澎</v>
      </c>
      <c r="D671" s="13" t="s">
        <v>11</v>
      </c>
      <c r="E671" s="8" t="str">
        <f>"440184198907180996"</f>
        <v>440184198907180996</v>
      </c>
      <c r="F671" s="19">
        <v>44082</v>
      </c>
      <c r="G671" s="11" t="s">
        <v>96</v>
      </c>
      <c r="H671" s="11"/>
    </row>
    <row r="672" spans="1:8" ht="14.25" customHeight="1">
      <c r="A672" s="6" t="s">
        <v>38</v>
      </c>
      <c r="B672" s="18" t="s">
        <v>98</v>
      </c>
      <c r="C672" s="8" t="str">
        <f>"劳峤"</f>
        <v>劳峤</v>
      </c>
      <c r="D672" s="13" t="s">
        <v>11</v>
      </c>
      <c r="E672" s="8" t="str">
        <f>"440882199701239112"</f>
        <v>440882199701239112</v>
      </c>
      <c r="F672" s="19">
        <v>44082</v>
      </c>
      <c r="G672" s="11" t="s">
        <v>96</v>
      </c>
      <c r="H672" s="11"/>
    </row>
    <row r="673" spans="1:8" ht="14.25" customHeight="1">
      <c r="A673" s="6" t="s">
        <v>39</v>
      </c>
      <c r="B673" s="18" t="s">
        <v>98</v>
      </c>
      <c r="C673" s="8" t="str">
        <f>"陈德兴"</f>
        <v>陈德兴</v>
      </c>
      <c r="D673" s="13" t="s">
        <v>11</v>
      </c>
      <c r="E673" s="8" t="str">
        <f>"440882199804281815"</f>
        <v>440882199804281815</v>
      </c>
      <c r="F673" s="19">
        <v>44082</v>
      </c>
      <c r="G673" s="11" t="s">
        <v>96</v>
      </c>
      <c r="H673" s="11"/>
    </row>
    <row r="674" spans="1:8" ht="14.25" customHeight="1">
      <c r="A674" s="6" t="s">
        <v>40</v>
      </c>
      <c r="B674" s="18" t="s">
        <v>98</v>
      </c>
      <c r="C674" s="8" t="str">
        <f>"何宇杰"</f>
        <v>何宇杰</v>
      </c>
      <c r="D674" s="13" t="s">
        <v>11</v>
      </c>
      <c r="E674" s="8" t="str">
        <f>"440181199308261511"</f>
        <v>440181199308261511</v>
      </c>
      <c r="F674" s="19">
        <v>44082</v>
      </c>
      <c r="G674" s="11" t="s">
        <v>96</v>
      </c>
      <c r="H674" s="11"/>
    </row>
    <row r="675" spans="1:8" ht="14.25" customHeight="1">
      <c r="A675" s="6" t="s">
        <v>41</v>
      </c>
      <c r="B675" s="18" t="s">
        <v>98</v>
      </c>
      <c r="C675" s="8" t="str">
        <f>"邵健航"</f>
        <v>邵健航</v>
      </c>
      <c r="D675" s="13" t="s">
        <v>11</v>
      </c>
      <c r="E675" s="8" t="str">
        <f>"440181199209234817"</f>
        <v>440181199209234817</v>
      </c>
      <c r="F675" s="19">
        <v>44082</v>
      </c>
      <c r="G675" s="11" t="s">
        <v>96</v>
      </c>
      <c r="H675" s="11"/>
    </row>
    <row r="676" spans="1:8" ht="14.25" customHeight="1">
      <c r="A676" s="6" t="s">
        <v>42</v>
      </c>
      <c r="B676" s="18" t="s">
        <v>98</v>
      </c>
      <c r="C676" s="8" t="str">
        <f>"李宇健"</f>
        <v>李宇健</v>
      </c>
      <c r="D676" s="13" t="s">
        <v>11</v>
      </c>
      <c r="E676" s="8" t="str">
        <f>"440181199007083918"</f>
        <v>440181199007083918</v>
      </c>
      <c r="F676" s="19">
        <v>44082</v>
      </c>
      <c r="G676" s="11" t="s">
        <v>96</v>
      </c>
      <c r="H676" s="11"/>
    </row>
    <row r="677" spans="1:8" ht="14.25" customHeight="1">
      <c r="A677" s="6" t="s">
        <v>43</v>
      </c>
      <c r="B677" s="18" t="s">
        <v>98</v>
      </c>
      <c r="C677" s="8" t="str">
        <f>"陈步芳"</f>
        <v>陈步芳</v>
      </c>
      <c r="D677" s="13" t="s">
        <v>11</v>
      </c>
      <c r="E677" s="8" t="str">
        <f>"440181198611287517"</f>
        <v>440181198611287517</v>
      </c>
      <c r="F677" s="19">
        <v>44082</v>
      </c>
      <c r="G677" s="11" t="s">
        <v>96</v>
      </c>
      <c r="H677" s="11"/>
    </row>
    <row r="678" spans="1:8" ht="14.25" customHeight="1">
      <c r="A678" s="6" t="s">
        <v>44</v>
      </c>
      <c r="B678" s="18" t="s">
        <v>98</v>
      </c>
      <c r="C678" s="8" t="str">
        <f>"关润辉"</f>
        <v>关润辉</v>
      </c>
      <c r="D678" s="13" t="s">
        <v>11</v>
      </c>
      <c r="E678" s="8" t="str">
        <f>"440181199005024818"</f>
        <v>440181199005024818</v>
      </c>
      <c r="F678" s="19">
        <v>44082</v>
      </c>
      <c r="G678" s="11" t="s">
        <v>96</v>
      </c>
      <c r="H678" s="11"/>
    </row>
    <row r="679" spans="1:8" ht="14.25" customHeight="1">
      <c r="A679" s="6" t="s">
        <v>45</v>
      </c>
      <c r="B679" s="18" t="s">
        <v>98</v>
      </c>
      <c r="C679" s="8" t="str">
        <f>"崔渭超"</f>
        <v>崔渭超</v>
      </c>
      <c r="D679" s="13" t="s">
        <v>11</v>
      </c>
      <c r="E679" s="8" t="str">
        <f>"440181199810054817"</f>
        <v>440181199810054817</v>
      </c>
      <c r="F679" s="19">
        <v>44082</v>
      </c>
      <c r="G679" s="11" t="s">
        <v>96</v>
      </c>
      <c r="H679" s="11"/>
    </row>
    <row r="680" spans="1:8" ht="14.25" customHeight="1">
      <c r="A680" s="6" t="s">
        <v>46</v>
      </c>
      <c r="B680" s="18" t="s">
        <v>98</v>
      </c>
      <c r="C680" s="8" t="str">
        <f>"刘焯伟"</f>
        <v>刘焯伟</v>
      </c>
      <c r="D680" s="13" t="s">
        <v>11</v>
      </c>
      <c r="E680" s="8" t="str">
        <f>"440181199311103936"</f>
        <v>440181199311103936</v>
      </c>
      <c r="F680" s="19">
        <v>44082</v>
      </c>
      <c r="G680" s="11" t="s">
        <v>96</v>
      </c>
      <c r="H680" s="11"/>
    </row>
    <row r="681" spans="1:8" ht="14.25" customHeight="1">
      <c r="A681" s="6" t="s">
        <v>47</v>
      </c>
      <c r="B681" s="18" t="s">
        <v>98</v>
      </c>
      <c r="C681" s="8" t="str">
        <f>"陈家铭"</f>
        <v>陈家铭</v>
      </c>
      <c r="D681" s="13" t="s">
        <v>11</v>
      </c>
      <c r="E681" s="8" t="str">
        <f>"440181199809284834"</f>
        <v>440181199809284834</v>
      </c>
      <c r="F681" s="19">
        <v>44082</v>
      </c>
      <c r="G681" s="11" t="s">
        <v>96</v>
      </c>
      <c r="H681" s="11"/>
    </row>
    <row r="682" spans="1:8" ht="14.25" customHeight="1">
      <c r="A682" s="6" t="s">
        <v>48</v>
      </c>
      <c r="B682" s="18" t="s">
        <v>98</v>
      </c>
      <c r="C682" s="8" t="str">
        <f>"邢丰源"</f>
        <v>邢丰源</v>
      </c>
      <c r="D682" s="13" t="s">
        <v>11</v>
      </c>
      <c r="E682" s="8" t="str">
        <f>"220283199304178953"</f>
        <v>220283199304178953</v>
      </c>
      <c r="F682" s="19">
        <v>44082</v>
      </c>
      <c r="G682" s="11" t="s">
        <v>96</v>
      </c>
      <c r="H682" s="11"/>
    </row>
    <row r="683" spans="1:8" ht="14.25" customHeight="1">
      <c r="A683" s="6" t="s">
        <v>49</v>
      </c>
      <c r="B683" s="18" t="s">
        <v>98</v>
      </c>
      <c r="C683" s="8" t="str">
        <f>"陈楚南"</f>
        <v>陈楚南</v>
      </c>
      <c r="D683" s="13" t="s">
        <v>11</v>
      </c>
      <c r="E683" s="8" t="str">
        <f>"460103198908250314"</f>
        <v>460103198908250314</v>
      </c>
      <c r="F683" s="19">
        <v>44082</v>
      </c>
      <c r="G683" s="11" t="s">
        <v>96</v>
      </c>
      <c r="H683" s="11"/>
    </row>
    <row r="684" spans="1:8" ht="14.25" customHeight="1">
      <c r="A684" s="6" t="s">
        <v>50</v>
      </c>
      <c r="B684" s="18" t="s">
        <v>98</v>
      </c>
      <c r="C684" s="8" t="str">
        <f>"伦伟楠"</f>
        <v>伦伟楠</v>
      </c>
      <c r="D684" s="13" t="s">
        <v>11</v>
      </c>
      <c r="E684" s="8" t="str">
        <f>"440181199801154816"</f>
        <v>440181199801154816</v>
      </c>
      <c r="F684" s="19">
        <v>44082</v>
      </c>
      <c r="G684" s="11" t="s">
        <v>96</v>
      </c>
      <c r="H684" s="11"/>
    </row>
    <row r="685" spans="1:8" ht="14.25" customHeight="1">
      <c r="A685" s="6" t="s">
        <v>51</v>
      </c>
      <c r="B685" s="18" t="s">
        <v>98</v>
      </c>
      <c r="C685" s="8" t="str">
        <f>"方宇超"</f>
        <v>方宇超</v>
      </c>
      <c r="D685" s="13" t="s">
        <v>11</v>
      </c>
      <c r="E685" s="8" t="str">
        <f>"429006199310265174"</f>
        <v>429006199310265174</v>
      </c>
      <c r="F685" s="19">
        <v>44082</v>
      </c>
      <c r="G685" s="11" t="s">
        <v>96</v>
      </c>
      <c r="H685" s="11"/>
    </row>
    <row r="686" spans="1:8" ht="14.25" customHeight="1">
      <c r="A686" s="6" t="s">
        <v>52</v>
      </c>
      <c r="B686" s="18" t="s">
        <v>98</v>
      </c>
      <c r="C686" s="8" t="str">
        <f>"梁梓浩"</f>
        <v>梁梓浩</v>
      </c>
      <c r="D686" s="13" t="s">
        <v>11</v>
      </c>
      <c r="E686" s="8" t="str">
        <f>"440181199803284817"</f>
        <v>440181199803284817</v>
      </c>
      <c r="F686" s="19">
        <v>44082</v>
      </c>
      <c r="G686" s="11" t="s">
        <v>96</v>
      </c>
      <c r="H686" s="11"/>
    </row>
    <row r="687" spans="1:8" ht="14.25" customHeight="1">
      <c r="A687" s="6" t="s">
        <v>53</v>
      </c>
      <c r="B687" s="18" t="s">
        <v>98</v>
      </c>
      <c r="C687" s="8" t="str">
        <f>"余志华"</f>
        <v>余志华</v>
      </c>
      <c r="D687" s="13" t="s">
        <v>11</v>
      </c>
      <c r="E687" s="8" t="str">
        <f>"440183198709135215"</f>
        <v>440183198709135215</v>
      </c>
      <c r="F687" s="19">
        <v>44082</v>
      </c>
      <c r="G687" s="11" t="s">
        <v>96</v>
      </c>
      <c r="H687" s="11"/>
    </row>
    <row r="688" spans="1:8" ht="14.25" customHeight="1">
      <c r="A688" s="6" t="s">
        <v>54</v>
      </c>
      <c r="B688" s="18" t="s">
        <v>98</v>
      </c>
      <c r="C688" s="8" t="str">
        <f>"吴友文"</f>
        <v>吴友文</v>
      </c>
      <c r="D688" s="13" t="s">
        <v>11</v>
      </c>
      <c r="E688" s="8" t="str">
        <f>"36072819931005001X"</f>
        <v>36072819931005001X</v>
      </c>
      <c r="F688" s="19">
        <v>44082</v>
      </c>
      <c r="G688" s="11" t="s">
        <v>96</v>
      </c>
      <c r="H688" s="11"/>
    </row>
    <row r="689" spans="1:8" ht="14.25" customHeight="1">
      <c r="A689" s="6" t="s">
        <v>55</v>
      </c>
      <c r="B689" s="18" t="s">
        <v>98</v>
      </c>
      <c r="C689" s="8" t="str">
        <f>"黄艺棚"</f>
        <v>黄艺棚</v>
      </c>
      <c r="D689" s="13" t="s">
        <v>11</v>
      </c>
      <c r="E689" s="8" t="str">
        <f>"440112199710231211"</f>
        <v>440112199710231211</v>
      </c>
      <c r="F689" s="19">
        <v>44082</v>
      </c>
      <c r="G689" s="11" t="s">
        <v>96</v>
      </c>
      <c r="H689" s="11"/>
    </row>
    <row r="690" spans="1:8" ht="14.25" customHeight="1">
      <c r="A690" s="6" t="s">
        <v>56</v>
      </c>
      <c r="B690" s="18" t="s">
        <v>98</v>
      </c>
      <c r="C690" s="8" t="str">
        <f>"许雁"</f>
        <v>许雁</v>
      </c>
      <c r="D690" s="13" t="s">
        <v>84</v>
      </c>
      <c r="E690" s="8" t="str">
        <f>"445122199504030045"</f>
        <v>445122199504030045</v>
      </c>
      <c r="F690" s="19">
        <v>44082</v>
      </c>
      <c r="G690" s="11" t="s">
        <v>96</v>
      </c>
      <c r="H690" s="11"/>
    </row>
    <row r="691" spans="1:8" ht="14.25" customHeight="1">
      <c r="A691" s="6" t="s">
        <v>57</v>
      </c>
      <c r="B691" s="18" t="s">
        <v>98</v>
      </c>
      <c r="C691" s="8" t="str">
        <f>"邓丽莎"</f>
        <v>邓丽莎</v>
      </c>
      <c r="D691" s="13" t="s">
        <v>84</v>
      </c>
      <c r="E691" s="8" t="str">
        <f>"440181198604113922"</f>
        <v>440181198604113922</v>
      </c>
      <c r="F691" s="19">
        <v>44082</v>
      </c>
      <c r="G691" s="11" t="s">
        <v>96</v>
      </c>
      <c r="H691" s="11"/>
    </row>
    <row r="692" spans="1:8" ht="14.25" customHeight="1">
      <c r="A692" s="6" t="s">
        <v>58</v>
      </c>
      <c r="B692" s="18" t="s">
        <v>98</v>
      </c>
      <c r="C692" s="8" t="str">
        <f>"高雨玲"</f>
        <v>高雨玲</v>
      </c>
      <c r="D692" s="13" t="s">
        <v>84</v>
      </c>
      <c r="E692" s="8" t="str">
        <f>"445222198509202468"</f>
        <v>445222198509202468</v>
      </c>
      <c r="F692" s="19">
        <v>44082</v>
      </c>
      <c r="G692" s="11" t="s">
        <v>96</v>
      </c>
      <c r="H692" s="11"/>
    </row>
    <row r="693" spans="1:8" ht="14.25">
      <c r="A693" s="6" t="s">
        <v>59</v>
      </c>
      <c r="B693" s="18" t="s">
        <v>98</v>
      </c>
      <c r="C693" s="8" t="str">
        <f>"黄司雅"</f>
        <v>黄司雅</v>
      </c>
      <c r="D693" s="13" t="s">
        <v>84</v>
      </c>
      <c r="E693" s="8" t="str">
        <f>"440181198602087521"</f>
        <v>440181198602087521</v>
      </c>
      <c r="F693" s="19">
        <v>44082</v>
      </c>
      <c r="G693" s="11" t="s">
        <v>96</v>
      </c>
      <c r="H693" s="11"/>
    </row>
    <row r="694" spans="1:8" ht="14.25">
      <c r="A694" s="6" t="s">
        <v>60</v>
      </c>
      <c r="B694" s="18" t="s">
        <v>98</v>
      </c>
      <c r="C694" s="8" t="str">
        <f>"张梓莹"</f>
        <v>张梓莹</v>
      </c>
      <c r="D694" s="13" t="s">
        <v>84</v>
      </c>
      <c r="E694" s="8" t="str">
        <f>"440582199608134723"</f>
        <v>440582199608134723</v>
      </c>
      <c r="F694" s="19">
        <v>44082</v>
      </c>
      <c r="G694" s="11" t="s">
        <v>96</v>
      </c>
      <c r="H694" s="18"/>
    </row>
    <row r="695" spans="1:8" ht="14.25">
      <c r="A695" s="6" t="s">
        <v>61</v>
      </c>
      <c r="B695" s="18" t="s">
        <v>98</v>
      </c>
      <c r="C695" s="8" t="str">
        <f>"陆嘉慧"</f>
        <v>陆嘉慧</v>
      </c>
      <c r="D695" s="13" t="s">
        <v>84</v>
      </c>
      <c r="E695" s="8" t="str">
        <f>"452126199502191229"</f>
        <v>452126199502191229</v>
      </c>
      <c r="F695" s="19">
        <v>44082</v>
      </c>
      <c r="G695" s="11" t="s">
        <v>96</v>
      </c>
      <c r="H695" s="18"/>
    </row>
    <row r="696" spans="1:8" ht="14.25">
      <c r="A696" s="6" t="s">
        <v>62</v>
      </c>
      <c r="B696" s="18" t="s">
        <v>98</v>
      </c>
      <c r="C696" s="8" t="str">
        <f>"黄少燕"</f>
        <v>黄少燕</v>
      </c>
      <c r="D696" s="13" t="s">
        <v>84</v>
      </c>
      <c r="E696" s="8" t="str">
        <f>"440181198910290628"</f>
        <v>440181198910290628</v>
      </c>
      <c r="F696" s="19">
        <v>44082</v>
      </c>
      <c r="G696" s="11" t="s">
        <v>96</v>
      </c>
      <c r="H696" s="18"/>
    </row>
    <row r="697" spans="1:8" ht="14.25">
      <c r="A697" s="6" t="s">
        <v>63</v>
      </c>
      <c r="B697" s="18" t="s">
        <v>98</v>
      </c>
      <c r="C697" s="8" t="str">
        <f>"张文燕"</f>
        <v>张文燕</v>
      </c>
      <c r="D697" s="13" t="s">
        <v>84</v>
      </c>
      <c r="E697" s="8" t="str">
        <f>"411403199708167228"</f>
        <v>411403199708167228</v>
      </c>
      <c r="F697" s="19">
        <v>44082</v>
      </c>
      <c r="G697" s="11" t="s">
        <v>96</v>
      </c>
      <c r="H697" s="18"/>
    </row>
    <row r="698" spans="1:8" ht="14.25">
      <c r="A698" s="6" t="s">
        <v>64</v>
      </c>
      <c r="B698" s="18" t="s">
        <v>98</v>
      </c>
      <c r="C698" s="8" t="str">
        <f>"黄美娜"</f>
        <v>黄美娜</v>
      </c>
      <c r="D698" s="13" t="s">
        <v>84</v>
      </c>
      <c r="E698" s="8" t="str">
        <f>"440181199611163623"</f>
        <v>440181199611163623</v>
      </c>
      <c r="F698" s="19">
        <v>44082</v>
      </c>
      <c r="G698" s="11" t="s">
        <v>96</v>
      </c>
      <c r="H698" s="18"/>
    </row>
    <row r="699" spans="1:8" ht="14.25">
      <c r="A699" s="6" t="s">
        <v>65</v>
      </c>
      <c r="B699" s="18" t="s">
        <v>98</v>
      </c>
      <c r="C699" s="8" t="str">
        <f>"陈海琪"</f>
        <v>陈海琪</v>
      </c>
      <c r="D699" s="13" t="s">
        <v>84</v>
      </c>
      <c r="E699" s="8" t="str">
        <f>"441881199906113446"</f>
        <v>441881199906113446</v>
      </c>
      <c r="F699" s="19">
        <v>44082</v>
      </c>
      <c r="G699" s="11" t="s">
        <v>96</v>
      </c>
      <c r="H699" s="18"/>
    </row>
    <row r="700" spans="1:8" s="1" customFormat="1" ht="22.5">
      <c r="A700" s="3" t="s">
        <v>99</v>
      </c>
      <c r="B700" s="3"/>
      <c r="C700" s="3"/>
      <c r="D700" s="3"/>
      <c r="E700" s="3"/>
      <c r="F700" s="3"/>
      <c r="G700" s="3"/>
      <c r="H700" s="3"/>
    </row>
    <row r="701" spans="1:8" ht="37.5">
      <c r="A701" s="5" t="s">
        <v>2</v>
      </c>
      <c r="B701" s="5" t="s">
        <v>3</v>
      </c>
      <c r="C701" s="5" t="s">
        <v>4</v>
      </c>
      <c r="D701" s="5" t="s">
        <v>5</v>
      </c>
      <c r="E701" s="5" t="s">
        <v>6</v>
      </c>
      <c r="F701" s="5" t="s">
        <v>7</v>
      </c>
      <c r="G701" s="5" t="s">
        <v>8</v>
      </c>
      <c r="H701" s="5" t="s">
        <v>9</v>
      </c>
    </row>
    <row r="702" spans="1:8" ht="14.25">
      <c r="A702" s="6" t="s">
        <v>10</v>
      </c>
      <c r="B702" s="20" t="s">
        <v>100</v>
      </c>
      <c r="C702" s="8" t="str">
        <f>"元展培"</f>
        <v>元展培</v>
      </c>
      <c r="D702" s="7" t="s">
        <v>11</v>
      </c>
      <c r="E702" s="8" t="str">
        <f>"440181199203125417"</f>
        <v>440181199203125417</v>
      </c>
      <c r="F702" s="10">
        <v>44082</v>
      </c>
      <c r="G702" s="11" t="s">
        <v>96</v>
      </c>
      <c r="H702" s="12"/>
    </row>
    <row r="703" spans="1:8" ht="14.25">
      <c r="A703" s="6" t="s">
        <v>13</v>
      </c>
      <c r="B703" s="20" t="s">
        <v>100</v>
      </c>
      <c r="C703" s="8" t="str">
        <f>"何浩贤"</f>
        <v>何浩贤</v>
      </c>
      <c r="D703" s="7" t="s">
        <v>11</v>
      </c>
      <c r="E703" s="8" t="str">
        <f>"440181199511255416"</f>
        <v>440181199511255416</v>
      </c>
      <c r="F703" s="10">
        <v>44082</v>
      </c>
      <c r="G703" s="11" t="s">
        <v>96</v>
      </c>
      <c r="H703" s="12"/>
    </row>
    <row r="704" spans="1:8" ht="14.25">
      <c r="A704" s="6" t="s">
        <v>14</v>
      </c>
      <c r="B704" s="20" t="s">
        <v>100</v>
      </c>
      <c r="C704" s="8" t="str">
        <f>"简秋豪"</f>
        <v>简秋豪</v>
      </c>
      <c r="D704" s="7" t="s">
        <v>11</v>
      </c>
      <c r="E704" s="8" t="str">
        <f>"440181199410035414"</f>
        <v>440181199410035414</v>
      </c>
      <c r="F704" s="10">
        <v>44082</v>
      </c>
      <c r="G704" s="11" t="s">
        <v>96</v>
      </c>
      <c r="H704" s="12"/>
    </row>
    <row r="705" spans="1:8" ht="14.25">
      <c r="A705" s="6" t="s">
        <v>15</v>
      </c>
      <c r="B705" s="20" t="s">
        <v>100</v>
      </c>
      <c r="C705" s="8" t="str">
        <f>"杜炽文"</f>
        <v>杜炽文</v>
      </c>
      <c r="D705" s="7" t="s">
        <v>11</v>
      </c>
      <c r="E705" s="8" t="str">
        <f>"440181198707038435"</f>
        <v>440181198707038435</v>
      </c>
      <c r="F705" s="10">
        <v>44082</v>
      </c>
      <c r="G705" s="11" t="s">
        <v>96</v>
      </c>
      <c r="H705" s="12"/>
    </row>
    <row r="706" spans="1:8" ht="14.25">
      <c r="A706" s="6" t="s">
        <v>16</v>
      </c>
      <c r="B706" s="20" t="s">
        <v>100</v>
      </c>
      <c r="C706" s="8" t="str">
        <f>"王家昌"</f>
        <v>王家昌</v>
      </c>
      <c r="D706" s="7" t="s">
        <v>11</v>
      </c>
      <c r="E706" s="8" t="str">
        <f>"44011319991217061X"</f>
        <v>44011319991217061X</v>
      </c>
      <c r="F706" s="10">
        <v>44082</v>
      </c>
      <c r="G706" s="11" t="s">
        <v>96</v>
      </c>
      <c r="H706" s="12"/>
    </row>
    <row r="707" spans="1:8" ht="14.25">
      <c r="A707" s="6" t="s">
        <v>17</v>
      </c>
      <c r="B707" s="20" t="s">
        <v>100</v>
      </c>
      <c r="C707" s="8" t="str">
        <f>"屈振鹏"</f>
        <v>屈振鹏</v>
      </c>
      <c r="D707" s="7" t="s">
        <v>11</v>
      </c>
      <c r="E707" s="8" t="str">
        <f>"440181199706295418"</f>
        <v>440181199706295418</v>
      </c>
      <c r="F707" s="10">
        <v>44082</v>
      </c>
      <c r="G707" s="11" t="s">
        <v>96</v>
      </c>
      <c r="H707" s="12"/>
    </row>
    <row r="708" spans="1:8" ht="14.25">
      <c r="A708" s="6" t="s">
        <v>18</v>
      </c>
      <c r="B708" s="20" t="s">
        <v>100</v>
      </c>
      <c r="C708" s="8" t="str">
        <f>"黄健锋"</f>
        <v>黄健锋</v>
      </c>
      <c r="D708" s="7" t="s">
        <v>11</v>
      </c>
      <c r="E708" s="8" t="str">
        <f>"440181199606255451"</f>
        <v>440181199606255451</v>
      </c>
      <c r="F708" s="10">
        <v>44082</v>
      </c>
      <c r="G708" s="11" t="s">
        <v>96</v>
      </c>
      <c r="H708" s="12"/>
    </row>
    <row r="709" spans="1:8" ht="14.25">
      <c r="A709" s="6" t="s">
        <v>19</v>
      </c>
      <c r="B709" s="20" t="s">
        <v>100</v>
      </c>
      <c r="C709" s="8" t="str">
        <f>"李沛能"</f>
        <v>李沛能</v>
      </c>
      <c r="D709" s="7" t="s">
        <v>11</v>
      </c>
      <c r="E709" s="8" t="str">
        <f>"440181198711080652"</f>
        <v>440181198711080652</v>
      </c>
      <c r="F709" s="10">
        <v>44082</v>
      </c>
      <c r="G709" s="11" t="s">
        <v>96</v>
      </c>
      <c r="H709" s="12"/>
    </row>
    <row r="710" spans="1:8" ht="14.25">
      <c r="A710" s="6" t="s">
        <v>20</v>
      </c>
      <c r="B710" s="20" t="s">
        <v>100</v>
      </c>
      <c r="C710" s="8" t="str">
        <f>"郭健宏"</f>
        <v>郭健宏</v>
      </c>
      <c r="D710" s="7" t="s">
        <v>11</v>
      </c>
      <c r="E710" s="8" t="str">
        <f>"440181199109154238"</f>
        <v>440181199109154238</v>
      </c>
      <c r="F710" s="10">
        <v>44082</v>
      </c>
      <c r="G710" s="11" t="s">
        <v>96</v>
      </c>
      <c r="H710" s="12"/>
    </row>
    <row r="711" spans="1:8" ht="14.25">
      <c r="A711" s="6" t="s">
        <v>21</v>
      </c>
      <c r="B711" s="20" t="s">
        <v>100</v>
      </c>
      <c r="C711" s="8" t="str">
        <f>"张尹宣"</f>
        <v>张尹宣</v>
      </c>
      <c r="D711" s="7" t="s">
        <v>11</v>
      </c>
      <c r="E711" s="8" t="str">
        <f>"440181198810290655"</f>
        <v>440181198810290655</v>
      </c>
      <c r="F711" s="10">
        <v>44082</v>
      </c>
      <c r="G711" s="11" t="s">
        <v>96</v>
      </c>
      <c r="H711" s="12"/>
    </row>
    <row r="712" spans="1:8" ht="14.25">
      <c r="A712" s="6" t="s">
        <v>22</v>
      </c>
      <c r="B712" s="20" t="s">
        <v>100</v>
      </c>
      <c r="C712" s="8" t="str">
        <f>"龙钧保"</f>
        <v>龙钧保</v>
      </c>
      <c r="D712" s="7" t="s">
        <v>11</v>
      </c>
      <c r="E712" s="8" t="str">
        <f>"440981199307151111"</f>
        <v>440981199307151111</v>
      </c>
      <c r="F712" s="10">
        <v>44082</v>
      </c>
      <c r="G712" s="11" t="s">
        <v>96</v>
      </c>
      <c r="H712" s="12"/>
    </row>
    <row r="713" spans="1:8" ht="14.25">
      <c r="A713" s="6" t="s">
        <v>23</v>
      </c>
      <c r="B713" s="20" t="s">
        <v>100</v>
      </c>
      <c r="C713" s="8" t="str">
        <f>"卢宇铿"</f>
        <v>卢宇铿</v>
      </c>
      <c r="D713" s="7" t="s">
        <v>11</v>
      </c>
      <c r="E713" s="8" t="str">
        <f>"440181199812065413"</f>
        <v>440181199812065413</v>
      </c>
      <c r="F713" s="10">
        <v>44082</v>
      </c>
      <c r="G713" s="11" t="s">
        <v>96</v>
      </c>
      <c r="H713" s="12"/>
    </row>
    <row r="714" spans="1:8" ht="14.25">
      <c r="A714" s="6" t="s">
        <v>24</v>
      </c>
      <c r="B714" s="20" t="s">
        <v>100</v>
      </c>
      <c r="C714" s="8" t="str">
        <f>"李汉杰"</f>
        <v>李汉杰</v>
      </c>
      <c r="D714" s="7" t="s">
        <v>11</v>
      </c>
      <c r="E714" s="8" t="str">
        <f>"440181199612140618"</f>
        <v>440181199612140618</v>
      </c>
      <c r="F714" s="10">
        <v>44082</v>
      </c>
      <c r="G714" s="11" t="s">
        <v>96</v>
      </c>
      <c r="H714" s="12"/>
    </row>
    <row r="715" spans="1:8" ht="14.25">
      <c r="A715" s="6" t="s">
        <v>25</v>
      </c>
      <c r="B715" s="20" t="s">
        <v>100</v>
      </c>
      <c r="C715" s="8" t="str">
        <f>"陈铭聪"</f>
        <v>陈铭聪</v>
      </c>
      <c r="D715" s="7" t="s">
        <v>11</v>
      </c>
      <c r="E715" s="8" t="str">
        <f>"440181199707165412"</f>
        <v>440181199707165412</v>
      </c>
      <c r="F715" s="10">
        <v>44082</v>
      </c>
      <c r="G715" s="11" t="s">
        <v>96</v>
      </c>
      <c r="H715" s="12"/>
    </row>
    <row r="716" spans="1:8" ht="14.25">
      <c r="A716" s="6" t="s">
        <v>26</v>
      </c>
      <c r="B716" s="20" t="s">
        <v>100</v>
      </c>
      <c r="C716" s="8" t="str">
        <f>"陈锦辉"</f>
        <v>陈锦辉</v>
      </c>
      <c r="D716" s="7" t="s">
        <v>11</v>
      </c>
      <c r="E716" s="8" t="str">
        <f>"440181199706045435"</f>
        <v>440181199706045435</v>
      </c>
      <c r="F716" s="10">
        <v>44082</v>
      </c>
      <c r="G716" s="11" t="s">
        <v>96</v>
      </c>
      <c r="H716" s="12"/>
    </row>
    <row r="717" spans="1:8" ht="14.25">
      <c r="A717" s="6" t="s">
        <v>27</v>
      </c>
      <c r="B717" s="20" t="s">
        <v>100</v>
      </c>
      <c r="C717" s="8" t="str">
        <f>"李敏江"</f>
        <v>李敏江</v>
      </c>
      <c r="D717" s="7" t="s">
        <v>11</v>
      </c>
      <c r="E717" s="8" t="str">
        <f>"44018119990914541X"</f>
        <v>44018119990914541X</v>
      </c>
      <c r="F717" s="10">
        <v>44082</v>
      </c>
      <c r="G717" s="11" t="s">
        <v>96</v>
      </c>
      <c r="H717" s="11"/>
    </row>
    <row r="718" spans="1:8" ht="14.25">
      <c r="A718" s="6" t="s">
        <v>28</v>
      </c>
      <c r="B718" s="20" t="s">
        <v>100</v>
      </c>
      <c r="C718" s="8" t="str">
        <f>"凌云利"</f>
        <v>凌云利</v>
      </c>
      <c r="D718" s="7" t="s">
        <v>11</v>
      </c>
      <c r="E718" s="8" t="str">
        <f>"51390119960423393x"</f>
        <v>51390119960423393x</v>
      </c>
      <c r="F718" s="10">
        <v>44082</v>
      </c>
      <c r="G718" s="11" t="s">
        <v>96</v>
      </c>
      <c r="H718" s="11"/>
    </row>
    <row r="719" spans="1:8" ht="14.25">
      <c r="A719" s="6" t="s">
        <v>29</v>
      </c>
      <c r="B719" s="20" t="s">
        <v>100</v>
      </c>
      <c r="C719" s="8" t="str">
        <f>"冼柱华"</f>
        <v>冼柱华</v>
      </c>
      <c r="D719" s="7" t="s">
        <v>11</v>
      </c>
      <c r="E719" s="8" t="str">
        <f>"441226199709042012"</f>
        <v>441226199709042012</v>
      </c>
      <c r="F719" s="10">
        <v>44082</v>
      </c>
      <c r="G719" s="11" t="s">
        <v>96</v>
      </c>
      <c r="H719" s="11"/>
    </row>
    <row r="720" spans="1:8" ht="14.25">
      <c r="A720" s="6" t="s">
        <v>30</v>
      </c>
      <c r="B720" s="20" t="s">
        <v>100</v>
      </c>
      <c r="C720" s="8" t="str">
        <f>"彭毅豪"</f>
        <v>彭毅豪</v>
      </c>
      <c r="D720" s="7" t="s">
        <v>11</v>
      </c>
      <c r="E720" s="8" t="str">
        <f>"44018119911129431X"</f>
        <v>44018119911129431X</v>
      </c>
      <c r="F720" s="10">
        <v>44082</v>
      </c>
      <c r="G720" s="11" t="s">
        <v>96</v>
      </c>
      <c r="H720" s="11"/>
    </row>
    <row r="721" spans="1:8" ht="14.25">
      <c r="A721" s="6" t="s">
        <v>31</v>
      </c>
      <c r="B721" s="20" t="s">
        <v>100</v>
      </c>
      <c r="C721" s="8" t="str">
        <f>"梁伟城"</f>
        <v>梁伟城</v>
      </c>
      <c r="D721" s="7" t="s">
        <v>11</v>
      </c>
      <c r="E721" s="8" t="str">
        <f>"440181199506050934"</f>
        <v>440181199506050934</v>
      </c>
      <c r="F721" s="10">
        <v>44082</v>
      </c>
      <c r="G721" s="11" t="s">
        <v>96</v>
      </c>
      <c r="H721" s="11"/>
    </row>
    <row r="722" spans="1:8" ht="14.25">
      <c r="A722" s="6" t="s">
        <v>32</v>
      </c>
      <c r="B722" s="20" t="s">
        <v>100</v>
      </c>
      <c r="C722" s="8" t="str">
        <f>"谢光淇"</f>
        <v>谢光淇</v>
      </c>
      <c r="D722" s="7" t="s">
        <v>11</v>
      </c>
      <c r="E722" s="8" t="str">
        <f>"450881199807101758"</f>
        <v>450881199807101758</v>
      </c>
      <c r="F722" s="10">
        <v>44082</v>
      </c>
      <c r="G722" s="11" t="s">
        <v>96</v>
      </c>
      <c r="H722" s="11"/>
    </row>
    <row r="723" spans="1:8" ht="14.25">
      <c r="A723" s="6" t="s">
        <v>33</v>
      </c>
      <c r="B723" s="20" t="s">
        <v>100</v>
      </c>
      <c r="C723" s="8" t="str">
        <f>"周振南"</f>
        <v>周振南</v>
      </c>
      <c r="D723" s="7" t="s">
        <v>11</v>
      </c>
      <c r="E723" s="8" t="str">
        <f>"441323199305168512"</f>
        <v>441323199305168512</v>
      </c>
      <c r="F723" s="10">
        <v>44082</v>
      </c>
      <c r="G723" s="11" t="s">
        <v>96</v>
      </c>
      <c r="H723" s="11"/>
    </row>
    <row r="724" spans="1:8" ht="14.25">
      <c r="A724" s="6" t="s">
        <v>34</v>
      </c>
      <c r="B724" s="20" t="s">
        <v>100</v>
      </c>
      <c r="C724" s="8" t="str">
        <f>"梁伟杰"</f>
        <v>梁伟杰</v>
      </c>
      <c r="D724" s="7" t="s">
        <v>11</v>
      </c>
      <c r="E724" s="8" t="str">
        <f>"440181199310035716"</f>
        <v>440181199310035716</v>
      </c>
      <c r="F724" s="10">
        <v>44082</v>
      </c>
      <c r="G724" s="11" t="s">
        <v>96</v>
      </c>
      <c r="H724" s="11"/>
    </row>
    <row r="725" spans="1:8" ht="14.25">
      <c r="A725" s="6" t="s">
        <v>35</v>
      </c>
      <c r="B725" s="20" t="s">
        <v>100</v>
      </c>
      <c r="C725" s="8" t="str">
        <f>"陈嘉琪"</f>
        <v>陈嘉琪</v>
      </c>
      <c r="D725" s="7" t="s">
        <v>11</v>
      </c>
      <c r="E725" s="8" t="str">
        <f>"440181198911128112"</f>
        <v>440181198911128112</v>
      </c>
      <c r="F725" s="10">
        <v>44082</v>
      </c>
      <c r="G725" s="11" t="s">
        <v>96</v>
      </c>
      <c r="H725" s="11"/>
    </row>
    <row r="726" spans="1:8" ht="14.25">
      <c r="A726" s="6" t="s">
        <v>36</v>
      </c>
      <c r="B726" s="20" t="s">
        <v>100</v>
      </c>
      <c r="C726" s="8" t="str">
        <f>"陈裕丰"</f>
        <v>陈裕丰</v>
      </c>
      <c r="D726" s="7" t="s">
        <v>11</v>
      </c>
      <c r="E726" s="8" t="str">
        <f>"440181199002051255"</f>
        <v>440181199002051255</v>
      </c>
      <c r="F726" s="10">
        <v>44082</v>
      </c>
      <c r="G726" s="11" t="s">
        <v>96</v>
      </c>
      <c r="H726" s="11"/>
    </row>
    <row r="727" spans="1:8" ht="14.25">
      <c r="A727" s="6" t="s">
        <v>37</v>
      </c>
      <c r="B727" s="20" t="s">
        <v>100</v>
      </c>
      <c r="C727" s="8" t="str">
        <f>"黄柏贤"</f>
        <v>黄柏贤</v>
      </c>
      <c r="D727" s="7" t="s">
        <v>11</v>
      </c>
      <c r="E727" s="8" t="str">
        <f>"440181199710178417"</f>
        <v>440181199710178417</v>
      </c>
      <c r="F727" s="10">
        <v>44082</v>
      </c>
      <c r="G727" s="11" t="s">
        <v>96</v>
      </c>
      <c r="H727" s="11"/>
    </row>
    <row r="728" spans="1:8" ht="14.25">
      <c r="A728" s="6" t="s">
        <v>38</v>
      </c>
      <c r="B728" s="20" t="s">
        <v>100</v>
      </c>
      <c r="C728" s="8" t="str">
        <f>"陈德明"</f>
        <v>陈德明</v>
      </c>
      <c r="D728" s="7" t="s">
        <v>11</v>
      </c>
      <c r="E728" s="8" t="str">
        <f>"440181199501218136"</f>
        <v>440181199501218136</v>
      </c>
      <c r="F728" s="10">
        <v>44082</v>
      </c>
      <c r="G728" s="11" t="s">
        <v>96</v>
      </c>
      <c r="H728" s="11"/>
    </row>
    <row r="729" spans="1:8" ht="14.25">
      <c r="A729" s="6" t="s">
        <v>39</v>
      </c>
      <c r="B729" s="20" t="s">
        <v>100</v>
      </c>
      <c r="C729" s="8" t="str">
        <f>"陈炳基"</f>
        <v>陈炳基</v>
      </c>
      <c r="D729" s="7" t="s">
        <v>11</v>
      </c>
      <c r="E729" s="8" t="str">
        <f>"440181198603127513"</f>
        <v>440181198603127513</v>
      </c>
      <c r="F729" s="10">
        <v>44082</v>
      </c>
      <c r="G729" s="11" t="s">
        <v>96</v>
      </c>
      <c r="H729" s="11"/>
    </row>
    <row r="730" spans="1:8" ht="14.25">
      <c r="A730" s="6" t="s">
        <v>40</v>
      </c>
      <c r="B730" s="20" t="s">
        <v>100</v>
      </c>
      <c r="C730" s="8" t="str">
        <f>"李剑锋"</f>
        <v>李剑锋</v>
      </c>
      <c r="D730" s="7" t="s">
        <v>11</v>
      </c>
      <c r="E730" s="8" t="str">
        <f>"440181198810315410"</f>
        <v>440181198810315410</v>
      </c>
      <c r="F730" s="10">
        <v>44082</v>
      </c>
      <c r="G730" s="11" t="s">
        <v>96</v>
      </c>
      <c r="H730" s="11"/>
    </row>
    <row r="731" spans="1:8" ht="14.25">
      <c r="A731" s="6" t="s">
        <v>41</v>
      </c>
      <c r="B731" s="20" t="s">
        <v>100</v>
      </c>
      <c r="C731" s="8" t="str">
        <f>"陈敏锋"</f>
        <v>陈敏锋</v>
      </c>
      <c r="D731" s="7" t="s">
        <v>11</v>
      </c>
      <c r="E731" s="8" t="str">
        <f>"440181198703160919"</f>
        <v>440181198703160919</v>
      </c>
      <c r="F731" s="10">
        <v>44082</v>
      </c>
      <c r="G731" s="11" t="s">
        <v>96</v>
      </c>
      <c r="H731" s="11"/>
    </row>
    <row r="732" spans="1:8" ht="14.25">
      <c r="A732" s="6" t="s">
        <v>42</v>
      </c>
      <c r="B732" s="20" t="s">
        <v>100</v>
      </c>
      <c r="C732" s="8" t="str">
        <f>"王嘉敏"</f>
        <v>王嘉敏</v>
      </c>
      <c r="D732" s="7" t="s">
        <v>11</v>
      </c>
      <c r="E732" s="8" t="str">
        <f>"440181199510295432"</f>
        <v>440181199510295432</v>
      </c>
      <c r="F732" s="10">
        <v>44082</v>
      </c>
      <c r="G732" s="11" t="s">
        <v>96</v>
      </c>
      <c r="H732" s="11"/>
    </row>
    <row r="733" spans="1:8" ht="14.25">
      <c r="A733" s="6" t="s">
        <v>43</v>
      </c>
      <c r="B733" s="20" t="s">
        <v>100</v>
      </c>
      <c r="C733" s="8" t="str">
        <f>"孔伟尧"</f>
        <v>孔伟尧</v>
      </c>
      <c r="D733" s="7" t="s">
        <v>11</v>
      </c>
      <c r="E733" s="8" t="str">
        <f>"440181199505235451"</f>
        <v>440181199505235451</v>
      </c>
      <c r="F733" s="10">
        <v>44082</v>
      </c>
      <c r="G733" s="11" t="s">
        <v>96</v>
      </c>
      <c r="H733" s="11"/>
    </row>
    <row r="734" spans="1:8" ht="14.25">
      <c r="A734" s="6" t="s">
        <v>44</v>
      </c>
      <c r="B734" s="20" t="s">
        <v>100</v>
      </c>
      <c r="C734" s="8" t="str">
        <f>"苏俊荣"</f>
        <v>苏俊荣</v>
      </c>
      <c r="D734" s="7" t="s">
        <v>11</v>
      </c>
      <c r="E734" s="8" t="str">
        <f>"44018119881201841X"</f>
        <v>44018119881201841X</v>
      </c>
      <c r="F734" s="10">
        <v>44082</v>
      </c>
      <c r="G734" s="11" t="s">
        <v>96</v>
      </c>
      <c r="H734" s="11"/>
    </row>
    <row r="735" spans="1:8" ht="14.25">
      <c r="A735" s="6" t="s">
        <v>45</v>
      </c>
      <c r="B735" s="20" t="s">
        <v>100</v>
      </c>
      <c r="C735" s="8" t="str">
        <f>"冯汉潮"</f>
        <v>冯汉潮</v>
      </c>
      <c r="D735" s="7" t="s">
        <v>11</v>
      </c>
      <c r="E735" s="8" t="str">
        <f>"440181199708154213"</f>
        <v>440181199708154213</v>
      </c>
      <c r="F735" s="10">
        <v>44082</v>
      </c>
      <c r="G735" s="11" t="s">
        <v>96</v>
      </c>
      <c r="H735" s="11"/>
    </row>
    <row r="736" spans="1:8" ht="14.25">
      <c r="A736" s="6" t="s">
        <v>46</v>
      </c>
      <c r="B736" s="20" t="s">
        <v>100</v>
      </c>
      <c r="C736" s="8" t="str">
        <f>"周梓键"</f>
        <v>周梓键</v>
      </c>
      <c r="D736" s="7" t="s">
        <v>11</v>
      </c>
      <c r="E736" s="8" t="str">
        <f>"440181199912043019"</f>
        <v>440181199912043019</v>
      </c>
      <c r="F736" s="10">
        <v>44082</v>
      </c>
      <c r="G736" s="11" t="s">
        <v>96</v>
      </c>
      <c r="H736" s="11"/>
    </row>
    <row r="737" spans="1:8" ht="14.25">
      <c r="A737" s="6" t="s">
        <v>47</v>
      </c>
      <c r="B737" s="20" t="s">
        <v>100</v>
      </c>
      <c r="C737" s="8" t="str">
        <f>"孔梓健"</f>
        <v>孔梓健</v>
      </c>
      <c r="D737" s="7" t="s">
        <v>11</v>
      </c>
      <c r="E737" s="8" t="str">
        <f>"440181199207155410"</f>
        <v>440181199207155410</v>
      </c>
      <c r="F737" s="10">
        <v>44082</v>
      </c>
      <c r="G737" s="11" t="s">
        <v>96</v>
      </c>
      <c r="H737" s="11"/>
    </row>
    <row r="738" spans="1:8" ht="14.25">
      <c r="A738" s="6" t="s">
        <v>48</v>
      </c>
      <c r="B738" s="20" t="s">
        <v>100</v>
      </c>
      <c r="C738" s="8" t="str">
        <f>"李国权"</f>
        <v>李国权</v>
      </c>
      <c r="D738" s="7" t="s">
        <v>11</v>
      </c>
      <c r="E738" s="8" t="str">
        <f>"440181199611215438"</f>
        <v>440181199611215438</v>
      </c>
      <c r="F738" s="10">
        <v>44082</v>
      </c>
      <c r="G738" s="11" t="s">
        <v>96</v>
      </c>
      <c r="H738" s="11"/>
    </row>
    <row r="739" spans="1:8" ht="14.25">
      <c r="A739" s="6" t="s">
        <v>49</v>
      </c>
      <c r="B739" s="20" t="s">
        <v>100</v>
      </c>
      <c r="C739" s="8" t="str">
        <f>"高汶杰"</f>
        <v>高汶杰</v>
      </c>
      <c r="D739" s="7" t="s">
        <v>11</v>
      </c>
      <c r="E739" s="8" t="str">
        <f>"440181199906123610"</f>
        <v>440181199906123610</v>
      </c>
      <c r="F739" s="10">
        <v>44082</v>
      </c>
      <c r="G739" s="11" t="s">
        <v>96</v>
      </c>
      <c r="H739" s="11"/>
    </row>
    <row r="740" spans="1:8" ht="14.25">
      <c r="A740" s="6" t="s">
        <v>50</v>
      </c>
      <c r="B740" s="20" t="s">
        <v>100</v>
      </c>
      <c r="C740" s="8" t="str">
        <f>"陈伟全"</f>
        <v>陈伟全</v>
      </c>
      <c r="D740" s="7" t="s">
        <v>11</v>
      </c>
      <c r="E740" s="8" t="str">
        <f>"441881198604051417"</f>
        <v>441881198604051417</v>
      </c>
      <c r="F740" s="10">
        <v>44082</v>
      </c>
      <c r="G740" s="11" t="s">
        <v>96</v>
      </c>
      <c r="H740" s="11"/>
    </row>
    <row r="741" spans="1:8" ht="14.25">
      <c r="A741" s="6" t="s">
        <v>51</v>
      </c>
      <c r="B741" s="20" t="s">
        <v>100</v>
      </c>
      <c r="C741" s="8" t="str">
        <f>"孙皓"</f>
        <v>孙皓</v>
      </c>
      <c r="D741" s="7" t="s">
        <v>11</v>
      </c>
      <c r="E741" s="8" t="str">
        <f>"450403198809220317"</f>
        <v>450403198809220317</v>
      </c>
      <c r="F741" s="10">
        <v>44082</v>
      </c>
      <c r="G741" s="11" t="s">
        <v>96</v>
      </c>
      <c r="H741" s="11"/>
    </row>
    <row r="742" spans="1:8" ht="14.25">
      <c r="A742" s="6" t="s">
        <v>52</v>
      </c>
      <c r="B742" s="20" t="s">
        <v>100</v>
      </c>
      <c r="C742" s="8" t="str">
        <f>"郭炳汶"</f>
        <v>郭炳汶</v>
      </c>
      <c r="D742" s="7" t="s">
        <v>11</v>
      </c>
      <c r="E742" s="8" t="str">
        <f>"440181199701295435"</f>
        <v>440181199701295435</v>
      </c>
      <c r="F742" s="10">
        <v>44082</v>
      </c>
      <c r="G742" s="11" t="s">
        <v>96</v>
      </c>
      <c r="H742" s="11"/>
    </row>
    <row r="743" spans="1:8" ht="14.25">
      <c r="A743" s="6" t="s">
        <v>53</v>
      </c>
      <c r="B743" s="20" t="s">
        <v>100</v>
      </c>
      <c r="C743" s="8" t="str">
        <f>"许家荣"</f>
        <v>许家荣</v>
      </c>
      <c r="D743" s="7" t="s">
        <v>11</v>
      </c>
      <c r="E743" s="8" t="str">
        <f>"440181199408033954"</f>
        <v>440181199408033954</v>
      </c>
      <c r="F743" s="10">
        <v>44082</v>
      </c>
      <c r="G743" s="11" t="s">
        <v>96</v>
      </c>
      <c r="H743" s="11"/>
    </row>
    <row r="744" spans="1:8" ht="14.25">
      <c r="A744" s="6" t="s">
        <v>54</v>
      </c>
      <c r="B744" s="20" t="s">
        <v>100</v>
      </c>
      <c r="C744" s="8" t="str">
        <f>"陈炜杰"</f>
        <v>陈炜杰</v>
      </c>
      <c r="D744" s="7" t="s">
        <v>11</v>
      </c>
      <c r="E744" s="8" t="str">
        <f>"440181199512165439"</f>
        <v>440181199512165439</v>
      </c>
      <c r="F744" s="10">
        <v>44082</v>
      </c>
      <c r="G744" s="11" t="s">
        <v>96</v>
      </c>
      <c r="H744" s="11"/>
    </row>
    <row r="745" spans="1:8" ht="14.25">
      <c r="A745" s="6" t="s">
        <v>55</v>
      </c>
      <c r="B745" s="20" t="s">
        <v>100</v>
      </c>
      <c r="C745" s="8" t="str">
        <f>"罗敏聪"</f>
        <v>罗敏聪</v>
      </c>
      <c r="D745" s="7" t="s">
        <v>11</v>
      </c>
      <c r="E745" s="8" t="str">
        <f>"440113200001055413"</f>
        <v>440113200001055413</v>
      </c>
      <c r="F745" s="10">
        <v>44082</v>
      </c>
      <c r="G745" s="11" t="s">
        <v>96</v>
      </c>
      <c r="H745" s="11"/>
    </row>
    <row r="746" spans="1:8" ht="14.25">
      <c r="A746" s="6" t="s">
        <v>56</v>
      </c>
      <c r="B746" s="20" t="s">
        <v>100</v>
      </c>
      <c r="C746" s="8" t="str">
        <f>"何焯恒"</f>
        <v>何焯恒</v>
      </c>
      <c r="D746" s="7" t="s">
        <v>11</v>
      </c>
      <c r="E746" s="8" t="str">
        <f>"440181199303230636"</f>
        <v>440181199303230636</v>
      </c>
      <c r="F746" s="10">
        <v>44082</v>
      </c>
      <c r="G746" s="11" t="s">
        <v>96</v>
      </c>
      <c r="H746" s="11"/>
    </row>
    <row r="747" spans="1:8" ht="14.25">
      <c r="A747" s="6" t="s">
        <v>57</v>
      </c>
      <c r="B747" s="20" t="s">
        <v>100</v>
      </c>
      <c r="C747" s="8" t="str">
        <f>"苏俊朗"</f>
        <v>苏俊朗</v>
      </c>
      <c r="D747" s="7" t="s">
        <v>11</v>
      </c>
      <c r="E747" s="8" t="str">
        <f>"44018119921117151X"</f>
        <v>44018119921117151X</v>
      </c>
      <c r="F747" s="10">
        <v>44082</v>
      </c>
      <c r="G747" s="11" t="s">
        <v>96</v>
      </c>
      <c r="H747" s="11"/>
    </row>
    <row r="748" spans="1:8" ht="14.25">
      <c r="A748" s="6" t="s">
        <v>58</v>
      </c>
      <c r="B748" s="20" t="s">
        <v>100</v>
      </c>
      <c r="C748" s="8" t="str">
        <f>"郭海杨"</f>
        <v>郭海杨</v>
      </c>
      <c r="D748" s="7" t="s">
        <v>11</v>
      </c>
      <c r="E748" s="8" t="str">
        <f>"440181199410285413"</f>
        <v>440181199410285413</v>
      </c>
      <c r="F748" s="10">
        <v>44082</v>
      </c>
      <c r="G748" s="11" t="s">
        <v>96</v>
      </c>
      <c r="H748" s="11"/>
    </row>
    <row r="749" spans="1:8" ht="14.25">
      <c r="A749" s="6" t="s">
        <v>59</v>
      </c>
      <c r="B749" s="20" t="s">
        <v>100</v>
      </c>
      <c r="C749" s="8" t="str">
        <f>"何炽杰"</f>
        <v>何炽杰</v>
      </c>
      <c r="D749" s="7" t="s">
        <v>11</v>
      </c>
      <c r="E749" s="8" t="str">
        <f>"440181199303090653"</f>
        <v>440181199303090653</v>
      </c>
      <c r="F749" s="10">
        <v>44082</v>
      </c>
      <c r="G749" s="11" t="s">
        <v>96</v>
      </c>
      <c r="H749" s="11"/>
    </row>
    <row r="750" spans="1:8" ht="14.25">
      <c r="A750" s="6" t="s">
        <v>60</v>
      </c>
      <c r="B750" s="20" t="s">
        <v>100</v>
      </c>
      <c r="C750" s="8" t="str">
        <f>"郭赐鹏"</f>
        <v>郭赐鹏</v>
      </c>
      <c r="D750" s="7" t="s">
        <v>11</v>
      </c>
      <c r="E750" s="8" t="str">
        <f>"44018119921230541X"</f>
        <v>44018119921230541X</v>
      </c>
      <c r="F750" s="10">
        <v>44082</v>
      </c>
      <c r="G750" s="11" t="s">
        <v>96</v>
      </c>
      <c r="H750" s="18"/>
    </row>
    <row r="751" spans="1:8" ht="14.25">
      <c r="A751" s="6" t="s">
        <v>61</v>
      </c>
      <c r="B751" s="20" t="s">
        <v>100</v>
      </c>
      <c r="C751" s="8" t="str">
        <f>"黄建昇"</f>
        <v>黄建昇</v>
      </c>
      <c r="D751" s="7" t="s">
        <v>11</v>
      </c>
      <c r="E751" s="8" t="str">
        <f>"440181199712315438"</f>
        <v>440181199712315438</v>
      </c>
      <c r="F751" s="10">
        <v>44082</v>
      </c>
      <c r="G751" s="11" t="s">
        <v>96</v>
      </c>
      <c r="H751" s="18"/>
    </row>
    <row r="752" spans="1:8" ht="14.25">
      <c r="A752" s="6" t="s">
        <v>62</v>
      </c>
      <c r="B752" s="20" t="s">
        <v>100</v>
      </c>
      <c r="C752" s="8" t="str">
        <f>"陈臻诚"</f>
        <v>陈臻诚</v>
      </c>
      <c r="D752" s="7" t="s">
        <v>11</v>
      </c>
      <c r="E752" s="8" t="str">
        <f>"440181199302141252"</f>
        <v>440181199302141252</v>
      </c>
      <c r="F752" s="10">
        <v>44082</v>
      </c>
      <c r="G752" s="11" t="s">
        <v>96</v>
      </c>
      <c r="H752" s="18"/>
    </row>
    <row r="753" spans="1:8" ht="14.25">
      <c r="A753" s="6" t="s">
        <v>63</v>
      </c>
      <c r="B753" s="20" t="s">
        <v>100</v>
      </c>
      <c r="C753" s="8" t="str">
        <f>"卢永钊"</f>
        <v>卢永钊</v>
      </c>
      <c r="D753" s="7" t="s">
        <v>11</v>
      </c>
      <c r="E753" s="8" t="str">
        <f>"440181199507125416"</f>
        <v>440181199507125416</v>
      </c>
      <c r="F753" s="10">
        <v>44082</v>
      </c>
      <c r="G753" s="11" t="s">
        <v>96</v>
      </c>
      <c r="H753" s="18"/>
    </row>
    <row r="754" spans="1:8" ht="14.25">
      <c r="A754" s="6" t="s">
        <v>64</v>
      </c>
      <c r="B754" s="20" t="s">
        <v>100</v>
      </c>
      <c r="C754" s="8" t="str">
        <f>"曾晨晖"</f>
        <v>曾晨晖</v>
      </c>
      <c r="D754" s="7" t="s">
        <v>11</v>
      </c>
      <c r="E754" s="8" t="str">
        <f>"440181199205118130"</f>
        <v>440181199205118130</v>
      </c>
      <c r="F754" s="10">
        <v>44082</v>
      </c>
      <c r="G754" s="11" t="s">
        <v>96</v>
      </c>
      <c r="H754" s="18"/>
    </row>
    <row r="755" spans="1:8" ht="14.25">
      <c r="A755" s="6" t="s">
        <v>65</v>
      </c>
      <c r="B755" s="20" t="s">
        <v>100</v>
      </c>
      <c r="C755" s="8" t="str">
        <f>"罗志锋"</f>
        <v>罗志锋</v>
      </c>
      <c r="D755" s="7" t="s">
        <v>11</v>
      </c>
      <c r="E755" s="8" t="str">
        <f>"440181199511084215"</f>
        <v>440181199511084215</v>
      </c>
      <c r="F755" s="10">
        <v>44082</v>
      </c>
      <c r="G755" s="11" t="s">
        <v>96</v>
      </c>
      <c r="H755" s="18"/>
    </row>
    <row r="756" spans="1:8" s="1" customFormat="1" ht="14.25">
      <c r="A756" s="6" t="s">
        <v>66</v>
      </c>
      <c r="B756" s="20" t="s">
        <v>100</v>
      </c>
      <c r="C756" s="8" t="str">
        <f>"张晖"</f>
        <v>张晖</v>
      </c>
      <c r="D756" s="7" t="s">
        <v>11</v>
      </c>
      <c r="E756" s="8" t="str">
        <f>"441424199910174859"</f>
        <v>441424199910174859</v>
      </c>
      <c r="F756" s="10">
        <v>44082</v>
      </c>
      <c r="G756" s="11" t="s">
        <v>96</v>
      </c>
      <c r="H756" s="18"/>
    </row>
    <row r="757" spans="1:8" s="1" customFormat="1" ht="22.5">
      <c r="A757" s="3" t="s">
        <v>101</v>
      </c>
      <c r="B757" s="3"/>
      <c r="C757" s="3"/>
      <c r="D757" s="3"/>
      <c r="E757" s="3"/>
      <c r="F757" s="3"/>
      <c r="G757" s="3"/>
      <c r="H757" s="3"/>
    </row>
    <row r="758" spans="1:8" s="1" customFormat="1" ht="37.5">
      <c r="A758" s="5" t="s">
        <v>2</v>
      </c>
      <c r="B758" s="5" t="s">
        <v>3</v>
      </c>
      <c r="C758" s="5" t="s">
        <v>4</v>
      </c>
      <c r="D758" s="5" t="s">
        <v>5</v>
      </c>
      <c r="E758" s="5" t="s">
        <v>6</v>
      </c>
      <c r="F758" s="5" t="s">
        <v>7</v>
      </c>
      <c r="G758" s="5" t="s">
        <v>8</v>
      </c>
      <c r="H758" s="5" t="s">
        <v>9</v>
      </c>
    </row>
    <row r="759" spans="1:8" s="1" customFormat="1" ht="14.25">
      <c r="A759" s="6" t="s">
        <v>10</v>
      </c>
      <c r="B759" s="18" t="s">
        <v>100</v>
      </c>
      <c r="C759" s="8" t="str">
        <f>"覃以汶"</f>
        <v>覃以汶</v>
      </c>
      <c r="D759" s="7" t="s">
        <v>11</v>
      </c>
      <c r="E759" s="8" t="str">
        <f>"450821199101100650"</f>
        <v>450821199101100650</v>
      </c>
      <c r="F759" s="19">
        <v>44082</v>
      </c>
      <c r="G759" s="11" t="s">
        <v>96</v>
      </c>
      <c r="H759" s="12"/>
    </row>
    <row r="760" spans="1:8" s="1" customFormat="1" ht="14.25">
      <c r="A760" s="6" t="s">
        <v>13</v>
      </c>
      <c r="B760" s="18" t="s">
        <v>100</v>
      </c>
      <c r="C760" s="8" t="str">
        <f>"何梓鹏"</f>
        <v>何梓鹏</v>
      </c>
      <c r="D760" s="7" t="s">
        <v>11</v>
      </c>
      <c r="E760" s="8" t="str">
        <f>"440181199708125412"</f>
        <v>440181199708125412</v>
      </c>
      <c r="F760" s="19">
        <v>44082</v>
      </c>
      <c r="G760" s="11" t="s">
        <v>96</v>
      </c>
      <c r="H760" s="12"/>
    </row>
    <row r="761" spans="1:8" s="1" customFormat="1" ht="14.25">
      <c r="A761" s="6" t="s">
        <v>14</v>
      </c>
      <c r="B761" s="18" t="s">
        <v>100</v>
      </c>
      <c r="C761" s="8" t="str">
        <f>"冯梓斌"</f>
        <v>冯梓斌</v>
      </c>
      <c r="D761" s="7" t="s">
        <v>11</v>
      </c>
      <c r="E761" s="8" t="str">
        <f>"440181199305154219"</f>
        <v>440181199305154219</v>
      </c>
      <c r="F761" s="19">
        <v>44082</v>
      </c>
      <c r="G761" s="11" t="s">
        <v>96</v>
      </c>
      <c r="H761" s="12"/>
    </row>
    <row r="762" spans="1:8" s="1" customFormat="1" ht="14.25">
      <c r="A762" s="6" t="s">
        <v>15</v>
      </c>
      <c r="B762" s="18" t="s">
        <v>100</v>
      </c>
      <c r="C762" s="8" t="str">
        <f>"卢健斌"</f>
        <v>卢健斌</v>
      </c>
      <c r="D762" s="7" t="s">
        <v>11</v>
      </c>
      <c r="E762" s="8" t="str">
        <f>"440181199712215410"</f>
        <v>440181199712215410</v>
      </c>
      <c r="F762" s="19">
        <v>44082</v>
      </c>
      <c r="G762" s="11" t="s">
        <v>96</v>
      </c>
      <c r="H762" s="12"/>
    </row>
    <row r="763" spans="1:8" s="1" customFormat="1" ht="14.25">
      <c r="A763" s="6" t="s">
        <v>16</v>
      </c>
      <c r="B763" s="18" t="s">
        <v>100</v>
      </c>
      <c r="C763" s="8" t="str">
        <f>"郭家豪"</f>
        <v>郭家豪</v>
      </c>
      <c r="D763" s="7" t="s">
        <v>11</v>
      </c>
      <c r="E763" s="8" t="str">
        <f>"440181199212255432"</f>
        <v>440181199212255432</v>
      </c>
      <c r="F763" s="19">
        <v>44082</v>
      </c>
      <c r="G763" s="11" t="s">
        <v>96</v>
      </c>
      <c r="H763" s="12"/>
    </row>
    <row r="764" spans="1:8" s="1" customFormat="1" ht="14.25">
      <c r="A764" s="6" t="s">
        <v>17</v>
      </c>
      <c r="B764" s="18" t="s">
        <v>100</v>
      </c>
      <c r="C764" s="8" t="str">
        <f>"王嘉锋"</f>
        <v>王嘉锋</v>
      </c>
      <c r="D764" s="7" t="s">
        <v>11</v>
      </c>
      <c r="E764" s="8" t="str">
        <f>"440181199404058433"</f>
        <v>440181199404058433</v>
      </c>
      <c r="F764" s="19">
        <v>44082</v>
      </c>
      <c r="G764" s="11" t="s">
        <v>96</v>
      </c>
      <c r="H764" s="12"/>
    </row>
    <row r="765" spans="1:8" s="1" customFormat="1" ht="14.25">
      <c r="A765" s="6" t="s">
        <v>18</v>
      </c>
      <c r="B765" s="18" t="s">
        <v>100</v>
      </c>
      <c r="C765" s="8" t="str">
        <f>"何嘉健"</f>
        <v>何嘉健</v>
      </c>
      <c r="D765" s="7" t="s">
        <v>11</v>
      </c>
      <c r="E765" s="8" t="str">
        <f>"440181199212110655"</f>
        <v>440181199212110655</v>
      </c>
      <c r="F765" s="19">
        <v>44082</v>
      </c>
      <c r="G765" s="11" t="s">
        <v>96</v>
      </c>
      <c r="H765" s="12"/>
    </row>
    <row r="766" spans="1:8" s="1" customFormat="1" ht="14.25">
      <c r="A766" s="6" t="s">
        <v>19</v>
      </c>
      <c r="B766" s="18" t="s">
        <v>100</v>
      </c>
      <c r="C766" s="8" t="str">
        <f>"麦文辉"</f>
        <v>麦文辉</v>
      </c>
      <c r="D766" s="7" t="s">
        <v>11</v>
      </c>
      <c r="E766" s="8" t="str">
        <f>"440181199207185716"</f>
        <v>440181199207185716</v>
      </c>
      <c r="F766" s="19">
        <v>44082</v>
      </c>
      <c r="G766" s="11" t="s">
        <v>96</v>
      </c>
      <c r="H766" s="12"/>
    </row>
    <row r="767" spans="1:8" s="1" customFormat="1" ht="14.25">
      <c r="A767" s="6" t="s">
        <v>20</v>
      </c>
      <c r="B767" s="18" t="s">
        <v>100</v>
      </c>
      <c r="C767" s="8" t="str">
        <f>"黄焯文"</f>
        <v>黄焯文</v>
      </c>
      <c r="D767" s="7" t="s">
        <v>11</v>
      </c>
      <c r="E767" s="8" t="str">
        <f>"440181199808295152"</f>
        <v>440181199808295152</v>
      </c>
      <c r="F767" s="19">
        <v>44082</v>
      </c>
      <c r="G767" s="11" t="s">
        <v>96</v>
      </c>
      <c r="H767" s="12"/>
    </row>
    <row r="768" spans="1:8" s="1" customFormat="1" ht="14.25">
      <c r="A768" s="6" t="s">
        <v>21</v>
      </c>
      <c r="B768" s="18" t="s">
        <v>100</v>
      </c>
      <c r="C768" s="8" t="str">
        <f>"梁毅霆"</f>
        <v>梁毅霆</v>
      </c>
      <c r="D768" s="7" t="s">
        <v>11</v>
      </c>
      <c r="E768" s="8" t="str">
        <f>"440181199803145411"</f>
        <v>440181199803145411</v>
      </c>
      <c r="F768" s="19">
        <v>44082</v>
      </c>
      <c r="G768" s="11" t="s">
        <v>96</v>
      </c>
      <c r="H768" s="12"/>
    </row>
    <row r="769" spans="1:8" s="1" customFormat="1" ht="14.25">
      <c r="A769" s="6" t="s">
        <v>22</v>
      </c>
      <c r="B769" s="18" t="s">
        <v>100</v>
      </c>
      <c r="C769" s="8" t="str">
        <f>"李家亮"</f>
        <v>李家亮</v>
      </c>
      <c r="D769" s="7" t="s">
        <v>11</v>
      </c>
      <c r="E769" s="8" t="str">
        <f>"440181198608315417"</f>
        <v>440181198608315417</v>
      </c>
      <c r="F769" s="19">
        <v>44082</v>
      </c>
      <c r="G769" s="11" t="s">
        <v>96</v>
      </c>
      <c r="H769" s="12"/>
    </row>
    <row r="770" spans="1:8" s="1" customFormat="1" ht="14.25">
      <c r="A770" s="6" t="s">
        <v>23</v>
      </c>
      <c r="B770" s="18" t="s">
        <v>100</v>
      </c>
      <c r="C770" s="8" t="str">
        <f>"黄浩贤"</f>
        <v>黄浩贤</v>
      </c>
      <c r="D770" s="7" t="s">
        <v>11</v>
      </c>
      <c r="E770" s="8" t="str">
        <f>"440181199805245416"</f>
        <v>440181199805245416</v>
      </c>
      <c r="F770" s="19">
        <v>44082</v>
      </c>
      <c r="G770" s="11" t="s">
        <v>96</v>
      </c>
      <c r="H770" s="12"/>
    </row>
    <row r="771" spans="1:8" s="1" customFormat="1" ht="14.25">
      <c r="A771" s="6" t="s">
        <v>24</v>
      </c>
      <c r="B771" s="18" t="s">
        <v>100</v>
      </c>
      <c r="C771" s="8" t="str">
        <f>"曾健强"</f>
        <v>曾健强</v>
      </c>
      <c r="D771" s="7" t="s">
        <v>11</v>
      </c>
      <c r="E771" s="8" t="str">
        <f>"440181199311044219"</f>
        <v>440181199311044219</v>
      </c>
      <c r="F771" s="19">
        <v>44082</v>
      </c>
      <c r="G771" s="11" t="s">
        <v>96</v>
      </c>
      <c r="H771" s="12"/>
    </row>
    <row r="772" spans="1:8" s="1" customFormat="1" ht="14.25">
      <c r="A772" s="6" t="s">
        <v>25</v>
      </c>
      <c r="B772" s="18" t="s">
        <v>100</v>
      </c>
      <c r="C772" s="8" t="str">
        <f>"袁志伟"</f>
        <v>袁志伟</v>
      </c>
      <c r="D772" s="7" t="s">
        <v>11</v>
      </c>
      <c r="E772" s="8" t="str">
        <f>"440823198809055679"</f>
        <v>440823198809055679</v>
      </c>
      <c r="F772" s="19">
        <v>44082</v>
      </c>
      <c r="G772" s="11" t="s">
        <v>96</v>
      </c>
      <c r="H772" s="12"/>
    </row>
    <row r="773" spans="1:8" s="1" customFormat="1" ht="14.25">
      <c r="A773" s="6" t="s">
        <v>26</v>
      </c>
      <c r="B773" s="18" t="s">
        <v>100</v>
      </c>
      <c r="C773" s="8" t="str">
        <f>"陈旭焌"</f>
        <v>陈旭焌</v>
      </c>
      <c r="D773" s="7" t="s">
        <v>11</v>
      </c>
      <c r="E773" s="8" t="str">
        <f>"440181199310215450"</f>
        <v>440181199310215450</v>
      </c>
      <c r="F773" s="19">
        <v>44082</v>
      </c>
      <c r="G773" s="11" t="s">
        <v>96</v>
      </c>
      <c r="H773" s="12"/>
    </row>
    <row r="774" spans="1:8" s="1" customFormat="1" ht="14.25">
      <c r="A774" s="6" t="s">
        <v>27</v>
      </c>
      <c r="B774" s="18" t="s">
        <v>100</v>
      </c>
      <c r="C774" s="8" t="str">
        <f>"殷业樊"</f>
        <v>殷业樊</v>
      </c>
      <c r="D774" s="7" t="s">
        <v>11</v>
      </c>
      <c r="E774" s="8" t="str">
        <f>"440825199011230316"</f>
        <v>440825199011230316</v>
      </c>
      <c r="F774" s="19">
        <v>44082</v>
      </c>
      <c r="G774" s="11" t="s">
        <v>96</v>
      </c>
      <c r="H774" s="11"/>
    </row>
    <row r="775" spans="1:8" s="1" customFormat="1" ht="14.25">
      <c r="A775" s="6" t="s">
        <v>28</v>
      </c>
      <c r="B775" s="18" t="s">
        <v>100</v>
      </c>
      <c r="C775" s="8" t="str">
        <f>"麦家劲"</f>
        <v>麦家劲</v>
      </c>
      <c r="D775" s="7" t="s">
        <v>11</v>
      </c>
      <c r="E775" s="8" t="str">
        <f>"440181198603075717"</f>
        <v>440181198603075717</v>
      </c>
      <c r="F775" s="19">
        <v>44082</v>
      </c>
      <c r="G775" s="11" t="s">
        <v>96</v>
      </c>
      <c r="H775" s="11"/>
    </row>
    <row r="776" spans="1:8" s="1" customFormat="1" ht="14.25">
      <c r="A776" s="6" t="s">
        <v>29</v>
      </c>
      <c r="B776" s="18" t="s">
        <v>100</v>
      </c>
      <c r="C776" s="8" t="str">
        <f>"麦海锋"</f>
        <v>麦海锋</v>
      </c>
      <c r="D776" s="7" t="s">
        <v>11</v>
      </c>
      <c r="E776" s="8" t="str">
        <f>"440181199403215716"</f>
        <v>440181199403215716</v>
      </c>
      <c r="F776" s="19">
        <v>44082</v>
      </c>
      <c r="G776" s="11" t="s">
        <v>96</v>
      </c>
      <c r="H776" s="11"/>
    </row>
    <row r="777" spans="1:8" s="1" customFormat="1" ht="14.25">
      <c r="A777" s="6" t="s">
        <v>30</v>
      </c>
      <c r="B777" s="18" t="s">
        <v>100</v>
      </c>
      <c r="C777" s="8" t="str">
        <f>"姚乐生"</f>
        <v>姚乐生</v>
      </c>
      <c r="D777" s="7" t="s">
        <v>11</v>
      </c>
      <c r="E777" s="8" t="str">
        <f>"440181199304178112"</f>
        <v>440181199304178112</v>
      </c>
      <c r="F777" s="19">
        <v>44082</v>
      </c>
      <c r="G777" s="11" t="s">
        <v>96</v>
      </c>
      <c r="H777" s="11"/>
    </row>
    <row r="778" spans="1:8" s="1" customFormat="1" ht="14.25">
      <c r="A778" s="6" t="s">
        <v>31</v>
      </c>
      <c r="B778" s="18" t="s">
        <v>100</v>
      </c>
      <c r="C778" s="8" t="str">
        <f>"李新贵"</f>
        <v>李新贵</v>
      </c>
      <c r="D778" s="7" t="s">
        <v>11</v>
      </c>
      <c r="E778" s="8" t="str">
        <f>"452124199107201519"</f>
        <v>452124199107201519</v>
      </c>
      <c r="F778" s="19">
        <v>44082</v>
      </c>
      <c r="G778" s="11" t="s">
        <v>96</v>
      </c>
      <c r="H778" s="11"/>
    </row>
    <row r="779" spans="1:8" s="1" customFormat="1" ht="14.25">
      <c r="A779" s="6" t="s">
        <v>32</v>
      </c>
      <c r="B779" s="18" t="s">
        <v>100</v>
      </c>
      <c r="C779" s="8" t="str">
        <f>"孔庆强"</f>
        <v>孔庆强</v>
      </c>
      <c r="D779" s="7" t="s">
        <v>11</v>
      </c>
      <c r="E779" s="8" t="str">
        <f>"440181198606115411"</f>
        <v>440181198606115411</v>
      </c>
      <c r="F779" s="19">
        <v>44082</v>
      </c>
      <c r="G779" s="11" t="s">
        <v>96</v>
      </c>
      <c r="H779" s="11"/>
    </row>
    <row r="780" spans="1:8" s="1" customFormat="1" ht="14.25">
      <c r="A780" s="6" t="s">
        <v>33</v>
      </c>
      <c r="B780" s="18" t="s">
        <v>100</v>
      </c>
      <c r="C780" s="8" t="str">
        <f>"王俊杰"</f>
        <v>王俊杰</v>
      </c>
      <c r="D780" s="7" t="s">
        <v>11</v>
      </c>
      <c r="E780" s="8" t="str">
        <f>"440181199111110015"</f>
        <v>440181199111110015</v>
      </c>
      <c r="F780" s="19">
        <v>44082</v>
      </c>
      <c r="G780" s="11" t="s">
        <v>96</v>
      </c>
      <c r="H780" s="11"/>
    </row>
    <row r="781" spans="1:8" s="1" customFormat="1" ht="14.25">
      <c r="A781" s="6" t="s">
        <v>34</v>
      </c>
      <c r="B781" s="18" t="s">
        <v>100</v>
      </c>
      <c r="C781" s="8" t="str">
        <f>"孔炽良"</f>
        <v>孔炽良</v>
      </c>
      <c r="D781" s="7" t="s">
        <v>11</v>
      </c>
      <c r="E781" s="8" t="str">
        <f>"440181200004255417"</f>
        <v>440181200004255417</v>
      </c>
      <c r="F781" s="19">
        <v>44082</v>
      </c>
      <c r="G781" s="11" t="s">
        <v>96</v>
      </c>
      <c r="H781" s="11"/>
    </row>
    <row r="782" spans="1:8" s="1" customFormat="1" ht="14.25">
      <c r="A782" s="6" t="s">
        <v>35</v>
      </c>
      <c r="B782" s="18" t="s">
        <v>100</v>
      </c>
      <c r="C782" s="8" t="str">
        <f>"黄俊铧"</f>
        <v>黄俊铧</v>
      </c>
      <c r="D782" s="7" t="s">
        <v>11</v>
      </c>
      <c r="E782" s="8" t="str">
        <f>"440181199402105435"</f>
        <v>440181199402105435</v>
      </c>
      <c r="F782" s="19">
        <v>44082</v>
      </c>
      <c r="G782" s="11" t="s">
        <v>96</v>
      </c>
      <c r="H782" s="11"/>
    </row>
    <row r="783" spans="1:8" s="1" customFormat="1" ht="14.25">
      <c r="A783" s="6" t="s">
        <v>36</v>
      </c>
      <c r="B783" s="18" t="s">
        <v>100</v>
      </c>
      <c r="C783" s="8" t="str">
        <f>"梁文杰"</f>
        <v>梁文杰</v>
      </c>
      <c r="D783" s="7" t="s">
        <v>11</v>
      </c>
      <c r="E783" s="8" t="str">
        <f>"440785198509160016"</f>
        <v>440785198509160016</v>
      </c>
      <c r="F783" s="19">
        <v>44082</v>
      </c>
      <c r="G783" s="11" t="s">
        <v>96</v>
      </c>
      <c r="H783" s="11"/>
    </row>
    <row r="784" spans="1:8" s="1" customFormat="1" ht="14.25">
      <c r="A784" s="6" t="s">
        <v>37</v>
      </c>
      <c r="B784" s="18" t="s">
        <v>100</v>
      </c>
      <c r="C784" s="8" t="str">
        <f>"黄伟杰"</f>
        <v>黄伟杰</v>
      </c>
      <c r="D784" s="7" t="s">
        <v>11</v>
      </c>
      <c r="E784" s="8" t="str">
        <f>"44018119960512541X"</f>
        <v>44018119960512541X</v>
      </c>
      <c r="F784" s="19">
        <v>44082</v>
      </c>
      <c r="G784" s="11" t="s">
        <v>96</v>
      </c>
      <c r="H784" s="11"/>
    </row>
    <row r="785" spans="1:8" s="1" customFormat="1" ht="14.25">
      <c r="A785" s="6" t="s">
        <v>38</v>
      </c>
      <c r="B785" s="18" t="s">
        <v>100</v>
      </c>
      <c r="C785" s="8" t="str">
        <f>"关显焯"</f>
        <v>关显焯</v>
      </c>
      <c r="D785" s="7" t="s">
        <v>11</v>
      </c>
      <c r="E785" s="8" t="str">
        <f>"440181199611204819"</f>
        <v>440181199611204819</v>
      </c>
      <c r="F785" s="19">
        <v>44082</v>
      </c>
      <c r="G785" s="11" t="s">
        <v>96</v>
      </c>
      <c r="H785" s="11"/>
    </row>
    <row r="786" spans="1:8" s="1" customFormat="1" ht="14.25">
      <c r="A786" s="6" t="s">
        <v>39</v>
      </c>
      <c r="B786" s="18" t="s">
        <v>100</v>
      </c>
      <c r="C786" s="8" t="str">
        <f>"林森"</f>
        <v>林森</v>
      </c>
      <c r="D786" s="7" t="s">
        <v>11</v>
      </c>
      <c r="E786" s="8" t="str">
        <f>"431122198912017659"</f>
        <v>431122198912017659</v>
      </c>
      <c r="F786" s="19">
        <v>44082</v>
      </c>
      <c r="G786" s="11" t="s">
        <v>96</v>
      </c>
      <c r="H786" s="11"/>
    </row>
    <row r="787" spans="1:8" s="1" customFormat="1" ht="14.25">
      <c r="A787" s="6" t="s">
        <v>40</v>
      </c>
      <c r="B787" s="18" t="s">
        <v>100</v>
      </c>
      <c r="C787" s="8" t="str">
        <f>"霍伟锋"</f>
        <v>霍伟锋</v>
      </c>
      <c r="D787" s="7" t="s">
        <v>11</v>
      </c>
      <c r="E787" s="8" t="str">
        <f>"440181199506056914"</f>
        <v>440181199506056914</v>
      </c>
      <c r="F787" s="19">
        <v>44082</v>
      </c>
      <c r="G787" s="11" t="s">
        <v>96</v>
      </c>
      <c r="H787" s="11"/>
    </row>
    <row r="788" spans="1:8" s="1" customFormat="1" ht="14.25">
      <c r="A788" s="6" t="s">
        <v>41</v>
      </c>
      <c r="B788" s="18" t="s">
        <v>100</v>
      </c>
      <c r="C788" s="8" t="str">
        <f>"李沛贤"</f>
        <v>李沛贤</v>
      </c>
      <c r="D788" s="7" t="s">
        <v>11</v>
      </c>
      <c r="E788" s="8" t="str">
        <f>"44018119980515571X"</f>
        <v>44018119980515571X</v>
      </c>
      <c r="F788" s="19">
        <v>44082</v>
      </c>
      <c r="G788" s="11" t="s">
        <v>96</v>
      </c>
      <c r="H788" s="11"/>
    </row>
    <row r="789" spans="1:8" s="1" customFormat="1" ht="14.25">
      <c r="A789" s="6" t="s">
        <v>42</v>
      </c>
      <c r="B789" s="18" t="s">
        <v>100</v>
      </c>
      <c r="C789" s="8" t="str">
        <f>"苏梓宏"</f>
        <v>苏梓宏</v>
      </c>
      <c r="D789" s="7" t="s">
        <v>11</v>
      </c>
      <c r="E789" s="8" t="str">
        <f>"440181199304123939"</f>
        <v>440181199304123939</v>
      </c>
      <c r="F789" s="19">
        <v>44082</v>
      </c>
      <c r="G789" s="11" t="s">
        <v>96</v>
      </c>
      <c r="H789" s="11"/>
    </row>
    <row r="790" spans="1:8" s="1" customFormat="1" ht="14.25">
      <c r="A790" s="6" t="s">
        <v>43</v>
      </c>
      <c r="B790" s="18" t="s">
        <v>100</v>
      </c>
      <c r="C790" s="8" t="str">
        <f>"刘洋"</f>
        <v>刘洋</v>
      </c>
      <c r="D790" s="7" t="s">
        <v>11</v>
      </c>
      <c r="E790" s="8" t="str">
        <f>"412826198904201350"</f>
        <v>412826198904201350</v>
      </c>
      <c r="F790" s="19">
        <v>44082</v>
      </c>
      <c r="G790" s="11" t="s">
        <v>96</v>
      </c>
      <c r="H790" s="11"/>
    </row>
    <row r="791" spans="1:8" s="1" customFormat="1" ht="14.25">
      <c r="A791" s="6" t="s">
        <v>44</v>
      </c>
      <c r="B791" s="18" t="s">
        <v>100</v>
      </c>
      <c r="C791" s="8" t="str">
        <f>"简俊辉"</f>
        <v>简俊辉</v>
      </c>
      <c r="D791" s="7" t="s">
        <v>11</v>
      </c>
      <c r="E791" s="8" t="str">
        <f>"44018119951020545X"</f>
        <v>44018119951020545X</v>
      </c>
      <c r="F791" s="19">
        <v>44082</v>
      </c>
      <c r="G791" s="11" t="s">
        <v>96</v>
      </c>
      <c r="H791" s="11"/>
    </row>
    <row r="792" spans="1:8" s="1" customFormat="1" ht="14.25">
      <c r="A792" s="6" t="s">
        <v>45</v>
      </c>
      <c r="B792" s="18" t="s">
        <v>100</v>
      </c>
      <c r="C792" s="8" t="str">
        <f>"陈弈瑜"</f>
        <v>陈弈瑜</v>
      </c>
      <c r="D792" s="13" t="s">
        <v>84</v>
      </c>
      <c r="E792" s="8" t="str">
        <f>"440181199108115464"</f>
        <v>440181199108115464</v>
      </c>
      <c r="F792" s="19">
        <v>44082</v>
      </c>
      <c r="G792" s="11" t="s">
        <v>96</v>
      </c>
      <c r="H792" s="11"/>
    </row>
    <row r="793" spans="1:8" s="1" customFormat="1" ht="14.25">
      <c r="A793" s="6" t="s">
        <v>46</v>
      </c>
      <c r="B793" s="18" t="s">
        <v>100</v>
      </c>
      <c r="C793" s="8" t="str">
        <f>"简婉浈"</f>
        <v>简婉浈</v>
      </c>
      <c r="D793" s="13" t="s">
        <v>84</v>
      </c>
      <c r="E793" s="8" t="str">
        <f>"440181199708205420"</f>
        <v>440181199708205420</v>
      </c>
      <c r="F793" s="19">
        <v>44082</v>
      </c>
      <c r="G793" s="11" t="s">
        <v>96</v>
      </c>
      <c r="H793" s="11"/>
    </row>
    <row r="794" spans="1:8" s="1" customFormat="1" ht="14.25">
      <c r="A794" s="6" t="s">
        <v>47</v>
      </c>
      <c r="B794" s="18" t="s">
        <v>100</v>
      </c>
      <c r="C794" s="8" t="str">
        <f>"莫小蝶"</f>
        <v>莫小蝶</v>
      </c>
      <c r="D794" s="13" t="s">
        <v>84</v>
      </c>
      <c r="E794" s="8" t="str">
        <f>"440982199502033504"</f>
        <v>440982199502033504</v>
      </c>
      <c r="F794" s="19">
        <v>44082</v>
      </c>
      <c r="G794" s="11" t="s">
        <v>96</v>
      </c>
      <c r="H794" s="11"/>
    </row>
    <row r="795" spans="1:8" s="1" customFormat="1" ht="14.25">
      <c r="A795" s="6" t="s">
        <v>48</v>
      </c>
      <c r="B795" s="18" t="s">
        <v>100</v>
      </c>
      <c r="C795" s="8" t="str">
        <f>"何小莉"</f>
        <v>何小莉</v>
      </c>
      <c r="D795" s="13" t="s">
        <v>84</v>
      </c>
      <c r="E795" s="8" t="str">
        <f>"440181199211180627"</f>
        <v>440181199211180627</v>
      </c>
      <c r="F795" s="19">
        <v>44082</v>
      </c>
      <c r="G795" s="11" t="s">
        <v>96</v>
      </c>
      <c r="H795" s="11"/>
    </row>
    <row r="796" spans="1:8" s="1" customFormat="1" ht="14.25">
      <c r="A796" s="6" t="s">
        <v>49</v>
      </c>
      <c r="B796" s="18" t="s">
        <v>100</v>
      </c>
      <c r="C796" s="8" t="str">
        <f>"陈小异"</f>
        <v>陈小异</v>
      </c>
      <c r="D796" s="13" t="s">
        <v>84</v>
      </c>
      <c r="E796" s="8" t="str">
        <f>"360123199307250040"</f>
        <v>360123199307250040</v>
      </c>
      <c r="F796" s="19">
        <v>44082</v>
      </c>
      <c r="G796" s="11" t="s">
        <v>96</v>
      </c>
      <c r="H796" s="11"/>
    </row>
    <row r="797" spans="1:8" s="1" customFormat="1" ht="14.25">
      <c r="A797" s="6" t="s">
        <v>50</v>
      </c>
      <c r="B797" s="18" t="s">
        <v>100</v>
      </c>
      <c r="C797" s="8" t="str">
        <f>"何影鸿"</f>
        <v>何影鸿</v>
      </c>
      <c r="D797" s="13" t="s">
        <v>84</v>
      </c>
      <c r="E797" s="8" t="str">
        <f>"440181199501041529"</f>
        <v>440181199501041529</v>
      </c>
      <c r="F797" s="19">
        <v>44082</v>
      </c>
      <c r="G797" s="11" t="s">
        <v>96</v>
      </c>
      <c r="H797" s="11"/>
    </row>
    <row r="798" spans="1:8" s="1" customFormat="1" ht="14.25">
      <c r="A798" s="6" t="s">
        <v>51</v>
      </c>
      <c r="B798" s="18" t="s">
        <v>100</v>
      </c>
      <c r="C798" s="8" t="str">
        <f>"黄海珠"</f>
        <v>黄海珠</v>
      </c>
      <c r="D798" s="13" t="s">
        <v>84</v>
      </c>
      <c r="E798" s="8" t="str">
        <f>"445224199211094828"</f>
        <v>445224199211094828</v>
      </c>
      <c r="F798" s="19">
        <v>44082</v>
      </c>
      <c r="G798" s="11" t="s">
        <v>96</v>
      </c>
      <c r="H798" s="11"/>
    </row>
    <row r="799" spans="1:8" s="1" customFormat="1" ht="14.25">
      <c r="A799" s="6" t="s">
        <v>52</v>
      </c>
      <c r="B799" s="18" t="s">
        <v>100</v>
      </c>
      <c r="C799" s="8" t="str">
        <f>"张碧仪"</f>
        <v>张碧仪</v>
      </c>
      <c r="D799" s="13" t="s">
        <v>84</v>
      </c>
      <c r="E799" s="8" t="str">
        <f>"440181198807315428"</f>
        <v>440181198807315428</v>
      </c>
      <c r="F799" s="19">
        <v>44082</v>
      </c>
      <c r="G799" s="11" t="s">
        <v>96</v>
      </c>
      <c r="H799" s="11"/>
    </row>
    <row r="800" spans="1:8" s="1" customFormat="1" ht="14.25">
      <c r="A800" s="6" t="s">
        <v>53</v>
      </c>
      <c r="B800" s="18" t="s">
        <v>100</v>
      </c>
      <c r="C800" s="8" t="str">
        <f>"李慧琳"</f>
        <v>李慧琳</v>
      </c>
      <c r="D800" s="13" t="s">
        <v>84</v>
      </c>
      <c r="E800" s="8" t="str">
        <f>"440181199707158722"</f>
        <v>440181199707158722</v>
      </c>
      <c r="F800" s="19">
        <v>44082</v>
      </c>
      <c r="G800" s="11" t="s">
        <v>96</v>
      </c>
      <c r="H800" s="11"/>
    </row>
    <row r="801" spans="1:8" s="1" customFormat="1" ht="14.25">
      <c r="A801" s="6" t="s">
        <v>54</v>
      </c>
      <c r="B801" s="18" t="s">
        <v>100</v>
      </c>
      <c r="C801" s="8" t="str">
        <f>"张嘉淇"</f>
        <v>张嘉淇</v>
      </c>
      <c r="D801" s="13" t="s">
        <v>84</v>
      </c>
      <c r="E801" s="8" t="str">
        <f>"445381199810314047"</f>
        <v>445381199810314047</v>
      </c>
      <c r="F801" s="19">
        <v>44082</v>
      </c>
      <c r="G801" s="11" t="s">
        <v>96</v>
      </c>
      <c r="H801" s="11"/>
    </row>
    <row r="802" spans="1:8" s="1" customFormat="1" ht="14.25">
      <c r="A802" s="6" t="s">
        <v>55</v>
      </c>
      <c r="B802" s="18" t="s">
        <v>100</v>
      </c>
      <c r="C802" s="8" t="str">
        <f>"冯彩纳"</f>
        <v>冯彩纳</v>
      </c>
      <c r="D802" s="13" t="s">
        <v>84</v>
      </c>
      <c r="E802" s="8" t="str">
        <f>"440923198512187406"</f>
        <v>440923198512187406</v>
      </c>
      <c r="F802" s="19">
        <v>44082</v>
      </c>
      <c r="G802" s="11" t="s">
        <v>96</v>
      </c>
      <c r="H802" s="11"/>
    </row>
    <row r="803" spans="1:8" s="1" customFormat="1" ht="14.25">
      <c r="A803" s="6" t="s">
        <v>56</v>
      </c>
      <c r="B803" s="18" t="s">
        <v>100</v>
      </c>
      <c r="C803" s="8" t="str">
        <f>"孙丽欣"</f>
        <v>孙丽欣</v>
      </c>
      <c r="D803" s="13" t="s">
        <v>84</v>
      </c>
      <c r="E803" s="8" t="str">
        <f>"230622199207230562"</f>
        <v>230622199207230562</v>
      </c>
      <c r="F803" s="19">
        <v>44082</v>
      </c>
      <c r="G803" s="11" t="s">
        <v>96</v>
      </c>
      <c r="H803" s="11"/>
    </row>
    <row r="804" spans="1:8" s="1" customFormat="1" ht="14.25">
      <c r="A804" s="6" t="s">
        <v>57</v>
      </c>
      <c r="B804" s="18" t="s">
        <v>100</v>
      </c>
      <c r="C804" s="8" t="str">
        <f>"梁结怡"</f>
        <v>梁结怡</v>
      </c>
      <c r="D804" s="13" t="s">
        <v>84</v>
      </c>
      <c r="E804" s="8" t="str">
        <f>"440181199502125142"</f>
        <v>440181199502125142</v>
      </c>
      <c r="F804" s="19">
        <v>44082</v>
      </c>
      <c r="G804" s="11" t="s">
        <v>96</v>
      </c>
      <c r="H804" s="11"/>
    </row>
    <row r="805" spans="1:8" s="1" customFormat="1" ht="14.25">
      <c r="A805" s="6" t="s">
        <v>58</v>
      </c>
      <c r="B805" s="18" t="s">
        <v>100</v>
      </c>
      <c r="C805" s="8" t="str">
        <f>"廖钧滢"</f>
        <v>廖钧滢</v>
      </c>
      <c r="D805" s="13" t="s">
        <v>84</v>
      </c>
      <c r="E805" s="8" t="str">
        <f>"44018119980602544X"</f>
        <v>44018119980602544X</v>
      </c>
      <c r="F805" s="19">
        <v>44082</v>
      </c>
      <c r="G805" s="11" t="s">
        <v>96</v>
      </c>
      <c r="H805" s="11"/>
    </row>
    <row r="806" spans="1:8" s="1" customFormat="1" ht="14.25">
      <c r="A806" s="6" t="s">
        <v>59</v>
      </c>
      <c r="B806" s="18" t="s">
        <v>100</v>
      </c>
      <c r="C806" s="8" t="str">
        <f>"李婉均"</f>
        <v>李婉均</v>
      </c>
      <c r="D806" s="13" t="s">
        <v>84</v>
      </c>
      <c r="E806" s="8" t="str">
        <f>"440181199609205425"</f>
        <v>440181199609205425</v>
      </c>
      <c r="F806" s="19">
        <v>44082</v>
      </c>
      <c r="G806" s="11" t="s">
        <v>96</v>
      </c>
      <c r="H806" s="11"/>
    </row>
    <row r="807" spans="1:8" s="1" customFormat="1" ht="14.25">
      <c r="A807" s="6" t="s">
        <v>60</v>
      </c>
      <c r="B807" s="18" t="s">
        <v>100</v>
      </c>
      <c r="C807" s="8" t="str">
        <f>"彭丽平"</f>
        <v>彭丽平</v>
      </c>
      <c r="D807" s="13" t="s">
        <v>84</v>
      </c>
      <c r="E807" s="8" t="str">
        <f>"440183198808194843"</f>
        <v>440183198808194843</v>
      </c>
      <c r="F807" s="19">
        <v>44082</v>
      </c>
      <c r="G807" s="11" t="s">
        <v>96</v>
      </c>
      <c r="H807" s="18"/>
    </row>
    <row r="808" spans="1:8" s="1" customFormat="1" ht="14.25">
      <c r="A808" s="6" t="s">
        <v>61</v>
      </c>
      <c r="B808" s="18" t="s">
        <v>100</v>
      </c>
      <c r="C808" s="8" t="str">
        <f>"蔡婷"</f>
        <v>蔡婷</v>
      </c>
      <c r="D808" s="13" t="s">
        <v>84</v>
      </c>
      <c r="E808" s="8" t="str">
        <f>"445102198909021446"</f>
        <v>445102198909021446</v>
      </c>
      <c r="F808" s="19">
        <v>44082</v>
      </c>
      <c r="G808" s="11" t="s">
        <v>96</v>
      </c>
      <c r="H808" s="18"/>
    </row>
    <row r="809" spans="1:8" s="1" customFormat="1" ht="14.25">
      <c r="A809" s="6" t="s">
        <v>62</v>
      </c>
      <c r="B809" s="18" t="s">
        <v>100</v>
      </c>
      <c r="C809" s="8" t="str">
        <f>"梁诗敏"</f>
        <v>梁诗敏</v>
      </c>
      <c r="D809" s="13" t="s">
        <v>84</v>
      </c>
      <c r="E809" s="8" t="str">
        <f>"440181199511060942"</f>
        <v>440181199511060942</v>
      </c>
      <c r="F809" s="19">
        <v>44082</v>
      </c>
      <c r="G809" s="11" t="s">
        <v>96</v>
      </c>
      <c r="H809" s="18"/>
    </row>
    <row r="810" spans="1:8" s="1" customFormat="1" ht="14.25">
      <c r="A810" s="6" t="s">
        <v>63</v>
      </c>
      <c r="B810" s="18" t="s">
        <v>100</v>
      </c>
      <c r="C810" s="8" t="str">
        <f>"麦海韵"</f>
        <v>麦海韵</v>
      </c>
      <c r="D810" s="13" t="s">
        <v>84</v>
      </c>
      <c r="E810" s="8" t="str">
        <f>"440181199308120321"</f>
        <v>440181199308120321</v>
      </c>
      <c r="F810" s="19">
        <v>44082</v>
      </c>
      <c r="G810" s="11" t="s">
        <v>96</v>
      </c>
      <c r="H810" s="18"/>
    </row>
    <row r="811" spans="1:8" s="1" customFormat="1" ht="14.25">
      <c r="A811" s="6" t="s">
        <v>64</v>
      </c>
      <c r="B811" s="18" t="s">
        <v>100</v>
      </c>
      <c r="C811" s="8" t="str">
        <f>"陈桂钰"</f>
        <v>陈桂钰</v>
      </c>
      <c r="D811" s="13" t="s">
        <v>84</v>
      </c>
      <c r="E811" s="8" t="str">
        <f>"440181198911055427"</f>
        <v>440181198911055427</v>
      </c>
      <c r="F811" s="19">
        <v>44082</v>
      </c>
      <c r="G811" s="11" t="s">
        <v>96</v>
      </c>
      <c r="H811" s="18"/>
    </row>
  </sheetData>
  <sheetProtection/>
  <mergeCells count="13">
    <mergeCell ref="A1:H1"/>
    <mergeCell ref="A2:H2"/>
    <mergeCell ref="A74:H74"/>
    <mergeCell ref="A146:H146"/>
    <mergeCell ref="A216:H216"/>
    <mergeCell ref="A288:H288"/>
    <mergeCell ref="A359:H359"/>
    <mergeCell ref="A429:H429"/>
    <mergeCell ref="A501:H501"/>
    <mergeCell ref="A573:H573"/>
    <mergeCell ref="A644:H644"/>
    <mergeCell ref="A700:H700"/>
    <mergeCell ref="A757:H75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吾以希哈为贵</cp:lastModifiedBy>
  <dcterms:created xsi:type="dcterms:W3CDTF">1996-12-17T01:32:42Z</dcterms:created>
  <dcterms:modified xsi:type="dcterms:W3CDTF">2020-09-06T01:12:53Z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