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 activeTab="1"/>
  </bookViews>
  <sheets>
    <sheet name="面试名单" sheetId="2" r:id="rId1"/>
    <sheet name="挂网" sheetId="3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9" i="3"/>
  <c r="B128"/>
  <c r="B126"/>
  <c r="B125"/>
  <c r="B123"/>
  <c r="B122"/>
  <c r="B120"/>
  <c r="B119"/>
  <c r="B117"/>
  <c r="B116"/>
  <c r="B115"/>
  <c r="B114"/>
  <c r="B112"/>
  <c r="B111"/>
  <c r="B109"/>
  <c r="B108"/>
  <c r="B107"/>
  <c r="B106"/>
  <c r="B104"/>
  <c r="B103"/>
  <c r="B102"/>
  <c r="B101"/>
  <c r="B99"/>
  <c r="B98"/>
  <c r="B97"/>
  <c r="B96"/>
  <c r="B94"/>
  <c r="B93"/>
  <c r="B92"/>
  <c r="B90"/>
  <c r="B89"/>
  <c r="B88"/>
  <c r="B87"/>
  <c r="B86"/>
  <c r="B85"/>
  <c r="B83"/>
  <c r="B81"/>
  <c r="B77"/>
  <c r="B76"/>
  <c r="B74"/>
  <c r="B73"/>
  <c r="B71"/>
  <c r="B68"/>
  <c r="B67"/>
  <c r="B66"/>
  <c r="B62"/>
  <c r="B61"/>
  <c r="B60"/>
  <c r="B59"/>
  <c r="B58"/>
  <c r="B57"/>
  <c r="B56"/>
  <c r="B55"/>
  <c r="B54"/>
  <c r="B52"/>
  <c r="B51"/>
  <c r="B50"/>
  <c r="B49"/>
  <c r="B47"/>
  <c r="B46"/>
  <c r="B44"/>
  <c r="B43"/>
  <c r="B39"/>
  <c r="B38"/>
  <c r="B37"/>
  <c r="B36"/>
  <c r="B35"/>
  <c r="B34"/>
  <c r="B33"/>
  <c r="B32"/>
  <c r="B30"/>
  <c r="B29"/>
  <c r="B28"/>
  <c r="B27"/>
  <c r="B26"/>
  <c r="B25"/>
  <c r="B24"/>
  <c r="B23"/>
  <c r="B22"/>
  <c r="B21"/>
  <c r="B19"/>
  <c r="B18"/>
  <c r="B17"/>
  <c r="B16"/>
  <c r="B15"/>
  <c r="B14"/>
  <c r="B13"/>
  <c r="B12"/>
  <c r="B10"/>
  <c r="B9"/>
  <c r="B8"/>
  <c r="B7"/>
  <c r="B5"/>
  <c r="B4"/>
  <c r="B3"/>
  <c r="F79" i="2"/>
  <c r="F78"/>
  <c r="F69"/>
  <c r="F64"/>
  <c r="F63"/>
  <c r="F41"/>
  <c r="F40"/>
  <c r="G79"/>
  <c r="H79"/>
  <c r="G78"/>
  <c r="H78"/>
  <c r="E69"/>
  <c r="H64"/>
  <c r="H41"/>
  <c r="G41"/>
  <c r="H62" l="1"/>
  <c r="G62"/>
  <c r="F62"/>
  <c r="E62"/>
  <c r="D62"/>
  <c r="C62"/>
  <c r="B62"/>
  <c r="H61"/>
  <c r="G61"/>
  <c r="F61"/>
  <c r="E61"/>
  <c r="D61"/>
  <c r="C61"/>
  <c r="B61"/>
  <c r="H39"/>
  <c r="G39"/>
  <c r="F39"/>
  <c r="E39"/>
  <c r="D39"/>
  <c r="C39"/>
  <c r="B39"/>
  <c r="H30"/>
  <c r="G30"/>
  <c r="F30"/>
  <c r="E30"/>
  <c r="D30"/>
  <c r="C30"/>
  <c r="B30"/>
  <c r="H29"/>
  <c r="G29"/>
  <c r="F29"/>
  <c r="E29"/>
  <c r="D29"/>
  <c r="C29"/>
  <c r="B29"/>
  <c r="H60"/>
  <c r="G60"/>
  <c r="F60"/>
  <c r="E60"/>
  <c r="D60"/>
  <c r="C60"/>
  <c r="B60"/>
  <c r="H38"/>
  <c r="G38"/>
  <c r="F38"/>
  <c r="E38"/>
  <c r="D38"/>
  <c r="C38"/>
  <c r="B38"/>
  <c r="H28"/>
  <c r="G28"/>
  <c r="F28"/>
  <c r="E28"/>
  <c r="D28"/>
  <c r="C28"/>
  <c r="B28"/>
  <c r="H19"/>
  <c r="G19"/>
  <c r="F19"/>
  <c r="E19"/>
  <c r="D19"/>
  <c r="C19"/>
  <c r="B19"/>
  <c r="H27"/>
  <c r="G27"/>
  <c r="F27"/>
  <c r="E27"/>
  <c r="D27"/>
  <c r="C27"/>
  <c r="B27"/>
  <c r="H18"/>
  <c r="G18"/>
  <c r="F18"/>
  <c r="E18"/>
  <c r="D18"/>
  <c r="C18"/>
  <c r="B18"/>
  <c r="H37"/>
  <c r="G37"/>
  <c r="F37"/>
  <c r="E37"/>
  <c r="D37"/>
  <c r="C37"/>
  <c r="B37"/>
  <c r="H59"/>
  <c r="G59"/>
  <c r="F59"/>
  <c r="E59"/>
  <c r="D59"/>
  <c r="C59"/>
  <c r="B59"/>
  <c r="H36"/>
  <c r="G36"/>
  <c r="F36"/>
  <c r="E36"/>
  <c r="D36"/>
  <c r="C36"/>
  <c r="B36"/>
  <c r="H17"/>
  <c r="G17"/>
  <c r="F17"/>
  <c r="E17"/>
  <c r="D17"/>
  <c r="C17"/>
  <c r="B17"/>
  <c r="H57"/>
  <c r="G57"/>
  <c r="F57"/>
  <c r="E57"/>
  <c r="D57"/>
  <c r="C57"/>
  <c r="B57"/>
  <c r="H58"/>
  <c r="G58"/>
  <c r="F58"/>
  <c r="E58"/>
  <c r="D58"/>
  <c r="C58"/>
  <c r="B58"/>
  <c r="H26"/>
  <c r="G26"/>
  <c r="F26"/>
  <c r="E26"/>
  <c r="D26"/>
  <c r="C26"/>
  <c r="B26"/>
  <c r="H16"/>
  <c r="G16"/>
  <c r="F16"/>
  <c r="E16"/>
  <c r="D16"/>
  <c r="C16"/>
  <c r="B16"/>
  <c r="H25"/>
  <c r="G25"/>
  <c r="F25"/>
  <c r="E25"/>
  <c r="D25"/>
  <c r="C25"/>
  <c r="B25"/>
  <c r="H10"/>
  <c r="G10"/>
  <c r="F10"/>
  <c r="E10"/>
  <c r="D10"/>
  <c r="C10"/>
  <c r="B10"/>
  <c r="H35"/>
  <c r="G35"/>
  <c r="F35"/>
  <c r="E35"/>
  <c r="D35"/>
  <c r="C35"/>
  <c r="B35"/>
  <c r="H56"/>
  <c r="G56"/>
  <c r="F56"/>
  <c r="E56"/>
  <c r="D56"/>
  <c r="C56"/>
  <c r="B56"/>
  <c r="H117"/>
  <c r="G117"/>
  <c r="F117"/>
  <c r="E117"/>
  <c r="D117"/>
  <c r="C117"/>
  <c r="B117"/>
  <c r="H5"/>
  <c r="G5"/>
  <c r="F5"/>
  <c r="E5"/>
  <c r="D5"/>
  <c r="C5"/>
  <c r="B5"/>
  <c r="H52"/>
  <c r="G52"/>
  <c r="F52"/>
  <c r="E52"/>
  <c r="D52"/>
  <c r="C52"/>
  <c r="B52"/>
  <c r="H99"/>
  <c r="G99"/>
  <c r="F99"/>
  <c r="E99"/>
  <c r="D99"/>
  <c r="C99"/>
  <c r="B99"/>
  <c r="H15"/>
  <c r="G15"/>
  <c r="F15"/>
  <c r="E15"/>
  <c r="D15"/>
  <c r="C15"/>
  <c r="B15"/>
  <c r="H69"/>
  <c r="G69"/>
  <c r="H34"/>
  <c r="G34"/>
  <c r="F34"/>
  <c r="E34"/>
  <c r="D34"/>
  <c r="C34"/>
  <c r="B34"/>
  <c r="H89"/>
  <c r="G89"/>
  <c r="F89"/>
  <c r="E89"/>
  <c r="D89"/>
  <c r="C89"/>
  <c r="B89"/>
  <c r="H90"/>
  <c r="G90"/>
  <c r="F90"/>
  <c r="E90"/>
  <c r="D90"/>
  <c r="C90"/>
  <c r="B90"/>
  <c r="H109"/>
  <c r="G109"/>
  <c r="F109"/>
  <c r="E109"/>
  <c r="D109"/>
  <c r="C109"/>
  <c r="B109"/>
  <c r="H24"/>
  <c r="G24"/>
  <c r="F24"/>
  <c r="E24"/>
  <c r="D24"/>
  <c r="C24"/>
  <c r="B24"/>
  <c r="H104"/>
  <c r="G104"/>
  <c r="F104"/>
  <c r="E104"/>
  <c r="D104"/>
  <c r="C104"/>
  <c r="B104"/>
  <c r="H9"/>
  <c r="G9"/>
  <c r="F9"/>
  <c r="E9"/>
  <c r="D9"/>
  <c r="C9"/>
  <c r="B9"/>
  <c r="H88"/>
  <c r="G88"/>
  <c r="F88"/>
  <c r="E88"/>
  <c r="D88"/>
  <c r="C88"/>
  <c r="B88"/>
  <c r="H77"/>
  <c r="G77"/>
  <c r="F77"/>
  <c r="E77"/>
  <c r="D77"/>
  <c r="C77"/>
  <c r="B77"/>
  <c r="H51"/>
  <c r="G51"/>
  <c r="F51"/>
  <c r="E51"/>
  <c r="D51"/>
  <c r="C51"/>
  <c r="B51"/>
  <c r="H98"/>
  <c r="G98"/>
  <c r="F98"/>
  <c r="E98"/>
  <c r="D98"/>
  <c r="C98"/>
  <c r="B98"/>
  <c r="H87"/>
  <c r="G87"/>
  <c r="F87"/>
  <c r="E87"/>
  <c r="D87"/>
  <c r="C87"/>
  <c r="B87"/>
  <c r="H55"/>
  <c r="G55"/>
  <c r="F55"/>
  <c r="E55"/>
  <c r="D55"/>
  <c r="C55"/>
  <c r="B55"/>
  <c r="H94"/>
  <c r="G94"/>
  <c r="F94"/>
  <c r="E94"/>
  <c r="D94"/>
  <c r="C94"/>
  <c r="B94"/>
  <c r="H14"/>
  <c r="G14"/>
  <c r="F14"/>
  <c r="E14"/>
  <c r="D14"/>
  <c r="C14"/>
  <c r="B14"/>
  <c r="H68"/>
  <c r="G68"/>
  <c r="F68"/>
  <c r="E68"/>
  <c r="D68"/>
  <c r="C68"/>
  <c r="B68"/>
  <c r="H4"/>
  <c r="G4"/>
  <c r="F4"/>
  <c r="E4"/>
  <c r="D4"/>
  <c r="C4"/>
  <c r="B4"/>
  <c r="H108"/>
  <c r="G108"/>
  <c r="F108"/>
  <c r="E108"/>
  <c r="D108"/>
  <c r="C108"/>
  <c r="B108"/>
  <c r="H116"/>
  <c r="G116"/>
  <c r="F116"/>
  <c r="E116"/>
  <c r="D116"/>
  <c r="C116"/>
  <c r="B116"/>
  <c r="H8"/>
  <c r="G8"/>
  <c r="F8"/>
  <c r="E8"/>
  <c r="D8"/>
  <c r="C8"/>
  <c r="B8"/>
  <c r="H23"/>
  <c r="G23"/>
  <c r="F23"/>
  <c r="E23"/>
  <c r="D23"/>
  <c r="C23"/>
  <c r="B23"/>
  <c r="H103"/>
  <c r="G103"/>
  <c r="F103"/>
  <c r="E103"/>
  <c r="D103"/>
  <c r="C103"/>
  <c r="B103"/>
  <c r="H86"/>
  <c r="G86"/>
  <c r="F86"/>
  <c r="E86"/>
  <c r="D86"/>
  <c r="C86"/>
  <c r="B86"/>
  <c r="H67"/>
  <c r="G67"/>
  <c r="F67"/>
  <c r="E67"/>
  <c r="D67"/>
  <c r="C67"/>
  <c r="B67"/>
  <c r="H126"/>
  <c r="G126"/>
  <c r="F126"/>
  <c r="E126"/>
  <c r="D126"/>
  <c r="C126"/>
  <c r="B126"/>
  <c r="H102"/>
  <c r="G102"/>
  <c r="F102"/>
  <c r="E102"/>
  <c r="D102"/>
  <c r="C102"/>
  <c r="B102"/>
  <c r="H107"/>
  <c r="G107"/>
  <c r="F107"/>
  <c r="E107"/>
  <c r="D107"/>
  <c r="C107"/>
  <c r="B107"/>
  <c r="H120"/>
  <c r="G120"/>
  <c r="F120"/>
  <c r="E120"/>
  <c r="D120"/>
  <c r="C120"/>
  <c r="B120"/>
  <c r="H93"/>
  <c r="G93"/>
  <c r="F93"/>
  <c r="E93"/>
  <c r="D93"/>
  <c r="C93"/>
  <c r="B93"/>
  <c r="H44"/>
  <c r="G44"/>
  <c r="F44"/>
  <c r="E44"/>
  <c r="D44"/>
  <c r="C44"/>
  <c r="B44"/>
  <c r="H54"/>
  <c r="G54"/>
  <c r="F54"/>
  <c r="E54"/>
  <c r="D54"/>
  <c r="C54"/>
  <c r="B54"/>
  <c r="H33"/>
  <c r="G33"/>
  <c r="F33"/>
  <c r="E33"/>
  <c r="D33"/>
  <c r="C33"/>
  <c r="B33"/>
  <c r="H47"/>
  <c r="G47"/>
  <c r="F47"/>
  <c r="E47"/>
  <c r="D47"/>
  <c r="C47"/>
  <c r="B47"/>
  <c r="H74"/>
  <c r="G74"/>
  <c r="F74"/>
  <c r="E74"/>
  <c r="D74"/>
  <c r="C74"/>
  <c r="B74"/>
  <c r="H123"/>
  <c r="G123"/>
  <c r="F123"/>
  <c r="E123"/>
  <c r="D123"/>
  <c r="C123"/>
  <c r="B123"/>
  <c r="H129"/>
  <c r="G129"/>
  <c r="F129"/>
  <c r="E129"/>
  <c r="D129"/>
  <c r="C129"/>
  <c r="B129"/>
  <c r="H13"/>
  <c r="G13"/>
  <c r="F13"/>
  <c r="E13"/>
  <c r="D13"/>
  <c r="C13"/>
  <c r="B13"/>
  <c r="H7"/>
  <c r="G7"/>
  <c r="F7"/>
  <c r="E7"/>
  <c r="D7"/>
  <c r="C7"/>
  <c r="B7"/>
  <c r="H97"/>
  <c r="G97"/>
  <c r="F97"/>
  <c r="E97"/>
  <c r="D97"/>
  <c r="C97"/>
  <c r="B97"/>
  <c r="H112"/>
  <c r="G112"/>
  <c r="F112"/>
  <c r="E112"/>
  <c r="D112"/>
  <c r="C112"/>
  <c r="B112"/>
  <c r="H50"/>
  <c r="G50"/>
  <c r="F50"/>
  <c r="E50"/>
  <c r="D50"/>
  <c r="C50"/>
  <c r="B50"/>
  <c r="H22"/>
  <c r="G22"/>
  <c r="F22"/>
  <c r="E22"/>
  <c r="D22"/>
  <c r="C22"/>
  <c r="B22"/>
  <c r="H115"/>
  <c r="G115"/>
  <c r="F115"/>
  <c r="E115"/>
  <c r="D115"/>
  <c r="C115"/>
  <c r="B115"/>
  <c r="H32"/>
  <c r="G32"/>
  <c r="F32"/>
  <c r="E32"/>
  <c r="D32"/>
  <c r="C32"/>
  <c r="B32"/>
  <c r="H128"/>
  <c r="G128"/>
  <c r="F128"/>
  <c r="E128"/>
  <c r="D128"/>
  <c r="C128"/>
  <c r="B128"/>
  <c r="H96"/>
  <c r="G96"/>
  <c r="F96"/>
  <c r="E96"/>
  <c r="D96"/>
  <c r="C96"/>
  <c r="B96"/>
  <c r="H12"/>
  <c r="G12"/>
  <c r="F12"/>
  <c r="E12"/>
  <c r="D12"/>
  <c r="C12"/>
  <c r="B12"/>
  <c r="H71"/>
  <c r="G71"/>
  <c r="F71"/>
  <c r="E71"/>
  <c r="D71"/>
  <c r="C71"/>
  <c r="B71"/>
  <c r="H101"/>
  <c r="G101"/>
  <c r="F101"/>
  <c r="E101"/>
  <c r="D101"/>
  <c r="C101"/>
  <c r="B101"/>
  <c r="H49"/>
  <c r="G49"/>
  <c r="F49"/>
  <c r="E49"/>
  <c r="D49"/>
  <c r="C49"/>
  <c r="B49"/>
  <c r="H114"/>
  <c r="G114"/>
  <c r="F114"/>
  <c r="E114"/>
  <c r="D114"/>
  <c r="C114"/>
  <c r="B114"/>
  <c r="H66"/>
  <c r="G66"/>
  <c r="F66"/>
  <c r="E66"/>
  <c r="D66"/>
  <c r="C66"/>
  <c r="B66"/>
  <c r="H21"/>
  <c r="G21"/>
  <c r="F21"/>
  <c r="E21"/>
  <c r="D21"/>
  <c r="C21"/>
  <c r="B21"/>
  <c r="H43"/>
  <c r="G43"/>
  <c r="F43"/>
  <c r="E43"/>
  <c r="D43"/>
  <c r="C43"/>
  <c r="B43"/>
  <c r="H83"/>
  <c r="G83"/>
  <c r="F83"/>
  <c r="E83"/>
  <c r="D83"/>
  <c r="C83"/>
  <c r="B83"/>
  <c r="H92"/>
  <c r="G92"/>
  <c r="F92"/>
  <c r="E92"/>
  <c r="D92"/>
  <c r="C92"/>
  <c r="B92"/>
  <c r="H111"/>
  <c r="G111"/>
  <c r="F111"/>
  <c r="E111"/>
  <c r="D111"/>
  <c r="C111"/>
  <c r="B111"/>
  <c r="H73"/>
  <c r="G73"/>
  <c r="F73"/>
  <c r="E73"/>
  <c r="D73"/>
  <c r="C73"/>
  <c r="B73"/>
  <c r="H3"/>
  <c r="G3"/>
  <c r="F3"/>
  <c r="E3"/>
  <c r="D3"/>
  <c r="C3"/>
  <c r="B3"/>
  <c r="H81"/>
  <c r="G81"/>
  <c r="F81"/>
  <c r="E81"/>
  <c r="D81"/>
  <c r="C81"/>
  <c r="B81"/>
  <c r="H122"/>
  <c r="G122"/>
  <c r="F122"/>
  <c r="E122"/>
  <c r="D122"/>
  <c r="C122"/>
  <c r="B122"/>
  <c r="H119"/>
  <c r="G119"/>
  <c r="F119"/>
  <c r="E119"/>
  <c r="D119"/>
  <c r="C119"/>
  <c r="B119"/>
  <c r="H85"/>
  <c r="G85"/>
  <c r="F85"/>
  <c r="E85"/>
  <c r="D85"/>
  <c r="C85"/>
  <c r="B85"/>
  <c r="H46"/>
  <c r="G46"/>
  <c r="F46"/>
  <c r="E46"/>
  <c r="D46"/>
  <c r="C46"/>
  <c r="B46"/>
  <c r="H106"/>
  <c r="G106"/>
  <c r="F106"/>
  <c r="E106"/>
  <c r="D106"/>
  <c r="C106"/>
  <c r="B106"/>
  <c r="H125"/>
  <c r="G125"/>
  <c r="F125"/>
  <c r="E125"/>
  <c r="D125"/>
  <c r="C125"/>
  <c r="B125"/>
  <c r="H76"/>
  <c r="G76"/>
  <c r="F76"/>
  <c r="E76"/>
  <c r="D76"/>
  <c r="C76"/>
  <c r="B76"/>
</calcChain>
</file>

<file path=xl/sharedStrings.xml><?xml version="1.0" encoding="utf-8"?>
<sst xmlns="http://schemas.openxmlformats.org/spreadsheetml/2006/main" count="459" uniqueCount="156">
  <si>
    <t>报考岗位</t>
  </si>
  <si>
    <t>身份证号码</t>
  </si>
  <si>
    <t>姓名</t>
  </si>
  <si>
    <t>准考证号</t>
  </si>
  <si>
    <t>总分</t>
  </si>
  <si>
    <t>C9_综合管理1</t>
  </si>
  <si>
    <t>200726110104</t>
  </si>
  <si>
    <t>200726110517</t>
  </si>
  <si>
    <t>200726110619</t>
  </si>
  <si>
    <t>200726110803</t>
  </si>
  <si>
    <t>200726111211</t>
  </si>
  <si>
    <t>200726111311</t>
  </si>
  <si>
    <t>200726111616</t>
  </si>
  <si>
    <t>200726112122</t>
  </si>
  <si>
    <t>200726112213</t>
  </si>
  <si>
    <t>C10_综合管理2</t>
  </si>
  <si>
    <t>200726112402</t>
  </si>
  <si>
    <t>200726112413</t>
  </si>
  <si>
    <t>200726112514</t>
  </si>
  <si>
    <t>C12_工程审计</t>
  </si>
  <si>
    <t>200726112519</t>
  </si>
  <si>
    <t>200726112524</t>
  </si>
  <si>
    <t>C14_医疗审核</t>
  </si>
  <si>
    <t>200726112613</t>
  </si>
  <si>
    <t>200726112701</t>
  </si>
  <si>
    <t>C13_工程造价</t>
  </si>
  <si>
    <t>200726112707</t>
  </si>
  <si>
    <t>C11_档案管理</t>
  </si>
  <si>
    <t>200726112728</t>
  </si>
  <si>
    <t>200726112801</t>
  </si>
  <si>
    <t>C19_检验检测1</t>
  </si>
  <si>
    <t>200726112812</t>
  </si>
  <si>
    <t>200726112826</t>
  </si>
  <si>
    <t>200726112906</t>
  </si>
  <si>
    <t>C20_检验检测2</t>
  </si>
  <si>
    <t>200726112916</t>
  </si>
  <si>
    <t>200726112920</t>
  </si>
  <si>
    <t>200726113007</t>
  </si>
  <si>
    <t>200726113009</t>
  </si>
  <si>
    <t>200726113101</t>
  </si>
  <si>
    <t>C21_检验检测3</t>
  </si>
  <si>
    <t>200726113110</t>
  </si>
  <si>
    <t>200726113114</t>
  </si>
  <si>
    <t>200726113117</t>
  </si>
  <si>
    <t>C27_水利专技</t>
  </si>
  <si>
    <t>200726113129</t>
  </si>
  <si>
    <t>200726113130</t>
  </si>
  <si>
    <t>C2_文秘2</t>
  </si>
  <si>
    <t>200726113203</t>
  </si>
  <si>
    <t>200726113205</t>
  </si>
  <si>
    <t>200726113212</t>
  </si>
  <si>
    <t>200726113216</t>
  </si>
  <si>
    <t>C1_文秘1</t>
  </si>
  <si>
    <t>200726113307</t>
  </si>
  <si>
    <t>200726113309</t>
  </si>
  <si>
    <t>200726113319</t>
  </si>
  <si>
    <t>C15_统计</t>
  </si>
  <si>
    <t>200726113321</t>
  </si>
  <si>
    <t>C23_国土专技2</t>
  </si>
  <si>
    <t>200726113415</t>
  </si>
  <si>
    <t>200726113613</t>
  </si>
  <si>
    <t>200726113619</t>
  </si>
  <si>
    <t>200726113622</t>
  </si>
  <si>
    <t>C24_国土专技3</t>
  </si>
  <si>
    <t>200726113631</t>
  </si>
  <si>
    <t>200726113707</t>
  </si>
  <si>
    <t>C22_国土专技1</t>
  </si>
  <si>
    <t>200726113715</t>
  </si>
  <si>
    <t>200726113719</t>
  </si>
  <si>
    <t>C25_国土专技4</t>
  </si>
  <si>
    <t>200726113729</t>
  </si>
  <si>
    <t>200726113732</t>
  </si>
  <si>
    <t>C28_农业专技</t>
  </si>
  <si>
    <t>200726113810</t>
  </si>
  <si>
    <t>200726113811</t>
  </si>
  <si>
    <t>C16_市政园林管理</t>
  </si>
  <si>
    <t>200726113819</t>
  </si>
  <si>
    <t>200726113821</t>
  </si>
  <si>
    <t>200726113823</t>
  </si>
  <si>
    <t>C6_教练</t>
  </si>
  <si>
    <t>200726113908</t>
  </si>
  <si>
    <t>200726113909</t>
  </si>
  <si>
    <t>C7_美术创作</t>
  </si>
  <si>
    <t>200726113919</t>
  </si>
  <si>
    <t>200726113926</t>
  </si>
  <si>
    <t>C18_化学安全管理</t>
  </si>
  <si>
    <t>200726114006</t>
  </si>
  <si>
    <t>200726114009</t>
  </si>
  <si>
    <t>200726114020</t>
  </si>
  <si>
    <t>C3_财务管理1</t>
  </si>
  <si>
    <t>200726114104</t>
  </si>
  <si>
    <t>200726114106</t>
  </si>
  <si>
    <t>200726114107</t>
  </si>
  <si>
    <t>200726114110</t>
  </si>
  <si>
    <t>200726114116</t>
  </si>
  <si>
    <t>200726114121</t>
  </si>
  <si>
    <t>200726114123</t>
  </si>
  <si>
    <t>200726114124</t>
  </si>
  <si>
    <t>C4_财务管理2</t>
  </si>
  <si>
    <t>200726114216</t>
  </si>
  <si>
    <t>200726114219</t>
  </si>
  <si>
    <t>200726114224</t>
  </si>
  <si>
    <t>200726114225</t>
  </si>
  <si>
    <t>200726114227</t>
  </si>
  <si>
    <t>200726114326</t>
  </si>
  <si>
    <t>200726114430</t>
  </si>
  <si>
    <t>200726114503</t>
  </si>
  <si>
    <t>200726114607</t>
  </si>
  <si>
    <t>200726114625</t>
  </si>
  <si>
    <t>C5_法律</t>
  </si>
  <si>
    <t>200726114728</t>
  </si>
  <si>
    <t>200726114729</t>
  </si>
  <si>
    <t>200726114809</t>
  </si>
  <si>
    <t>200726114824</t>
  </si>
  <si>
    <t>200726114825</t>
  </si>
  <si>
    <t>200726114828</t>
  </si>
  <si>
    <t>200726114904</t>
  </si>
  <si>
    <t>200726114909</t>
  </si>
  <si>
    <t>C8_计算机管理</t>
  </si>
  <si>
    <t>200726114914</t>
  </si>
  <si>
    <t>200726115020</t>
  </si>
  <si>
    <t>200726115025</t>
  </si>
  <si>
    <t>200726115124</t>
  </si>
  <si>
    <t>联系电话</t>
  </si>
  <si>
    <t>性别</t>
  </si>
  <si>
    <t>出生年月</t>
  </si>
  <si>
    <t>学历学位</t>
  </si>
  <si>
    <t>政治面貌</t>
  </si>
  <si>
    <t>200726113831</t>
    <phoneticPr fontId="1" type="noConversion"/>
  </si>
  <si>
    <t>200726113826</t>
    <phoneticPr fontId="1" type="noConversion"/>
  </si>
  <si>
    <t>200726113825</t>
    <phoneticPr fontId="1" type="noConversion"/>
  </si>
  <si>
    <t xml:space="preserve"> 备注</t>
    <phoneticPr fontId="1" type="noConversion"/>
  </si>
  <si>
    <t>2020年攸县县直单位公开招聘面试人员名单</t>
    <phoneticPr fontId="1" type="noConversion"/>
  </si>
  <si>
    <t>邱双琴</t>
  </si>
  <si>
    <t>430223199706198722</t>
    <phoneticPr fontId="1" type="noConversion"/>
  </si>
  <si>
    <t>女</t>
    <phoneticPr fontId="1" type="noConversion"/>
  </si>
  <si>
    <t>本科</t>
  </si>
  <si>
    <t>共青团员</t>
  </si>
  <si>
    <t>200726114801</t>
  </si>
  <si>
    <t>刘鹏</t>
    <phoneticPr fontId="1" type="noConversion"/>
  </si>
  <si>
    <t>430223199203113213</t>
    <phoneticPr fontId="1" type="noConversion"/>
  </si>
  <si>
    <t>男</t>
    <phoneticPr fontId="1" type="noConversion"/>
  </si>
  <si>
    <t>递补</t>
    <phoneticPr fontId="1" type="noConversion"/>
  </si>
  <si>
    <t>张泽鹏</t>
    <phoneticPr fontId="1" type="noConversion"/>
  </si>
  <si>
    <t>430211199407110019</t>
    <phoneticPr fontId="1" type="noConversion"/>
  </si>
  <si>
    <t>阳锦芝</t>
    <phoneticPr fontId="1" type="noConversion"/>
  </si>
  <si>
    <t>430223199802195126</t>
  </si>
  <si>
    <t>本科</t>
    <phoneticPr fontId="1" type="noConversion"/>
  </si>
  <si>
    <t>群众</t>
    <phoneticPr fontId="1" type="noConversion"/>
  </si>
  <si>
    <t>刘芳</t>
    <phoneticPr fontId="1" type="noConversion"/>
  </si>
  <si>
    <t>430223199506112226</t>
  </si>
  <si>
    <t>冯阳</t>
    <phoneticPr fontId="1" type="noConversion"/>
  </si>
  <si>
    <t>43022119950119002X</t>
  </si>
  <si>
    <t>凡卓威</t>
    <phoneticPr fontId="1" type="noConversion"/>
  </si>
  <si>
    <t>431028199311250014</t>
  </si>
  <si>
    <t>刘鹏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</si>
</sst>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  <font>
      <b/>
      <sz val="24"/>
      <name val="仿宋"/>
      <family val="3"/>
      <charset val="134"/>
    </font>
    <font>
      <sz val="11"/>
      <name val="等线"/>
      <family val="2"/>
      <charset val="134"/>
      <scheme val="minor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workbookViewId="0">
      <selection sqref="A1:K1"/>
    </sheetView>
  </sheetViews>
  <sheetFormatPr defaultRowHeight="14.25"/>
  <cols>
    <col min="1" max="1" width="13.875" style="11" customWidth="1"/>
    <col min="2" max="2" width="19.875" style="11" customWidth="1"/>
    <col min="3" max="3" width="8" style="11" customWidth="1"/>
    <col min="4" max="4" width="12.875" style="11" customWidth="1"/>
    <col min="5" max="5" width="4.875" style="11" customWidth="1"/>
    <col min="6" max="6" width="11.25" style="11" customWidth="1"/>
    <col min="7" max="7" width="11" style="11" bestFit="1" customWidth="1"/>
    <col min="8" max="8" width="13" style="11" bestFit="1" customWidth="1"/>
    <col min="9" max="9" width="13.875" style="12" customWidth="1"/>
    <col min="10" max="10" width="8.875" style="3" customWidth="1"/>
    <col min="11" max="11" width="11.625" style="11" customWidth="1"/>
  </cols>
  <sheetData>
    <row r="1" spans="1:11" ht="48.75" customHeight="1">
      <c r="A1" s="20" t="s">
        <v>132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3.75" customHeight="1">
      <c r="A2" s="4" t="s">
        <v>0</v>
      </c>
      <c r="B2" s="4" t="s">
        <v>1</v>
      </c>
      <c r="C2" s="4" t="s">
        <v>2</v>
      </c>
      <c r="D2" s="4" t="s">
        <v>123</v>
      </c>
      <c r="E2" s="4" t="s">
        <v>124</v>
      </c>
      <c r="F2" s="4" t="s">
        <v>125</v>
      </c>
      <c r="G2" s="4" t="s">
        <v>126</v>
      </c>
      <c r="H2" s="4" t="s">
        <v>127</v>
      </c>
      <c r="I2" s="5" t="s">
        <v>3</v>
      </c>
      <c r="J2" s="1" t="s">
        <v>4</v>
      </c>
      <c r="K2" s="6" t="s">
        <v>131</v>
      </c>
    </row>
    <row r="3" spans="1:11" ht="24" customHeight="1">
      <c r="A3" s="6" t="s">
        <v>52</v>
      </c>
      <c r="B3" s="6" t="str">
        <f>"430223198804296911"</f>
        <v>430223198804296911</v>
      </c>
      <c r="C3" s="6" t="str">
        <f>"陈斌"</f>
        <v>陈斌</v>
      </c>
      <c r="D3" s="6" t="str">
        <f>"16607410429"</f>
        <v>16607410429</v>
      </c>
      <c r="E3" s="6" t="str">
        <f t="shared" ref="E3:E5" si="0">"男"</f>
        <v>男</v>
      </c>
      <c r="F3" s="6" t="str">
        <f>"1988-04-29"</f>
        <v>1988-04-29</v>
      </c>
      <c r="G3" s="6" t="str">
        <f t="shared" ref="G3:G5" si="1">"本科"</f>
        <v>本科</v>
      </c>
      <c r="H3" s="6" t="str">
        <f>"群众"</f>
        <v>群众</v>
      </c>
      <c r="I3" s="7" t="s">
        <v>54</v>
      </c>
      <c r="J3" s="2">
        <v>71.5</v>
      </c>
      <c r="K3" s="6"/>
    </row>
    <row r="4" spans="1:11" ht="24" customHeight="1">
      <c r="A4" s="6" t="s">
        <v>52</v>
      </c>
      <c r="B4" s="6" t="str">
        <f>"430223199106215111"</f>
        <v>430223199106215111</v>
      </c>
      <c r="C4" s="6" t="str">
        <f>"吴淳博"</f>
        <v>吴淳博</v>
      </c>
      <c r="D4" s="6" t="str">
        <f>"18670379703"</f>
        <v>18670379703</v>
      </c>
      <c r="E4" s="6" t="str">
        <f t="shared" si="0"/>
        <v>男</v>
      </c>
      <c r="F4" s="6" t="str">
        <f>"1991-06-21"</f>
        <v>1991-06-21</v>
      </c>
      <c r="G4" s="6" t="str">
        <f t="shared" si="1"/>
        <v>本科</v>
      </c>
      <c r="H4" s="6" t="str">
        <f>"群众"</f>
        <v>群众</v>
      </c>
      <c r="I4" s="7" t="s">
        <v>53</v>
      </c>
      <c r="J4" s="2">
        <v>68</v>
      </c>
      <c r="K4" s="6"/>
    </row>
    <row r="5" spans="1:11" ht="24" customHeight="1">
      <c r="A5" s="6" t="s">
        <v>52</v>
      </c>
      <c r="B5" s="6" t="str">
        <f>"513723198408143331"</f>
        <v>513723198408143331</v>
      </c>
      <c r="C5" s="6" t="str">
        <f>"向洪军"</f>
        <v>向洪军</v>
      </c>
      <c r="D5" s="6" t="str">
        <f>"15506972395"</f>
        <v>15506972395</v>
      </c>
      <c r="E5" s="6" t="str">
        <f t="shared" si="0"/>
        <v>男</v>
      </c>
      <c r="F5" s="6" t="str">
        <f>"1984-08-14"</f>
        <v>1984-08-14</v>
      </c>
      <c r="G5" s="6" t="str">
        <f t="shared" si="1"/>
        <v>本科</v>
      </c>
      <c r="H5" s="6" t="str">
        <f>"群众"</f>
        <v>群众</v>
      </c>
      <c r="I5" s="7" t="s">
        <v>55</v>
      </c>
      <c r="J5" s="2">
        <v>58.95</v>
      </c>
      <c r="K5" s="6"/>
    </row>
    <row r="6" spans="1:11" ht="24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4" customHeight="1">
      <c r="A7" s="6" t="s">
        <v>47</v>
      </c>
      <c r="B7" s="6" t="str">
        <f>"430223199403287226"</f>
        <v>430223199403287226</v>
      </c>
      <c r="C7" s="6" t="str">
        <f>"王巧智"</f>
        <v>王巧智</v>
      </c>
      <c r="D7" s="6" t="str">
        <f>"13974191157"</f>
        <v>13974191157</v>
      </c>
      <c r="E7" s="6" t="str">
        <f t="shared" ref="E7:E10" si="2">"女"</f>
        <v>女</v>
      </c>
      <c r="F7" s="6" t="str">
        <f>"1994-03-28"</f>
        <v>1994-03-28</v>
      </c>
      <c r="G7" s="6" t="str">
        <f t="shared" ref="G7:G10" si="3">"本科"</f>
        <v>本科</v>
      </c>
      <c r="H7" s="6" t="str">
        <f t="shared" ref="H7" si="4">"共青团员"</f>
        <v>共青团员</v>
      </c>
      <c r="I7" s="7" t="s">
        <v>51</v>
      </c>
      <c r="J7" s="2">
        <v>67</v>
      </c>
      <c r="K7" s="6"/>
    </row>
    <row r="8" spans="1:11" ht="24" customHeight="1">
      <c r="A8" s="6" t="s">
        <v>47</v>
      </c>
      <c r="B8" s="6" t="str">
        <f>"430223199003275947"</f>
        <v>430223199003275947</v>
      </c>
      <c r="C8" s="6" t="str">
        <f>"贺玉荣"</f>
        <v>贺玉荣</v>
      </c>
      <c r="D8" s="6" t="str">
        <f>"18773320516"</f>
        <v>18773320516</v>
      </c>
      <c r="E8" s="6" t="str">
        <f t="shared" si="2"/>
        <v>女</v>
      </c>
      <c r="F8" s="6" t="str">
        <f>"1990-03-27"</f>
        <v>1990-03-27</v>
      </c>
      <c r="G8" s="6" t="str">
        <f t="shared" si="3"/>
        <v>本科</v>
      </c>
      <c r="H8" s="6" t="str">
        <f>"群众"</f>
        <v>群众</v>
      </c>
      <c r="I8" s="7" t="s">
        <v>49</v>
      </c>
      <c r="J8" s="2">
        <v>65.599999999999994</v>
      </c>
      <c r="K8" s="6"/>
    </row>
    <row r="9" spans="1:11" ht="24" customHeight="1">
      <c r="A9" s="6" t="s">
        <v>47</v>
      </c>
      <c r="B9" s="6" t="str">
        <f>"430223198702220721"</f>
        <v>430223198702220721</v>
      </c>
      <c r="C9" s="6" t="str">
        <f>"贺羚凤"</f>
        <v>贺羚凤</v>
      </c>
      <c r="D9" s="6" t="str">
        <f>"18673340349"</f>
        <v>18673340349</v>
      </c>
      <c r="E9" s="6" t="str">
        <f t="shared" si="2"/>
        <v>女</v>
      </c>
      <c r="F9" s="6" t="str">
        <f>"1987-02-22"</f>
        <v>1987-02-22</v>
      </c>
      <c r="G9" s="6" t="str">
        <f t="shared" si="3"/>
        <v>本科</v>
      </c>
      <c r="H9" s="6" t="str">
        <f>"共青团员"</f>
        <v>共青团员</v>
      </c>
      <c r="I9" s="7" t="s">
        <v>48</v>
      </c>
      <c r="J9" s="2">
        <v>65.45</v>
      </c>
      <c r="K9" s="6"/>
    </row>
    <row r="10" spans="1:11" ht="24" customHeight="1">
      <c r="A10" s="6" t="s">
        <v>47</v>
      </c>
      <c r="B10" s="6" t="str">
        <f>"430223199302125121"</f>
        <v>430223199302125121</v>
      </c>
      <c r="C10" s="6" t="str">
        <f>"易黎琴"</f>
        <v>易黎琴</v>
      </c>
      <c r="D10" s="6" t="str">
        <f>"18173339212"</f>
        <v>18173339212</v>
      </c>
      <c r="E10" s="6" t="str">
        <f t="shared" si="2"/>
        <v>女</v>
      </c>
      <c r="F10" s="6" t="str">
        <f>"1993-02-12"</f>
        <v>1993-02-12</v>
      </c>
      <c r="G10" s="6" t="str">
        <f t="shared" si="3"/>
        <v>本科</v>
      </c>
      <c r="H10" s="6" t="str">
        <f>"共青团员"</f>
        <v>共青团员</v>
      </c>
      <c r="I10" s="7" t="s">
        <v>50</v>
      </c>
      <c r="J10" s="2">
        <v>61</v>
      </c>
      <c r="K10" s="6"/>
    </row>
    <row r="11" spans="1:11" ht="24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4" customHeight="1">
      <c r="A12" s="6" t="s">
        <v>89</v>
      </c>
      <c r="B12" s="6" t="str">
        <f>"430424199305017238"</f>
        <v>430424199305017238</v>
      </c>
      <c r="C12" s="6" t="str">
        <f>"毛阳"</f>
        <v>毛阳</v>
      </c>
      <c r="D12" s="6" t="str">
        <f>"19973380992"</f>
        <v>19973380992</v>
      </c>
      <c r="E12" s="6" t="str">
        <f t="shared" ref="E12:E19" si="5">"男"</f>
        <v>男</v>
      </c>
      <c r="F12" s="6" t="str">
        <f>"1993-05-01"</f>
        <v>1993-05-01</v>
      </c>
      <c r="G12" s="6" t="str">
        <f t="shared" ref="G12:G19" si="6">"本科"</f>
        <v>本科</v>
      </c>
      <c r="H12" s="6" t="str">
        <f>"群众"</f>
        <v>群众</v>
      </c>
      <c r="I12" s="7" t="s">
        <v>97</v>
      </c>
      <c r="J12" s="2">
        <v>70.349999999999994</v>
      </c>
      <c r="K12" s="6"/>
    </row>
    <row r="13" spans="1:11" ht="24" customHeight="1">
      <c r="A13" s="6" t="s">
        <v>89</v>
      </c>
      <c r="B13" s="6" t="str">
        <f>"430223199404032217"</f>
        <v>430223199404032217</v>
      </c>
      <c r="C13" s="6" t="str">
        <f>"周波"</f>
        <v>周波</v>
      </c>
      <c r="D13" s="6" t="str">
        <f>"15573149461"</f>
        <v>15573149461</v>
      </c>
      <c r="E13" s="6" t="str">
        <f t="shared" si="5"/>
        <v>男</v>
      </c>
      <c r="F13" s="6" t="str">
        <f>"1994-04-03"</f>
        <v>1994-04-03</v>
      </c>
      <c r="G13" s="6" t="str">
        <f t="shared" si="6"/>
        <v>本科</v>
      </c>
      <c r="H13" s="6" t="str">
        <f>"群众"</f>
        <v>群众</v>
      </c>
      <c r="I13" s="7" t="s">
        <v>90</v>
      </c>
      <c r="J13" s="2">
        <v>68.5</v>
      </c>
      <c r="K13" s="6"/>
    </row>
    <row r="14" spans="1:11" ht="24" customHeight="1">
      <c r="A14" s="6" t="s">
        <v>89</v>
      </c>
      <c r="B14" s="6" t="str">
        <f>"430224199107076076"</f>
        <v>430224199107076076</v>
      </c>
      <c r="C14" s="6" t="str">
        <f>"谭世真"</f>
        <v>谭世真</v>
      </c>
      <c r="D14" s="6" t="str">
        <f>"18075167239"</f>
        <v>18075167239</v>
      </c>
      <c r="E14" s="6" t="str">
        <f t="shared" si="5"/>
        <v>男</v>
      </c>
      <c r="F14" s="6" t="str">
        <f>"1991-07-07"</f>
        <v>1991-07-07</v>
      </c>
      <c r="G14" s="6" t="str">
        <f t="shared" si="6"/>
        <v>本科</v>
      </c>
      <c r="H14" s="6" t="str">
        <f>"中共预备党员"</f>
        <v>中共预备党员</v>
      </c>
      <c r="I14" s="7" t="s">
        <v>96</v>
      </c>
      <c r="J14" s="2">
        <v>68.400000000000006</v>
      </c>
      <c r="K14" s="6"/>
    </row>
    <row r="15" spans="1:11" ht="24" customHeight="1">
      <c r="A15" s="6" t="s">
        <v>89</v>
      </c>
      <c r="B15" s="6" t="str">
        <f>"430304199606082278"</f>
        <v>430304199606082278</v>
      </c>
      <c r="C15" s="6" t="str">
        <f>"刘舟"</f>
        <v>刘舟</v>
      </c>
      <c r="D15" s="6" t="str">
        <f>"15573228133"</f>
        <v>15573228133</v>
      </c>
      <c r="E15" s="6" t="str">
        <f t="shared" si="5"/>
        <v>男</v>
      </c>
      <c r="F15" s="6" t="str">
        <f>"1996-06-08"</f>
        <v>1996-06-08</v>
      </c>
      <c r="G15" s="6" t="str">
        <f t="shared" si="6"/>
        <v>本科</v>
      </c>
      <c r="H15" s="6" t="str">
        <f>"共青团员"</f>
        <v>共青团员</v>
      </c>
      <c r="I15" s="7" t="s">
        <v>92</v>
      </c>
      <c r="J15" s="2">
        <v>67.7</v>
      </c>
      <c r="K15" s="6"/>
    </row>
    <row r="16" spans="1:11" ht="24" customHeight="1">
      <c r="A16" s="6" t="s">
        <v>89</v>
      </c>
      <c r="B16" s="6" t="str">
        <f>"36243019861003003X"</f>
        <v>36243019861003003X</v>
      </c>
      <c r="C16" s="6" t="str">
        <f>"左旭"</f>
        <v>左旭</v>
      </c>
      <c r="D16" s="6" t="str">
        <f>"18279667766"</f>
        <v>18279667766</v>
      </c>
      <c r="E16" s="6" t="str">
        <f t="shared" si="5"/>
        <v>男</v>
      </c>
      <c r="F16" s="6" t="str">
        <f>"1986-10-03"</f>
        <v>1986-10-03</v>
      </c>
      <c r="G16" s="6" t="str">
        <f t="shared" si="6"/>
        <v>本科</v>
      </c>
      <c r="H16" s="6" t="str">
        <f>"中共党员"</f>
        <v>中共党员</v>
      </c>
      <c r="I16" s="7" t="s">
        <v>91</v>
      </c>
      <c r="J16" s="2">
        <v>64.2</v>
      </c>
      <c r="K16" s="6"/>
    </row>
    <row r="17" spans="1:11" ht="24" customHeight="1">
      <c r="A17" s="6" t="s">
        <v>89</v>
      </c>
      <c r="B17" s="6" t="str">
        <f>"430223199808157219"</f>
        <v>430223199808157219</v>
      </c>
      <c r="C17" s="6" t="str">
        <f>"张贺津"</f>
        <v>张贺津</v>
      </c>
      <c r="D17" s="6" t="str">
        <f>"18975353303"</f>
        <v>18975353303</v>
      </c>
      <c r="E17" s="6" t="str">
        <f t="shared" si="5"/>
        <v>男</v>
      </c>
      <c r="F17" s="6" t="str">
        <f>"1998-08-15"</f>
        <v>1998-08-15</v>
      </c>
      <c r="G17" s="6" t="str">
        <f t="shared" si="6"/>
        <v>本科</v>
      </c>
      <c r="H17" s="6" t="str">
        <f>"群众"</f>
        <v>群众</v>
      </c>
      <c r="I17" s="7" t="s">
        <v>95</v>
      </c>
      <c r="J17" s="2">
        <v>64</v>
      </c>
      <c r="K17" s="6"/>
    </row>
    <row r="18" spans="1:11" ht="24" customHeight="1">
      <c r="A18" s="6" t="s">
        <v>89</v>
      </c>
      <c r="B18" s="6" t="str">
        <f>"430223199709042918"</f>
        <v>430223199709042918</v>
      </c>
      <c r="C18" s="6" t="str">
        <f>"彭彪"</f>
        <v>彭彪</v>
      </c>
      <c r="D18" s="6" t="str">
        <f>"19976738171"</f>
        <v>19976738171</v>
      </c>
      <c r="E18" s="6" t="str">
        <f t="shared" si="5"/>
        <v>男</v>
      </c>
      <c r="F18" s="6" t="str">
        <f>"1997-09-04"</f>
        <v>1997-09-04</v>
      </c>
      <c r="G18" s="6" t="str">
        <f t="shared" si="6"/>
        <v>本科</v>
      </c>
      <c r="H18" s="6" t="str">
        <f>"共青团员"</f>
        <v>共青团员</v>
      </c>
      <c r="I18" s="7" t="s">
        <v>94</v>
      </c>
      <c r="J18" s="2">
        <v>63.95</v>
      </c>
      <c r="K18" s="6"/>
    </row>
    <row r="19" spans="1:11" ht="24" customHeight="1">
      <c r="A19" s="6" t="s">
        <v>89</v>
      </c>
      <c r="B19" s="6" t="str">
        <f>"430223198510307232"</f>
        <v>430223198510307232</v>
      </c>
      <c r="C19" s="6" t="str">
        <f>"邓智刚"</f>
        <v>邓智刚</v>
      </c>
      <c r="D19" s="6" t="str">
        <f>"18007336169"</f>
        <v>18007336169</v>
      </c>
      <c r="E19" s="6" t="str">
        <f t="shared" si="5"/>
        <v>男</v>
      </c>
      <c r="F19" s="6" t="str">
        <f>"1985-10-30"</f>
        <v>1985-10-30</v>
      </c>
      <c r="G19" s="6" t="str">
        <f t="shared" si="6"/>
        <v>本科</v>
      </c>
      <c r="H19" s="6" t="str">
        <f>"中共预备党员"</f>
        <v>中共预备党员</v>
      </c>
      <c r="I19" s="7" t="s">
        <v>93</v>
      </c>
      <c r="J19" s="2">
        <v>63.4</v>
      </c>
      <c r="K19" s="6"/>
    </row>
    <row r="20" spans="1:11" ht="24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4" customHeight="1">
      <c r="A21" s="6" t="s">
        <v>98</v>
      </c>
      <c r="B21" s="6" t="str">
        <f>"430223199804190329"</f>
        <v>430223199804190329</v>
      </c>
      <c r="C21" s="6" t="str">
        <f>"洪甜"</f>
        <v>洪甜</v>
      </c>
      <c r="D21" s="6" t="str">
        <f>"17873672589"</f>
        <v>17873672589</v>
      </c>
      <c r="E21" s="6" t="str">
        <f t="shared" ref="E21:E30" si="7">"女"</f>
        <v>女</v>
      </c>
      <c r="F21" s="6" t="str">
        <f>"1998-04-19"</f>
        <v>1998-04-19</v>
      </c>
      <c r="G21" s="6" t="str">
        <f t="shared" ref="G21:G30" si="8">"本科"</f>
        <v>本科</v>
      </c>
      <c r="H21" s="6" t="str">
        <f>"中共党员"</f>
        <v>中共党员</v>
      </c>
      <c r="I21" s="7" t="s">
        <v>102</v>
      </c>
      <c r="J21" s="2">
        <v>76.95</v>
      </c>
      <c r="K21" s="6"/>
    </row>
    <row r="22" spans="1:11" ht="24" customHeight="1">
      <c r="A22" s="6" t="s">
        <v>98</v>
      </c>
      <c r="B22" s="6" t="str">
        <f>"430223198902208022"</f>
        <v>430223198902208022</v>
      </c>
      <c r="C22" s="6" t="str">
        <f>"谭丽"</f>
        <v>谭丽</v>
      </c>
      <c r="D22" s="6" t="str">
        <f>"13317337192"</f>
        <v>13317337192</v>
      </c>
      <c r="E22" s="6" t="str">
        <f t="shared" si="7"/>
        <v>女</v>
      </c>
      <c r="F22" s="6" t="str">
        <f>"1989-02-20"</f>
        <v>1989-02-20</v>
      </c>
      <c r="G22" s="6" t="str">
        <f t="shared" si="8"/>
        <v>本科</v>
      </c>
      <c r="H22" s="6" t="str">
        <f>"中共党员"</f>
        <v>中共党员</v>
      </c>
      <c r="I22" s="7" t="s">
        <v>100</v>
      </c>
      <c r="J22" s="2">
        <v>75.849999999999994</v>
      </c>
      <c r="K22" s="6"/>
    </row>
    <row r="23" spans="1:11" ht="24" customHeight="1">
      <c r="A23" s="6" t="s">
        <v>98</v>
      </c>
      <c r="B23" s="6" t="str">
        <f>"430124199805166321"</f>
        <v>430124199805166321</v>
      </c>
      <c r="C23" s="6" t="str">
        <f>"李水云"</f>
        <v>李水云</v>
      </c>
      <c r="D23" s="6" t="str">
        <f>"18373639067"</f>
        <v>18373639067</v>
      </c>
      <c r="E23" s="6" t="str">
        <f t="shared" si="7"/>
        <v>女</v>
      </c>
      <c r="F23" s="6" t="str">
        <f>"1998-05-16"</f>
        <v>1998-05-16</v>
      </c>
      <c r="G23" s="6" t="str">
        <f t="shared" si="8"/>
        <v>本科</v>
      </c>
      <c r="H23" s="6" t="str">
        <f>"共青团员"</f>
        <v>共青团员</v>
      </c>
      <c r="I23" s="7" t="s">
        <v>103</v>
      </c>
      <c r="J23" s="2">
        <v>73.05</v>
      </c>
      <c r="K23" s="6"/>
    </row>
    <row r="24" spans="1:11" ht="24" customHeight="1">
      <c r="A24" s="6" t="s">
        <v>98</v>
      </c>
      <c r="B24" s="6" t="str">
        <f>"430223199012276220"</f>
        <v>430223199012276220</v>
      </c>
      <c r="C24" s="6" t="str">
        <f>"文红"</f>
        <v>文红</v>
      </c>
      <c r="D24" s="6" t="str">
        <f>"13077076562"</f>
        <v>13077076562</v>
      </c>
      <c r="E24" s="6" t="str">
        <f t="shared" si="7"/>
        <v>女</v>
      </c>
      <c r="F24" s="6" t="str">
        <f>"1990-12-27"</f>
        <v>1990-12-27</v>
      </c>
      <c r="G24" s="6" t="str">
        <f t="shared" si="8"/>
        <v>本科</v>
      </c>
      <c r="H24" s="6" t="str">
        <f>"群众"</f>
        <v>群众</v>
      </c>
      <c r="I24" s="7" t="s">
        <v>104</v>
      </c>
      <c r="J24" s="2">
        <v>72.599999999999994</v>
      </c>
      <c r="K24" s="6"/>
    </row>
    <row r="25" spans="1:11" ht="24" customHeight="1">
      <c r="A25" s="6" t="s">
        <v>98</v>
      </c>
      <c r="B25" s="6" t="str">
        <f>"430224199310106525"</f>
        <v>430224199310106525</v>
      </c>
      <c r="C25" s="6" t="str">
        <f>"谭庆星"</f>
        <v>谭庆星</v>
      </c>
      <c r="D25" s="6" t="str">
        <f>"15073148954"</f>
        <v>15073148954</v>
      </c>
      <c r="E25" s="6" t="str">
        <f t="shared" si="7"/>
        <v>女</v>
      </c>
      <c r="F25" s="6" t="str">
        <f>"1993-10-10"</f>
        <v>1993-10-10</v>
      </c>
      <c r="G25" s="6" t="str">
        <f t="shared" si="8"/>
        <v>本科</v>
      </c>
      <c r="H25" s="6" t="str">
        <f>"共青团员"</f>
        <v>共青团员</v>
      </c>
      <c r="I25" s="7" t="s">
        <v>101</v>
      </c>
      <c r="J25" s="2">
        <v>72.45</v>
      </c>
      <c r="K25" s="6"/>
    </row>
    <row r="26" spans="1:11" ht="24" customHeight="1">
      <c r="A26" s="6" t="s">
        <v>98</v>
      </c>
      <c r="B26" s="6" t="str">
        <f>"430223198504086920"</f>
        <v>430223198504086920</v>
      </c>
      <c r="C26" s="6" t="str">
        <f>"欧灵艳"</f>
        <v>欧灵艳</v>
      </c>
      <c r="D26" s="6" t="str">
        <f>"18374037599"</f>
        <v>18374037599</v>
      </c>
      <c r="E26" s="6" t="str">
        <f t="shared" si="7"/>
        <v>女</v>
      </c>
      <c r="F26" s="6" t="str">
        <f>"1985-04-08"</f>
        <v>1985-04-08</v>
      </c>
      <c r="G26" s="6" t="str">
        <f t="shared" si="8"/>
        <v>本科</v>
      </c>
      <c r="H26" s="6" t="str">
        <f>"中共党员"</f>
        <v>中共党员</v>
      </c>
      <c r="I26" s="7" t="s">
        <v>107</v>
      </c>
      <c r="J26" s="2">
        <v>72.349999999999994</v>
      </c>
      <c r="K26" s="6"/>
    </row>
    <row r="27" spans="1:11" ht="24" customHeight="1">
      <c r="A27" s="6" t="s">
        <v>98</v>
      </c>
      <c r="B27" s="6" t="str">
        <f>"430224199108015224"</f>
        <v>430224199108015224</v>
      </c>
      <c r="C27" s="6" t="str">
        <f>"陈利珍"</f>
        <v>陈利珍</v>
      </c>
      <c r="D27" s="6" t="str">
        <f>"18173146665"</f>
        <v>18173146665</v>
      </c>
      <c r="E27" s="6" t="str">
        <f t="shared" si="7"/>
        <v>女</v>
      </c>
      <c r="F27" s="6" t="str">
        <f>"1991-08-01"</f>
        <v>1991-08-01</v>
      </c>
      <c r="G27" s="6" t="str">
        <f t="shared" si="8"/>
        <v>本科</v>
      </c>
      <c r="H27" s="6" t="str">
        <f>"共青团员"</f>
        <v>共青团员</v>
      </c>
      <c r="I27" s="7" t="s">
        <v>108</v>
      </c>
      <c r="J27" s="2">
        <v>72</v>
      </c>
      <c r="K27" s="6"/>
    </row>
    <row r="28" spans="1:11" ht="24" customHeight="1">
      <c r="A28" s="6" t="s">
        <v>98</v>
      </c>
      <c r="B28" s="6" t="str">
        <f>"430223199411237624"</f>
        <v>430223199411237624</v>
      </c>
      <c r="C28" s="6" t="str">
        <f>"阳蓬"</f>
        <v>阳蓬</v>
      </c>
      <c r="D28" s="6" t="str">
        <f>"15575802764"</f>
        <v>15575802764</v>
      </c>
      <c r="E28" s="6" t="str">
        <f t="shared" si="7"/>
        <v>女</v>
      </c>
      <c r="F28" s="6" t="str">
        <f>"1994-11-23"</f>
        <v>1994-11-23</v>
      </c>
      <c r="G28" s="6" t="str">
        <f t="shared" si="8"/>
        <v>本科</v>
      </c>
      <c r="H28" s="6" t="str">
        <f>"共青团员"</f>
        <v>共青团员</v>
      </c>
      <c r="I28" s="7" t="s">
        <v>105</v>
      </c>
      <c r="J28" s="2">
        <v>71.95</v>
      </c>
      <c r="K28" s="6"/>
    </row>
    <row r="29" spans="1:11" ht="24" customHeight="1">
      <c r="A29" s="6" t="s">
        <v>98</v>
      </c>
      <c r="B29" s="6" t="str">
        <f>"430224198808301884"</f>
        <v>430224198808301884</v>
      </c>
      <c r="C29" s="6" t="str">
        <f>"刘艳"</f>
        <v>刘艳</v>
      </c>
      <c r="D29" s="6" t="str">
        <f>"18173328723"</f>
        <v>18173328723</v>
      </c>
      <c r="E29" s="6" t="str">
        <f t="shared" si="7"/>
        <v>女</v>
      </c>
      <c r="F29" s="6" t="str">
        <f>"1988-08-30"</f>
        <v>1988-08-30</v>
      </c>
      <c r="G29" s="6" t="str">
        <f t="shared" si="8"/>
        <v>本科</v>
      </c>
      <c r="H29" s="6" t="str">
        <f>"群众"</f>
        <v>群众</v>
      </c>
      <c r="I29" s="7" t="s">
        <v>106</v>
      </c>
      <c r="J29" s="2">
        <v>71.75</v>
      </c>
      <c r="K29" s="6"/>
    </row>
    <row r="30" spans="1:11" ht="24" customHeight="1">
      <c r="A30" s="6" t="s">
        <v>98</v>
      </c>
      <c r="B30" s="6" t="str">
        <f>"430223198811147244"</f>
        <v>430223198811147244</v>
      </c>
      <c r="C30" s="6" t="str">
        <f>"陈维"</f>
        <v>陈维</v>
      </c>
      <c r="D30" s="6" t="str">
        <f>"15292286996"</f>
        <v>15292286996</v>
      </c>
      <c r="E30" s="6" t="str">
        <f t="shared" si="7"/>
        <v>女</v>
      </c>
      <c r="F30" s="6" t="str">
        <f>"1988-11-14"</f>
        <v>1988-11-14</v>
      </c>
      <c r="G30" s="6" t="str">
        <f t="shared" si="8"/>
        <v>本科</v>
      </c>
      <c r="H30" s="6" t="str">
        <f>"中共党员"</f>
        <v>中共党员</v>
      </c>
      <c r="I30" s="7" t="s">
        <v>99</v>
      </c>
      <c r="J30" s="2">
        <v>71.55</v>
      </c>
      <c r="K30" s="6"/>
    </row>
    <row r="31" spans="1:11" ht="24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24" customHeight="1">
      <c r="A32" s="6" t="s">
        <v>109</v>
      </c>
      <c r="B32" s="6" t="str">
        <f>"43022319960122914X"</f>
        <v>43022319960122914X</v>
      </c>
      <c r="C32" s="6" t="str">
        <f>"彭丽凤"</f>
        <v>彭丽凤</v>
      </c>
      <c r="D32" s="6" t="str">
        <f>"19973381024"</f>
        <v>19973381024</v>
      </c>
      <c r="E32" s="6" t="str">
        <f t="shared" ref="E32" si="9">"女"</f>
        <v>女</v>
      </c>
      <c r="F32" s="6" t="str">
        <f>"1996-01-22"</f>
        <v>1996-01-22</v>
      </c>
      <c r="G32" s="6" t="str">
        <f t="shared" ref="G32:G41" si="10">"本科"</f>
        <v>本科</v>
      </c>
      <c r="H32" s="6" t="str">
        <f>"共青团员"</f>
        <v>共青团员</v>
      </c>
      <c r="I32" s="7" t="s">
        <v>114</v>
      </c>
      <c r="J32" s="2">
        <v>82.5</v>
      </c>
      <c r="K32" s="6"/>
    </row>
    <row r="33" spans="1:11" ht="24" customHeight="1">
      <c r="A33" s="6" t="s">
        <v>109</v>
      </c>
      <c r="B33" s="6" t="str">
        <f>"430223199703229511"</f>
        <v>430223199703229511</v>
      </c>
      <c r="C33" s="6" t="str">
        <f>"李正浩"</f>
        <v>李正浩</v>
      </c>
      <c r="D33" s="6" t="str">
        <f>"18932124863"</f>
        <v>18932124863</v>
      </c>
      <c r="E33" s="6" t="str">
        <f>"男"</f>
        <v>男</v>
      </c>
      <c r="F33" s="6" t="str">
        <f>"1997-03-22"</f>
        <v>1997-03-22</v>
      </c>
      <c r="G33" s="6" t="str">
        <f t="shared" si="10"/>
        <v>本科</v>
      </c>
      <c r="H33" s="6" t="str">
        <f>"共青团员"</f>
        <v>共青团员</v>
      </c>
      <c r="I33" s="7" t="s">
        <v>111</v>
      </c>
      <c r="J33" s="2">
        <v>79.599999999999994</v>
      </c>
      <c r="K33" s="6"/>
    </row>
    <row r="34" spans="1:11" ht="24" customHeight="1">
      <c r="A34" s="6" t="s">
        <v>109</v>
      </c>
      <c r="B34" s="6" t="str">
        <f>"430223199708128728"</f>
        <v>430223199708128728</v>
      </c>
      <c r="C34" s="6" t="str">
        <f>"夏盼妮"</f>
        <v>夏盼妮</v>
      </c>
      <c r="D34" s="6" t="str">
        <f>"18774815224"</f>
        <v>18774815224</v>
      </c>
      <c r="E34" s="6" t="str">
        <f>"女"</f>
        <v>女</v>
      </c>
      <c r="F34" s="6" t="str">
        <f>"1997-08-12"</f>
        <v>1997-08-12</v>
      </c>
      <c r="G34" s="6" t="str">
        <f t="shared" si="10"/>
        <v>本科</v>
      </c>
      <c r="H34" s="6" t="str">
        <f>"共青团员"</f>
        <v>共青团员</v>
      </c>
      <c r="I34" s="7" t="s">
        <v>117</v>
      </c>
      <c r="J34" s="2">
        <v>76.7</v>
      </c>
      <c r="K34" s="6"/>
    </row>
    <row r="35" spans="1:11" ht="24" customHeight="1">
      <c r="A35" s="6" t="s">
        <v>109</v>
      </c>
      <c r="B35" s="6" t="str">
        <f>"430223199211198747"</f>
        <v>430223199211198747</v>
      </c>
      <c r="C35" s="6" t="str">
        <f>"周翔"</f>
        <v>周翔</v>
      </c>
      <c r="D35" s="6" t="str">
        <f>"19973381019"</f>
        <v>19973381019</v>
      </c>
      <c r="E35" s="6" t="str">
        <f>"女"</f>
        <v>女</v>
      </c>
      <c r="F35" s="6" t="str">
        <f>"1992-11-19"</f>
        <v>1992-11-19</v>
      </c>
      <c r="G35" s="6" t="str">
        <f t="shared" si="10"/>
        <v>本科</v>
      </c>
      <c r="H35" s="6" t="str">
        <f>"共青团员"</f>
        <v>共青团员</v>
      </c>
      <c r="I35" s="7" t="s">
        <v>110</v>
      </c>
      <c r="J35" s="2">
        <v>75.900000000000006</v>
      </c>
      <c r="K35" s="6"/>
    </row>
    <row r="36" spans="1:11" ht="24" customHeight="1">
      <c r="A36" s="6" t="s">
        <v>109</v>
      </c>
      <c r="B36" s="6" t="str">
        <f>"450802199208048224"</f>
        <v>450802199208048224</v>
      </c>
      <c r="C36" s="6" t="str">
        <f>"潘思羽"</f>
        <v>潘思羽</v>
      </c>
      <c r="D36" s="6" t="str">
        <f>"15271936189"</f>
        <v>15271936189</v>
      </c>
      <c r="E36" s="6" t="str">
        <f>"女"</f>
        <v>女</v>
      </c>
      <c r="F36" s="6" t="str">
        <f>"1992-08-04"</f>
        <v>1992-08-04</v>
      </c>
      <c r="G36" s="6" t="str">
        <f t="shared" si="10"/>
        <v>本科</v>
      </c>
      <c r="H36" s="6" t="str">
        <f>"中共党员"</f>
        <v>中共党员</v>
      </c>
      <c r="I36" s="7" t="s">
        <v>112</v>
      </c>
      <c r="J36" s="2">
        <v>75.8</v>
      </c>
      <c r="K36" s="6"/>
    </row>
    <row r="37" spans="1:11" ht="24" customHeight="1">
      <c r="A37" s="6" t="s">
        <v>109</v>
      </c>
      <c r="B37" s="6" t="str">
        <f>"430223198605218726"</f>
        <v>430223198605218726</v>
      </c>
      <c r="C37" s="6" t="str">
        <f>"朱兰兰"</f>
        <v>朱兰兰</v>
      </c>
      <c r="D37" s="6" t="str">
        <f>"13973352620"</f>
        <v>13973352620</v>
      </c>
      <c r="E37" s="6" t="str">
        <f>"女"</f>
        <v>女</v>
      </c>
      <c r="F37" s="6" t="str">
        <f>"1986-05-21"</f>
        <v>1986-05-21</v>
      </c>
      <c r="G37" s="6" t="str">
        <f t="shared" si="10"/>
        <v>本科</v>
      </c>
      <c r="H37" s="6" t="str">
        <f>"群众"</f>
        <v>群众</v>
      </c>
      <c r="I37" s="7" t="s">
        <v>113</v>
      </c>
      <c r="J37" s="2">
        <v>75.599999999999994</v>
      </c>
      <c r="K37" s="6"/>
    </row>
    <row r="38" spans="1:11" ht="24" customHeight="1">
      <c r="A38" s="6" t="s">
        <v>109</v>
      </c>
      <c r="B38" s="6" t="str">
        <f>"430424199407308415"</f>
        <v>430424199407308415</v>
      </c>
      <c r="C38" s="6" t="str">
        <f>"谭杨鹏"</f>
        <v>谭杨鹏</v>
      </c>
      <c r="D38" s="6" t="str">
        <f>"18874071245"</f>
        <v>18874071245</v>
      </c>
      <c r="E38" s="6" t="str">
        <f>"男"</f>
        <v>男</v>
      </c>
      <c r="F38" s="6" t="str">
        <f>"1994-07-30"</f>
        <v>1994-07-30</v>
      </c>
      <c r="G38" s="6" t="str">
        <f t="shared" si="10"/>
        <v>本科</v>
      </c>
      <c r="H38" s="6" t="str">
        <f>"共青团员"</f>
        <v>共青团员</v>
      </c>
      <c r="I38" s="7" t="s">
        <v>115</v>
      </c>
      <c r="J38" s="2">
        <v>75.400000000000006</v>
      </c>
      <c r="K38" s="6"/>
    </row>
    <row r="39" spans="1:11" ht="24" customHeight="1">
      <c r="A39" s="6" t="s">
        <v>109</v>
      </c>
      <c r="B39" s="6" t="str">
        <f>"430223199311211814"</f>
        <v>430223199311211814</v>
      </c>
      <c r="C39" s="6" t="str">
        <f>"刘凯"</f>
        <v>刘凯</v>
      </c>
      <c r="D39" s="6" t="str">
        <f>"18173380929"</f>
        <v>18173380929</v>
      </c>
      <c r="E39" s="6" t="str">
        <f>"男"</f>
        <v>男</v>
      </c>
      <c r="F39" s="6" t="str">
        <f>"1993-11-21"</f>
        <v>1993-11-21</v>
      </c>
      <c r="G39" s="6" t="str">
        <f t="shared" si="10"/>
        <v>本科</v>
      </c>
      <c r="H39" s="6" t="str">
        <f>"共青团员"</f>
        <v>共青团员</v>
      </c>
      <c r="I39" s="7" t="s">
        <v>116</v>
      </c>
      <c r="J39" s="2">
        <v>70.5</v>
      </c>
      <c r="K39" s="6"/>
    </row>
    <row r="40" spans="1:11" ht="24" customHeight="1">
      <c r="A40" s="6" t="s">
        <v>109</v>
      </c>
      <c r="B40" s="7" t="s">
        <v>134</v>
      </c>
      <c r="C40" s="6" t="s">
        <v>133</v>
      </c>
      <c r="D40" s="6">
        <v>17711632536</v>
      </c>
      <c r="E40" s="6" t="s">
        <v>135</v>
      </c>
      <c r="F40" s="6" t="str">
        <f>"1997-06-10"</f>
        <v>1997-06-10</v>
      </c>
      <c r="G40" s="6" t="s">
        <v>136</v>
      </c>
      <c r="H40" s="6" t="s">
        <v>137</v>
      </c>
      <c r="I40" s="7" t="s">
        <v>138</v>
      </c>
      <c r="J40" s="2">
        <v>70.400000000000006</v>
      </c>
      <c r="K40" s="6" t="s">
        <v>142</v>
      </c>
    </row>
    <row r="41" spans="1:11" ht="24" customHeight="1">
      <c r="A41" s="6" t="s">
        <v>109</v>
      </c>
      <c r="B41" s="8" t="s">
        <v>140</v>
      </c>
      <c r="C41" s="9" t="s">
        <v>139</v>
      </c>
      <c r="D41" s="9">
        <v>19973381011</v>
      </c>
      <c r="E41" s="6" t="s">
        <v>141</v>
      </c>
      <c r="F41" s="6" t="str">
        <f>"1992-03-11"</f>
        <v>1992-03-11</v>
      </c>
      <c r="G41" s="6" t="str">
        <f t="shared" si="10"/>
        <v>本科</v>
      </c>
      <c r="H41" s="6" t="str">
        <f>"群众"</f>
        <v>群众</v>
      </c>
      <c r="I41" s="10">
        <v>200726114730</v>
      </c>
      <c r="J41" s="2">
        <v>69.400000000000006</v>
      </c>
      <c r="K41" s="6" t="s">
        <v>142</v>
      </c>
    </row>
    <row r="42" spans="1:11" ht="24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24" customHeight="1">
      <c r="A43" s="6" t="s">
        <v>79</v>
      </c>
      <c r="B43" s="6" t="str">
        <f>"430223199803065542"</f>
        <v>430223199803065542</v>
      </c>
      <c r="C43" s="6" t="str">
        <f>"丁思懿"</f>
        <v>丁思懿</v>
      </c>
      <c r="D43" s="6" t="str">
        <f>"15573183641"</f>
        <v>15573183641</v>
      </c>
      <c r="E43" s="6" t="str">
        <f>"女"</f>
        <v>女</v>
      </c>
      <c r="F43" s="6" t="str">
        <f>"1998-03-06"</f>
        <v>1998-03-06</v>
      </c>
      <c r="G43" s="6" t="str">
        <f t="shared" ref="G43:G47" si="11">"本科"</f>
        <v>本科</v>
      </c>
      <c r="H43" s="6" t="str">
        <f>"共青团员"</f>
        <v>共青团员</v>
      </c>
      <c r="I43" s="7" t="s">
        <v>81</v>
      </c>
      <c r="J43" s="2">
        <v>71.150000000000006</v>
      </c>
      <c r="K43" s="6"/>
    </row>
    <row r="44" spans="1:11" ht="24" customHeight="1">
      <c r="A44" s="6" t="s">
        <v>79</v>
      </c>
      <c r="B44" s="6" t="str">
        <f>"430224199803240044"</f>
        <v>430224199803240044</v>
      </c>
      <c r="C44" s="6" t="str">
        <f>"刘杏蓉"</f>
        <v>刘杏蓉</v>
      </c>
      <c r="D44" s="6" t="str">
        <f>"19973313028"</f>
        <v>19973313028</v>
      </c>
      <c r="E44" s="6" t="str">
        <f>"女"</f>
        <v>女</v>
      </c>
      <c r="F44" s="6" t="str">
        <f>"1998-03-24"</f>
        <v>1998-03-24</v>
      </c>
      <c r="G44" s="6" t="str">
        <f t="shared" si="11"/>
        <v>本科</v>
      </c>
      <c r="H44" s="6" t="str">
        <f>"共青团员"</f>
        <v>共青团员</v>
      </c>
      <c r="I44" s="7" t="s">
        <v>80</v>
      </c>
      <c r="J44" s="2">
        <v>67.95</v>
      </c>
      <c r="K44" s="6"/>
    </row>
    <row r="45" spans="1:11" ht="24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24" customHeight="1">
      <c r="A46" s="6" t="s">
        <v>82</v>
      </c>
      <c r="B46" s="6" t="str">
        <f>"430203199710127526"</f>
        <v>430203199710127526</v>
      </c>
      <c r="C46" s="6" t="str">
        <f>"左之梁"</f>
        <v>左之梁</v>
      </c>
      <c r="D46" s="6" t="str">
        <f>"15173349400"</f>
        <v>15173349400</v>
      </c>
      <c r="E46" s="6" t="str">
        <f>"女"</f>
        <v>女</v>
      </c>
      <c r="F46" s="6" t="str">
        <f>"1997-10-12"</f>
        <v>1997-10-12</v>
      </c>
      <c r="G46" s="6" t="str">
        <f t="shared" si="11"/>
        <v>本科</v>
      </c>
      <c r="H46" s="6" t="str">
        <f>"共青团员"</f>
        <v>共青团员</v>
      </c>
      <c r="I46" s="7" t="s">
        <v>84</v>
      </c>
      <c r="J46" s="2">
        <v>71.75</v>
      </c>
      <c r="K46" s="6"/>
    </row>
    <row r="47" spans="1:11" ht="24" customHeight="1">
      <c r="A47" s="6" t="s">
        <v>82</v>
      </c>
      <c r="B47" s="6" t="str">
        <f>"430223199605298716"</f>
        <v>430223199605298716</v>
      </c>
      <c r="C47" s="6" t="str">
        <f>"杨治平"</f>
        <v>杨治平</v>
      </c>
      <c r="D47" s="6" t="str">
        <f>"15115481380"</f>
        <v>15115481380</v>
      </c>
      <c r="E47" s="6" t="str">
        <f>"男"</f>
        <v>男</v>
      </c>
      <c r="F47" s="6" t="str">
        <f>"1996-05-29"</f>
        <v>1996-05-29</v>
      </c>
      <c r="G47" s="6" t="str">
        <f t="shared" si="11"/>
        <v>本科</v>
      </c>
      <c r="H47" s="6" t="str">
        <f>"共青团员"</f>
        <v>共青团员</v>
      </c>
      <c r="I47" s="7" t="s">
        <v>83</v>
      </c>
      <c r="J47" s="2">
        <v>68.7</v>
      </c>
      <c r="K47" s="6"/>
    </row>
    <row r="48" spans="1:11" ht="24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24" customHeight="1">
      <c r="A49" s="6" t="s">
        <v>118</v>
      </c>
      <c r="B49" s="6" t="str">
        <f>"430225198601060012"</f>
        <v>430225198601060012</v>
      </c>
      <c r="C49" s="6" t="str">
        <f>"朱永斌"</f>
        <v>朱永斌</v>
      </c>
      <c r="D49" s="6" t="str">
        <f>"15173340993"</f>
        <v>15173340993</v>
      </c>
      <c r="E49" s="6" t="str">
        <f t="shared" ref="E49:E52" si="12">"男"</f>
        <v>男</v>
      </c>
      <c r="F49" s="6" t="str">
        <f>"1986-01-06"</f>
        <v>1986-01-06</v>
      </c>
      <c r="G49" s="6" t="str">
        <f>"大专"</f>
        <v>大专</v>
      </c>
      <c r="H49" s="6" t="str">
        <f>"群众"</f>
        <v>群众</v>
      </c>
      <c r="I49" s="7" t="s">
        <v>119</v>
      </c>
      <c r="J49" s="2">
        <v>78.099999999999994</v>
      </c>
      <c r="K49" s="6"/>
    </row>
    <row r="50" spans="1:11" ht="24" customHeight="1">
      <c r="A50" s="6" t="s">
        <v>118</v>
      </c>
      <c r="B50" s="6" t="str">
        <f>"430223198902284818"</f>
        <v>430223198902284818</v>
      </c>
      <c r="C50" s="6" t="str">
        <f>"陈亚珍"</f>
        <v>陈亚珍</v>
      </c>
      <c r="D50" s="6" t="str">
        <f>"18188937228"</f>
        <v>18188937228</v>
      </c>
      <c r="E50" s="6" t="str">
        <f t="shared" si="12"/>
        <v>男</v>
      </c>
      <c r="F50" s="6" t="str">
        <f>"1989-02-28"</f>
        <v>1989-02-28</v>
      </c>
      <c r="G50" s="6" t="str">
        <f>"大专"</f>
        <v>大专</v>
      </c>
      <c r="H50" s="6" t="str">
        <f>"共青团员"</f>
        <v>共青团员</v>
      </c>
      <c r="I50" s="7" t="s">
        <v>122</v>
      </c>
      <c r="J50" s="2">
        <v>77.75</v>
      </c>
      <c r="K50" s="6"/>
    </row>
    <row r="51" spans="1:11" ht="24" customHeight="1">
      <c r="A51" s="6" t="s">
        <v>118</v>
      </c>
      <c r="B51" s="6" t="str">
        <f>"43022319910325721X"</f>
        <v>43022319910325721X</v>
      </c>
      <c r="C51" s="6" t="str">
        <f>"易峰翔"</f>
        <v>易峰翔</v>
      </c>
      <c r="D51" s="6" t="str">
        <f>"15506255694"</f>
        <v>15506255694</v>
      </c>
      <c r="E51" s="6" t="str">
        <f t="shared" si="12"/>
        <v>男</v>
      </c>
      <c r="F51" s="6" t="str">
        <f>"1991-03-25"</f>
        <v>1991-03-25</v>
      </c>
      <c r="G51" s="6" t="str">
        <f>"大专"</f>
        <v>大专</v>
      </c>
      <c r="H51" s="6" t="str">
        <f>"群众"</f>
        <v>群众</v>
      </c>
      <c r="I51" s="7" t="s">
        <v>121</v>
      </c>
      <c r="J51" s="2">
        <v>77.5</v>
      </c>
      <c r="K51" s="6"/>
    </row>
    <row r="52" spans="1:11" ht="24" customHeight="1">
      <c r="A52" s="6" t="s">
        <v>118</v>
      </c>
      <c r="B52" s="6" t="str">
        <f>"430527198708115115"</f>
        <v>430527198708115115</v>
      </c>
      <c r="C52" s="6" t="str">
        <f>"黄小武"</f>
        <v>黄小武</v>
      </c>
      <c r="D52" s="6" t="str">
        <f>"15096206630"</f>
        <v>15096206630</v>
      </c>
      <c r="E52" s="6" t="str">
        <f t="shared" si="12"/>
        <v>男</v>
      </c>
      <c r="F52" s="6" t="str">
        <f>"1987-08-11"</f>
        <v>1987-08-11</v>
      </c>
      <c r="G52" s="6" t="str">
        <f>"大专"</f>
        <v>大专</v>
      </c>
      <c r="H52" s="6" t="str">
        <f>"群众"</f>
        <v>群众</v>
      </c>
      <c r="I52" s="7" t="s">
        <v>120</v>
      </c>
      <c r="J52" s="2">
        <v>76.400000000000006</v>
      </c>
      <c r="K52" s="6"/>
    </row>
    <row r="53" spans="1:11" ht="24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24" customHeight="1">
      <c r="A54" s="6" t="s">
        <v>5</v>
      </c>
      <c r="B54" s="6" t="str">
        <f>"430223199901187471"</f>
        <v>430223199901187471</v>
      </c>
      <c r="C54" s="6" t="str">
        <f>"刘勇珅"</f>
        <v>刘勇珅</v>
      </c>
      <c r="D54" s="6" t="str">
        <f>"15307416496"</f>
        <v>15307416496</v>
      </c>
      <c r="E54" s="6" t="str">
        <f t="shared" ref="E54:E55" si="13">"男"</f>
        <v>男</v>
      </c>
      <c r="F54" s="6" t="str">
        <f>"1999-01-18"</f>
        <v>1999-01-18</v>
      </c>
      <c r="G54" s="6" t="str">
        <f t="shared" ref="G54:G62" si="14">"本科"</f>
        <v>本科</v>
      </c>
      <c r="H54" s="6" t="str">
        <f>"共青团员"</f>
        <v>共青团员</v>
      </c>
      <c r="I54" s="7" t="s">
        <v>11</v>
      </c>
      <c r="J54" s="2">
        <v>76.5</v>
      </c>
      <c r="K54" s="6"/>
    </row>
    <row r="55" spans="1:11" ht="24" customHeight="1">
      <c r="A55" s="6" t="s">
        <v>5</v>
      </c>
      <c r="B55" s="6" t="str">
        <f>"430225199103196050"</f>
        <v>430225199103196050</v>
      </c>
      <c r="C55" s="6" t="str">
        <f>"张维"</f>
        <v>张维</v>
      </c>
      <c r="D55" s="6" t="str">
        <f>"13975683133"</f>
        <v>13975683133</v>
      </c>
      <c r="E55" s="6" t="str">
        <f t="shared" si="13"/>
        <v>男</v>
      </c>
      <c r="F55" s="6" t="str">
        <f>"1991-03-19"</f>
        <v>1991-03-19</v>
      </c>
      <c r="G55" s="6" t="str">
        <f t="shared" si="14"/>
        <v>本科</v>
      </c>
      <c r="H55" s="6" t="str">
        <f>"群众"</f>
        <v>群众</v>
      </c>
      <c r="I55" s="7" t="s">
        <v>7</v>
      </c>
      <c r="J55" s="2">
        <v>76.400000000000006</v>
      </c>
      <c r="K55" s="6"/>
    </row>
    <row r="56" spans="1:11" ht="24" customHeight="1">
      <c r="A56" s="6" t="s">
        <v>5</v>
      </c>
      <c r="B56" s="6" t="str">
        <f>"430223198511104525"</f>
        <v>430223198511104525</v>
      </c>
      <c r="C56" s="6" t="str">
        <f>"陈旭"</f>
        <v>陈旭</v>
      </c>
      <c r="D56" s="6" t="str">
        <f>"13826283580"</f>
        <v>13826283580</v>
      </c>
      <c r="E56" s="6" t="str">
        <f t="shared" ref="E56:E62" si="15">"女"</f>
        <v>女</v>
      </c>
      <c r="F56" s="6" t="str">
        <f>"1985-11-10"</f>
        <v>1985-11-10</v>
      </c>
      <c r="G56" s="6" t="str">
        <f t="shared" si="14"/>
        <v>本科</v>
      </c>
      <c r="H56" s="6" t="str">
        <f>"群众"</f>
        <v>群众</v>
      </c>
      <c r="I56" s="7" t="s">
        <v>9</v>
      </c>
      <c r="J56" s="2">
        <v>76</v>
      </c>
      <c r="K56" s="6"/>
    </row>
    <row r="57" spans="1:11" ht="24" customHeight="1">
      <c r="A57" s="6" t="s">
        <v>5</v>
      </c>
      <c r="B57" s="6" t="str">
        <f>"430223199706100721"</f>
        <v>430223199706100721</v>
      </c>
      <c r="C57" s="6" t="str">
        <f>"李丽盼"</f>
        <v>李丽盼</v>
      </c>
      <c r="D57" s="6" t="str">
        <f>"17608476521"</f>
        <v>17608476521</v>
      </c>
      <c r="E57" s="6" t="str">
        <f t="shared" si="15"/>
        <v>女</v>
      </c>
      <c r="F57" s="6" t="str">
        <f>"1997-06-10"</f>
        <v>1997-06-10</v>
      </c>
      <c r="G57" s="6" t="str">
        <f t="shared" si="14"/>
        <v>本科</v>
      </c>
      <c r="H57" s="6" t="str">
        <f>"共青团员"</f>
        <v>共青团员</v>
      </c>
      <c r="I57" s="7" t="s">
        <v>8</v>
      </c>
      <c r="J57" s="2">
        <v>75.5</v>
      </c>
      <c r="K57" s="6"/>
    </row>
    <row r="58" spans="1:11" ht="24" customHeight="1">
      <c r="A58" s="6" t="s">
        <v>5</v>
      </c>
      <c r="B58" s="6" t="str">
        <f>"430223198901269122"</f>
        <v>430223198901269122</v>
      </c>
      <c r="C58" s="6" t="str">
        <f>"彭新娥"</f>
        <v>彭新娥</v>
      </c>
      <c r="D58" s="6" t="str">
        <f>"13337237593"</f>
        <v>13337237593</v>
      </c>
      <c r="E58" s="6" t="str">
        <f t="shared" si="15"/>
        <v>女</v>
      </c>
      <c r="F58" s="6" t="str">
        <f>"1989-01-26"</f>
        <v>1989-01-26</v>
      </c>
      <c r="G58" s="6" t="str">
        <f t="shared" si="14"/>
        <v>本科</v>
      </c>
      <c r="H58" s="6" t="str">
        <f>"中共党员"</f>
        <v>中共党员</v>
      </c>
      <c r="I58" s="7" t="s">
        <v>10</v>
      </c>
      <c r="J58" s="2">
        <v>75.5</v>
      </c>
      <c r="K58" s="6"/>
    </row>
    <row r="59" spans="1:11" ht="24" customHeight="1">
      <c r="A59" s="6" t="s">
        <v>5</v>
      </c>
      <c r="B59" s="6" t="str">
        <f>"43022519910727102X"</f>
        <v>43022519910727102X</v>
      </c>
      <c r="C59" s="6" t="str">
        <f>"凌淼芳"</f>
        <v>凌淼芳</v>
      </c>
      <c r="D59" s="6" t="str">
        <f>"18565839353"</f>
        <v>18565839353</v>
      </c>
      <c r="E59" s="6" t="str">
        <f t="shared" si="15"/>
        <v>女</v>
      </c>
      <c r="F59" s="6" t="str">
        <f>"1991-07-27"</f>
        <v>1991-07-27</v>
      </c>
      <c r="G59" s="6" t="str">
        <f t="shared" si="14"/>
        <v>本科</v>
      </c>
      <c r="H59" s="6" t="str">
        <f>"群众"</f>
        <v>群众</v>
      </c>
      <c r="I59" s="7" t="s">
        <v>14</v>
      </c>
      <c r="J59" s="2">
        <v>75.5</v>
      </c>
      <c r="K59" s="6"/>
    </row>
    <row r="60" spans="1:11" ht="24" customHeight="1">
      <c r="A60" s="6" t="s">
        <v>5</v>
      </c>
      <c r="B60" s="6" t="str">
        <f>"430223199706257227"</f>
        <v>430223199706257227</v>
      </c>
      <c r="C60" s="6" t="str">
        <f>"刘陈以"</f>
        <v>刘陈以</v>
      </c>
      <c r="D60" s="6" t="str">
        <f>"17363830230"</f>
        <v>17363830230</v>
      </c>
      <c r="E60" s="6" t="str">
        <f t="shared" si="15"/>
        <v>女</v>
      </c>
      <c r="F60" s="6" t="str">
        <f>"1997-06-25"</f>
        <v>1997-06-25</v>
      </c>
      <c r="G60" s="6" t="str">
        <f t="shared" si="14"/>
        <v>本科</v>
      </c>
      <c r="H60" s="6" t="str">
        <f>"中共党员"</f>
        <v>中共党员</v>
      </c>
      <c r="I60" s="7" t="s">
        <v>12</v>
      </c>
      <c r="J60" s="2">
        <v>75.349999999999994</v>
      </c>
      <c r="K60" s="6"/>
    </row>
    <row r="61" spans="1:11" ht="24" customHeight="1">
      <c r="A61" s="6" t="s">
        <v>5</v>
      </c>
      <c r="B61" s="6" t="str">
        <f>"430223199803167223"</f>
        <v>430223199803167223</v>
      </c>
      <c r="C61" s="6" t="str">
        <f>"谢欣纯"</f>
        <v>谢欣纯</v>
      </c>
      <c r="D61" s="6" t="str">
        <f>"13341333050"</f>
        <v>13341333050</v>
      </c>
      <c r="E61" s="6" t="str">
        <f t="shared" si="15"/>
        <v>女</v>
      </c>
      <c r="F61" s="6" t="str">
        <f>"1998-03-16"</f>
        <v>1998-03-16</v>
      </c>
      <c r="G61" s="6" t="str">
        <f t="shared" si="14"/>
        <v>本科</v>
      </c>
      <c r="H61" s="6" t="str">
        <f>"共青团员"</f>
        <v>共青团员</v>
      </c>
      <c r="I61" s="7" t="s">
        <v>13</v>
      </c>
      <c r="J61" s="2">
        <v>75.3</v>
      </c>
      <c r="K61" s="6"/>
    </row>
    <row r="62" spans="1:11" ht="24" customHeight="1">
      <c r="A62" s="6" t="s">
        <v>5</v>
      </c>
      <c r="B62" s="6" t="str">
        <f>"430223198411271262"</f>
        <v>430223198411271262</v>
      </c>
      <c r="C62" s="6" t="str">
        <f>"王飞宇"</f>
        <v>王飞宇</v>
      </c>
      <c r="D62" s="6" t="str">
        <f>"13787818639"</f>
        <v>13787818639</v>
      </c>
      <c r="E62" s="6" t="str">
        <f t="shared" si="15"/>
        <v>女</v>
      </c>
      <c r="F62" s="6" t="str">
        <f>"1984-11-27"</f>
        <v>1984-11-27</v>
      </c>
      <c r="G62" s="6" t="str">
        <f t="shared" si="14"/>
        <v>本科</v>
      </c>
      <c r="H62" s="6" t="str">
        <f>"中共党员"</f>
        <v>中共党员</v>
      </c>
      <c r="I62" s="7" t="s">
        <v>6</v>
      </c>
      <c r="J62" s="2">
        <v>74.95</v>
      </c>
      <c r="K62" s="6"/>
    </row>
    <row r="63" spans="1:11" ht="24" customHeight="1">
      <c r="A63" s="6" t="s">
        <v>5</v>
      </c>
      <c r="B63" s="8" t="s">
        <v>144</v>
      </c>
      <c r="C63" s="9" t="s">
        <v>143</v>
      </c>
      <c r="D63" s="9">
        <v>15773396055</v>
      </c>
      <c r="E63" s="6" t="s">
        <v>141</v>
      </c>
      <c r="F63" s="6" t="str">
        <f>"1994-07-11"</f>
        <v>1994-07-11</v>
      </c>
      <c r="G63" s="6" t="s">
        <v>147</v>
      </c>
      <c r="H63" s="6" t="s">
        <v>148</v>
      </c>
      <c r="I63" s="10">
        <v>200726110116</v>
      </c>
      <c r="J63" s="2">
        <v>74.650000000000006</v>
      </c>
      <c r="K63" s="6" t="s">
        <v>142</v>
      </c>
    </row>
    <row r="64" spans="1:11" ht="24" customHeight="1">
      <c r="A64" s="6" t="s">
        <v>5</v>
      </c>
      <c r="B64" s="8" t="s">
        <v>146</v>
      </c>
      <c r="C64" s="9" t="s">
        <v>145</v>
      </c>
      <c r="D64" s="9">
        <v>15773370361</v>
      </c>
      <c r="E64" s="6" t="s">
        <v>135</v>
      </c>
      <c r="F64" s="6" t="str">
        <f>"1998-02-19"</f>
        <v>1998-02-19</v>
      </c>
      <c r="G64" s="6" t="s">
        <v>147</v>
      </c>
      <c r="H64" s="6" t="str">
        <f>"共青团员"</f>
        <v>共青团员</v>
      </c>
      <c r="I64" s="10">
        <v>200726111401</v>
      </c>
      <c r="J64" s="2">
        <v>74.55</v>
      </c>
      <c r="K64" s="6" t="s">
        <v>142</v>
      </c>
    </row>
    <row r="65" spans="1:11" ht="24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24" customHeight="1">
      <c r="A66" s="6" t="s">
        <v>15</v>
      </c>
      <c r="B66" s="6" t="str">
        <f>"430224198910152483"</f>
        <v>430224198910152483</v>
      </c>
      <c r="C66" s="6" t="str">
        <f>"段林风"</f>
        <v>段林风</v>
      </c>
      <c r="D66" s="6" t="str">
        <f>"18670847857"</f>
        <v>18670847857</v>
      </c>
      <c r="E66" s="6" t="str">
        <f t="shared" ref="E66:E69" si="16">"女"</f>
        <v>女</v>
      </c>
      <c r="F66" s="6" t="str">
        <f>"1989-10-15"</f>
        <v>1989-10-15</v>
      </c>
      <c r="G66" s="6" t="str">
        <f>"大专"</f>
        <v>大专</v>
      </c>
      <c r="H66" s="6" t="str">
        <f>"群众"</f>
        <v>群众</v>
      </c>
      <c r="I66" s="7" t="s">
        <v>18</v>
      </c>
      <c r="J66" s="2">
        <v>76.349999999999994</v>
      </c>
      <c r="K66" s="6"/>
    </row>
    <row r="67" spans="1:11" ht="24" customHeight="1">
      <c r="A67" s="6" t="s">
        <v>15</v>
      </c>
      <c r="B67" s="6" t="str">
        <f>"43022119961021262X"</f>
        <v>43022119961021262X</v>
      </c>
      <c r="C67" s="6" t="str">
        <f>"李鑫"</f>
        <v>李鑫</v>
      </c>
      <c r="D67" s="6" t="str">
        <f>"19158211512"</f>
        <v>19158211512</v>
      </c>
      <c r="E67" s="6" t="str">
        <f t="shared" si="16"/>
        <v>女</v>
      </c>
      <c r="F67" s="6" t="str">
        <f>"1996-10-21"</f>
        <v>1996-10-21</v>
      </c>
      <c r="G67" s="6" t="str">
        <f>"本科"</f>
        <v>本科</v>
      </c>
      <c r="H67" s="6" t="str">
        <f>"共青团员"</f>
        <v>共青团员</v>
      </c>
      <c r="I67" s="7" t="s">
        <v>16</v>
      </c>
      <c r="J67" s="2">
        <v>73.650000000000006</v>
      </c>
      <c r="K67" s="6"/>
    </row>
    <row r="68" spans="1:11" ht="24" customHeight="1">
      <c r="A68" s="6" t="s">
        <v>15</v>
      </c>
      <c r="B68" s="6" t="str">
        <f>"430224198710080104"</f>
        <v>430224198710080104</v>
      </c>
      <c r="C68" s="6" t="str">
        <f>"宁雪丰"</f>
        <v>宁雪丰</v>
      </c>
      <c r="D68" s="6" t="str">
        <f>"13762377404"</f>
        <v>13762377404</v>
      </c>
      <c r="E68" s="6" t="str">
        <f t="shared" si="16"/>
        <v>女</v>
      </c>
      <c r="F68" s="6" t="str">
        <f>"1987-10-08"</f>
        <v>1987-10-08</v>
      </c>
      <c r="G68" s="6" t="str">
        <f>"本科"</f>
        <v>本科</v>
      </c>
      <c r="H68" s="6" t="str">
        <f>"群众"</f>
        <v>群众</v>
      </c>
      <c r="I68" s="7" t="s">
        <v>17</v>
      </c>
      <c r="J68" s="2">
        <v>69.2</v>
      </c>
      <c r="K68" s="6"/>
    </row>
    <row r="69" spans="1:11" ht="24" customHeight="1">
      <c r="A69" s="6" t="s">
        <v>15</v>
      </c>
      <c r="B69" s="8" t="s">
        <v>150</v>
      </c>
      <c r="C69" s="9" t="s">
        <v>149</v>
      </c>
      <c r="D69" s="9">
        <v>18670812184</v>
      </c>
      <c r="E69" s="6" t="str">
        <f t="shared" si="16"/>
        <v>女</v>
      </c>
      <c r="F69" s="6" t="str">
        <f>"1995-06-11"</f>
        <v>1995-06-11</v>
      </c>
      <c r="G69" s="6" t="str">
        <f>"大专"</f>
        <v>大专</v>
      </c>
      <c r="H69" s="6" t="str">
        <f>"群众"</f>
        <v>群众</v>
      </c>
      <c r="I69" s="10">
        <v>200726112414</v>
      </c>
      <c r="J69" s="2">
        <v>68.75</v>
      </c>
      <c r="K69" s="6" t="s">
        <v>142</v>
      </c>
    </row>
    <row r="70" spans="1:11" ht="24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24" customHeight="1">
      <c r="A71" s="6" t="s">
        <v>27</v>
      </c>
      <c r="B71" s="6" t="str">
        <f>"430281199310251316"</f>
        <v>430281199310251316</v>
      </c>
      <c r="C71" s="6" t="str">
        <f>"杨童昕"</f>
        <v>杨童昕</v>
      </c>
      <c r="D71" s="6" t="str">
        <f>"15501501403"</f>
        <v>15501501403</v>
      </c>
      <c r="E71" s="6" t="str">
        <f>"男"</f>
        <v>男</v>
      </c>
      <c r="F71" s="6" t="str">
        <f>"1993-10-25"</f>
        <v>1993-10-25</v>
      </c>
      <c r="G71" s="6" t="str">
        <f>"本科"</f>
        <v>本科</v>
      </c>
      <c r="H71" s="6" t="str">
        <f>"中共党员"</f>
        <v>中共党员</v>
      </c>
      <c r="I71" s="7" t="s">
        <v>28</v>
      </c>
      <c r="J71" s="2">
        <v>75.150000000000006</v>
      </c>
      <c r="K71" s="6"/>
    </row>
    <row r="72" spans="1:11" ht="24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24" customHeight="1">
      <c r="A73" s="6" t="s">
        <v>19</v>
      </c>
      <c r="B73" s="6" t="str">
        <f>"430223199211067229"</f>
        <v>430223199211067229</v>
      </c>
      <c r="C73" s="6" t="str">
        <f>"夏苗"</f>
        <v>夏苗</v>
      </c>
      <c r="D73" s="6" t="str">
        <f>"15773367337"</f>
        <v>15773367337</v>
      </c>
      <c r="E73" s="6" t="str">
        <f>"女"</f>
        <v>女</v>
      </c>
      <c r="F73" s="6" t="str">
        <f>"1992-11-06"</f>
        <v>1992-11-06</v>
      </c>
      <c r="G73" s="6" t="str">
        <f>"大专"</f>
        <v>大专</v>
      </c>
      <c r="H73" s="6" t="str">
        <f>"群众"</f>
        <v>群众</v>
      </c>
      <c r="I73" s="7" t="s">
        <v>21</v>
      </c>
      <c r="J73" s="2">
        <v>74.849999999999994</v>
      </c>
      <c r="K73" s="6"/>
    </row>
    <row r="74" spans="1:11" ht="24" customHeight="1">
      <c r="A74" s="6" t="s">
        <v>19</v>
      </c>
      <c r="B74" s="6" t="str">
        <f>"430223199509288016"</f>
        <v>430223199509288016</v>
      </c>
      <c r="C74" s="6" t="str">
        <f>"贺凌鹏"</f>
        <v>贺凌鹏</v>
      </c>
      <c r="D74" s="6" t="str">
        <f>"13667433889"</f>
        <v>13667433889</v>
      </c>
      <c r="E74" s="6" t="str">
        <f>"男"</f>
        <v>男</v>
      </c>
      <c r="F74" s="6" t="str">
        <f>"1995-09-28"</f>
        <v>1995-09-28</v>
      </c>
      <c r="G74" s="6" t="str">
        <f>"本科"</f>
        <v>本科</v>
      </c>
      <c r="H74" s="6" t="str">
        <f>"群众"</f>
        <v>群众</v>
      </c>
      <c r="I74" s="7" t="s">
        <v>20</v>
      </c>
      <c r="J74" s="2">
        <v>70.3</v>
      </c>
      <c r="K74" s="6"/>
    </row>
    <row r="75" spans="1:11" ht="24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24" customHeight="1">
      <c r="A76" s="6" t="s">
        <v>25</v>
      </c>
      <c r="B76" s="6" t="str">
        <f>"340521199403033316"</f>
        <v>340521199403033316</v>
      </c>
      <c r="C76" s="6" t="str">
        <f>"汪厚斌"</f>
        <v>汪厚斌</v>
      </c>
      <c r="D76" s="6" t="str">
        <f>"17100211994"</f>
        <v>17100211994</v>
      </c>
      <c r="E76" s="6" t="str">
        <f t="shared" ref="E76" si="17">"男"</f>
        <v>男</v>
      </c>
      <c r="F76" s="6" t="str">
        <f>"1994-03-03"</f>
        <v>1994-03-03</v>
      </c>
      <c r="G76" s="6" t="str">
        <f>"本科"</f>
        <v>本科</v>
      </c>
      <c r="H76" s="6" t="str">
        <f t="shared" ref="H76:H79" si="18">"共青团员"</f>
        <v>共青团员</v>
      </c>
      <c r="I76" s="7" t="s">
        <v>26</v>
      </c>
      <c r="J76" s="2">
        <v>73.55</v>
      </c>
      <c r="K76" s="6"/>
    </row>
    <row r="77" spans="1:11" ht="24" customHeight="1">
      <c r="A77" s="6" t="s">
        <v>25</v>
      </c>
      <c r="B77" s="6" t="str">
        <f>"371326199601145519"</f>
        <v>371326199601145519</v>
      </c>
      <c r="C77" s="6" t="str">
        <f>"梁栋"</f>
        <v>梁栋</v>
      </c>
      <c r="D77" s="6" t="str">
        <f>"18315663163"</f>
        <v>18315663163</v>
      </c>
      <c r="E77" s="6" t="str">
        <f>"男"</f>
        <v>男</v>
      </c>
      <c r="F77" s="6" t="str">
        <f>"1996-01-14"</f>
        <v>1996-01-14</v>
      </c>
      <c r="G77" s="6" t="str">
        <f t="shared" ref="G77:G79" si="19">"大专"</f>
        <v>大专</v>
      </c>
      <c r="H77" s="6" t="str">
        <f t="shared" si="18"/>
        <v>共青团员</v>
      </c>
      <c r="I77" s="7" t="s">
        <v>24</v>
      </c>
      <c r="J77" s="2">
        <v>67.7</v>
      </c>
      <c r="K77" s="6"/>
    </row>
    <row r="78" spans="1:11" ht="24" customHeight="1">
      <c r="A78" s="6" t="s">
        <v>25</v>
      </c>
      <c r="B78" s="8" t="s">
        <v>152</v>
      </c>
      <c r="C78" s="9" t="s">
        <v>151</v>
      </c>
      <c r="D78" s="9">
        <v>15197389710</v>
      </c>
      <c r="E78" s="6" t="s">
        <v>135</v>
      </c>
      <c r="F78" s="6" t="str">
        <f>"1995-01-19"</f>
        <v>1995-01-19</v>
      </c>
      <c r="G78" s="6" t="str">
        <f t="shared" si="19"/>
        <v>大专</v>
      </c>
      <c r="H78" s="6" t="str">
        <f t="shared" si="18"/>
        <v>共青团员</v>
      </c>
      <c r="I78" s="10">
        <v>200726112722</v>
      </c>
      <c r="J78" s="2">
        <v>67.55</v>
      </c>
      <c r="K78" s="6" t="s">
        <v>142</v>
      </c>
    </row>
    <row r="79" spans="1:11" ht="24" customHeight="1">
      <c r="A79" s="6" t="s">
        <v>25</v>
      </c>
      <c r="B79" s="8" t="s">
        <v>154</v>
      </c>
      <c r="C79" s="9" t="s">
        <v>153</v>
      </c>
      <c r="D79" s="9">
        <v>18175728889</v>
      </c>
      <c r="E79" s="6" t="s">
        <v>141</v>
      </c>
      <c r="F79" s="6" t="str">
        <f>"1993-11-25"</f>
        <v>1993-11-25</v>
      </c>
      <c r="G79" s="6" t="str">
        <f t="shared" si="19"/>
        <v>大专</v>
      </c>
      <c r="H79" s="6" t="str">
        <f t="shared" si="18"/>
        <v>共青团员</v>
      </c>
      <c r="I79" s="10">
        <v>200726112725</v>
      </c>
      <c r="J79" s="2">
        <v>67.2</v>
      </c>
      <c r="K79" s="6" t="s">
        <v>142</v>
      </c>
    </row>
    <row r="80" spans="1:11" ht="24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24" customHeight="1">
      <c r="A81" s="6" t="s">
        <v>22</v>
      </c>
      <c r="B81" s="6" t="str">
        <f>"430223198711299531"</f>
        <v>430223198711299531</v>
      </c>
      <c r="C81" s="6" t="str">
        <f>"罗坤"</f>
        <v>罗坤</v>
      </c>
      <c r="D81" s="6" t="str">
        <f>"18773312528"</f>
        <v>18773312528</v>
      </c>
      <c r="E81" s="6" t="str">
        <f>"男"</f>
        <v>男</v>
      </c>
      <c r="F81" s="6" t="str">
        <f>"1987-11-29"</f>
        <v>1987-11-29</v>
      </c>
      <c r="G81" s="6" t="str">
        <f>"本科"</f>
        <v>本科</v>
      </c>
      <c r="H81" s="6" t="str">
        <f>"中共党员"</f>
        <v>中共党员</v>
      </c>
      <c r="I81" s="7" t="s">
        <v>23</v>
      </c>
      <c r="J81" s="2">
        <v>73.5</v>
      </c>
      <c r="K81" s="6"/>
    </row>
    <row r="82" spans="1:11" ht="24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24" customHeight="1">
      <c r="A83" s="6" t="s">
        <v>56</v>
      </c>
      <c r="B83" s="6" t="str">
        <f>"430223199612047229"</f>
        <v>430223199612047229</v>
      </c>
      <c r="C83" s="6" t="str">
        <f>"黄慕云"</f>
        <v>黄慕云</v>
      </c>
      <c r="D83" s="6" t="str">
        <f>"18674800412"</f>
        <v>18674800412</v>
      </c>
      <c r="E83" s="6" t="str">
        <f t="shared" ref="E83" si="20">"女"</f>
        <v>女</v>
      </c>
      <c r="F83" s="6" t="str">
        <f>"1996-12-04"</f>
        <v>1996-12-04</v>
      </c>
      <c r="G83" s="6" t="str">
        <f t="shared" ref="G83:G90" si="21">"本科"</f>
        <v>本科</v>
      </c>
      <c r="H83" s="6" t="str">
        <f>"共青团员"</f>
        <v>共青团员</v>
      </c>
      <c r="I83" s="7" t="s">
        <v>57</v>
      </c>
      <c r="J83" s="2">
        <v>71.7</v>
      </c>
      <c r="K83" s="6"/>
    </row>
    <row r="84" spans="1:11" ht="24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24" customHeight="1">
      <c r="A85" s="6" t="s">
        <v>75</v>
      </c>
      <c r="B85" s="6" t="str">
        <f>"430223198506277464"</f>
        <v>430223198506277464</v>
      </c>
      <c r="C85" s="6" t="str">
        <f>"易琦"</f>
        <v>易琦</v>
      </c>
      <c r="D85" s="6" t="str">
        <f>"13873305366"</f>
        <v>13873305366</v>
      </c>
      <c r="E85" s="6" t="str">
        <f>"女"</f>
        <v>女</v>
      </c>
      <c r="F85" s="6" t="str">
        <f>"1985-06-27"</f>
        <v>1985-06-27</v>
      </c>
      <c r="G85" s="6" t="str">
        <f t="shared" si="21"/>
        <v>本科</v>
      </c>
      <c r="H85" s="6" t="str">
        <f>"中共党员"</f>
        <v>中共党员</v>
      </c>
      <c r="I85" s="7" t="s">
        <v>77</v>
      </c>
      <c r="J85" s="2">
        <v>72.55</v>
      </c>
      <c r="K85" s="6"/>
    </row>
    <row r="86" spans="1:11" ht="24" customHeight="1">
      <c r="A86" s="6" t="s">
        <v>75</v>
      </c>
      <c r="B86" s="6" t="str">
        <f>"43022319950305872X"</f>
        <v>43022319950305872X</v>
      </c>
      <c r="C86" s="6" t="str">
        <f>"刘嘉"</f>
        <v>刘嘉</v>
      </c>
      <c r="D86" s="6" t="str">
        <f>"18216045261"</f>
        <v>18216045261</v>
      </c>
      <c r="E86" s="6" t="str">
        <f>"女"</f>
        <v>女</v>
      </c>
      <c r="F86" s="6" t="str">
        <f>"1995-03-05"</f>
        <v>1995-03-05</v>
      </c>
      <c r="G86" s="6" t="str">
        <f t="shared" si="21"/>
        <v>本科</v>
      </c>
      <c r="H86" s="6" t="str">
        <f>"中共党员"</f>
        <v>中共党员</v>
      </c>
      <c r="I86" s="7" t="s">
        <v>128</v>
      </c>
      <c r="J86" s="2">
        <v>69.900000000000006</v>
      </c>
      <c r="K86" s="6"/>
    </row>
    <row r="87" spans="1:11" ht="24" customHeight="1">
      <c r="A87" s="6" t="s">
        <v>75</v>
      </c>
      <c r="B87" s="6" t="str">
        <f>"431027199711052811"</f>
        <v>431027199711052811</v>
      </c>
      <c r="C87" s="6" t="str">
        <f>"郭挺"</f>
        <v>郭挺</v>
      </c>
      <c r="D87" s="6" t="str">
        <f>"15674217220"</f>
        <v>15674217220</v>
      </c>
      <c r="E87" s="6" t="str">
        <f>"男"</f>
        <v>男</v>
      </c>
      <c r="F87" s="6" t="str">
        <f>"1997-11-05"</f>
        <v>1997-11-05</v>
      </c>
      <c r="G87" s="6" t="str">
        <f t="shared" si="21"/>
        <v>本科</v>
      </c>
      <c r="H87" s="6" t="str">
        <f>"共青团员"</f>
        <v>共青团员</v>
      </c>
      <c r="I87" s="7" t="s">
        <v>76</v>
      </c>
      <c r="J87" s="2">
        <v>69.75</v>
      </c>
      <c r="K87" s="6"/>
    </row>
    <row r="88" spans="1:11" ht="24" customHeight="1">
      <c r="A88" s="6" t="s">
        <v>75</v>
      </c>
      <c r="B88" s="6" t="str">
        <f>"430204199710052014"</f>
        <v>430204199710052014</v>
      </c>
      <c r="C88" s="6" t="str">
        <f>"林远志"</f>
        <v>林远志</v>
      </c>
      <c r="D88" s="6" t="str">
        <f>"13907338590"</f>
        <v>13907338590</v>
      </c>
      <c r="E88" s="6" t="str">
        <f>"男"</f>
        <v>男</v>
      </c>
      <c r="F88" s="6" t="str">
        <f>"1997-10-05"</f>
        <v>1997-10-05</v>
      </c>
      <c r="G88" s="6" t="str">
        <f t="shared" si="21"/>
        <v>本科</v>
      </c>
      <c r="H88" s="6" t="str">
        <f>"共青团员"</f>
        <v>共青团员</v>
      </c>
      <c r="I88" s="7" t="s">
        <v>78</v>
      </c>
      <c r="J88" s="2">
        <v>68.8</v>
      </c>
      <c r="K88" s="6"/>
    </row>
    <row r="89" spans="1:11" ht="24" customHeight="1">
      <c r="A89" s="6" t="s">
        <v>75</v>
      </c>
      <c r="B89" s="6" t="str">
        <f>"430223199706178748"</f>
        <v>430223199706178748</v>
      </c>
      <c r="C89" s="6" t="str">
        <f>"夏琳"</f>
        <v>夏琳</v>
      </c>
      <c r="D89" s="6" t="str">
        <f>"18700827503"</f>
        <v>18700827503</v>
      </c>
      <c r="E89" s="6" t="str">
        <f>"女"</f>
        <v>女</v>
      </c>
      <c r="F89" s="6" t="str">
        <f>"1997-06-17"</f>
        <v>1997-06-17</v>
      </c>
      <c r="G89" s="6" t="str">
        <f t="shared" si="21"/>
        <v>本科</v>
      </c>
      <c r="H89" s="6" t="str">
        <f>"共青团员"</f>
        <v>共青团员</v>
      </c>
      <c r="I89" s="7" t="s">
        <v>130</v>
      </c>
      <c r="J89" s="2">
        <v>68.8</v>
      </c>
      <c r="K89" s="6"/>
    </row>
    <row r="90" spans="1:11" ht="24" customHeight="1">
      <c r="A90" s="6" t="s">
        <v>75</v>
      </c>
      <c r="B90" s="6" t="str">
        <f>"430223199107013829"</f>
        <v>430223199107013829</v>
      </c>
      <c r="C90" s="6" t="str">
        <f>"付雅君"</f>
        <v>付雅君</v>
      </c>
      <c r="D90" s="6" t="str">
        <f>"13874195927"</f>
        <v>13874195927</v>
      </c>
      <c r="E90" s="6" t="str">
        <f>"女"</f>
        <v>女</v>
      </c>
      <c r="F90" s="6" t="str">
        <f>"1991-07-01"</f>
        <v>1991-07-01</v>
      </c>
      <c r="G90" s="6" t="str">
        <f t="shared" si="21"/>
        <v>本科</v>
      </c>
      <c r="H90" s="6" t="str">
        <f>"中共党员"</f>
        <v>中共党员</v>
      </c>
      <c r="I90" s="7" t="s">
        <v>129</v>
      </c>
      <c r="J90" s="2">
        <v>68.8</v>
      </c>
      <c r="K90" s="6"/>
    </row>
    <row r="91" spans="1:11" ht="24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24" customHeight="1">
      <c r="A92" s="6" t="s">
        <v>85</v>
      </c>
      <c r="B92" s="6" t="str">
        <f>"430223199503183520"</f>
        <v>430223199503183520</v>
      </c>
      <c r="C92" s="6" t="str">
        <f>"王迪波"</f>
        <v>王迪波</v>
      </c>
      <c r="D92" s="6" t="str">
        <f>"18850331631"</f>
        <v>18850331631</v>
      </c>
      <c r="E92" s="6" t="str">
        <f t="shared" ref="E92:E93" si="22">"女"</f>
        <v>女</v>
      </c>
      <c r="F92" s="6" t="str">
        <f>"1995-03-18"</f>
        <v>1995-03-18</v>
      </c>
      <c r="G92" s="6" t="str">
        <f t="shared" ref="G92:G94" si="23">"本科"</f>
        <v>本科</v>
      </c>
      <c r="H92" s="6" t="str">
        <f>"共青团员"</f>
        <v>共青团员</v>
      </c>
      <c r="I92" s="7" t="s">
        <v>88</v>
      </c>
      <c r="J92" s="2">
        <v>79.7</v>
      </c>
      <c r="K92" s="6"/>
    </row>
    <row r="93" spans="1:11" ht="24" customHeight="1">
      <c r="A93" s="6" t="s">
        <v>85</v>
      </c>
      <c r="B93" s="6" t="str">
        <f>"430281199307271623"</f>
        <v>430281199307271623</v>
      </c>
      <c r="C93" s="6" t="str">
        <f>"苏姗姗"</f>
        <v>苏姗姗</v>
      </c>
      <c r="D93" s="6" t="str">
        <f>"18684566214"</f>
        <v>18684566214</v>
      </c>
      <c r="E93" s="6" t="str">
        <f t="shared" si="22"/>
        <v>女</v>
      </c>
      <c r="F93" s="6" t="str">
        <f>"1993-07-27"</f>
        <v>1993-07-27</v>
      </c>
      <c r="G93" s="6" t="str">
        <f t="shared" si="23"/>
        <v>本科</v>
      </c>
      <c r="H93" s="6" t="str">
        <f>"中共党员"</f>
        <v>中共党员</v>
      </c>
      <c r="I93" s="7" t="s">
        <v>86</v>
      </c>
      <c r="J93" s="2">
        <v>77.599999999999994</v>
      </c>
      <c r="K93" s="6"/>
    </row>
    <row r="94" spans="1:11" ht="24" customHeight="1">
      <c r="A94" s="6" t="s">
        <v>85</v>
      </c>
      <c r="B94" s="6" t="str">
        <f>"430224199807070038"</f>
        <v>430224199807070038</v>
      </c>
      <c r="C94" s="6" t="str">
        <f>"张茳贤"</f>
        <v>张茳贤</v>
      </c>
      <c r="D94" s="6" t="str">
        <f>"15197320733"</f>
        <v>15197320733</v>
      </c>
      <c r="E94" s="6" t="str">
        <f t="shared" ref="E94" si="24">"男"</f>
        <v>男</v>
      </c>
      <c r="F94" s="6" t="str">
        <f>"1998-07-07"</f>
        <v>1998-07-07</v>
      </c>
      <c r="G94" s="6" t="str">
        <f t="shared" si="23"/>
        <v>本科</v>
      </c>
      <c r="H94" s="6" t="str">
        <f>"共青团员"</f>
        <v>共青团员</v>
      </c>
      <c r="I94" s="7" t="s">
        <v>87</v>
      </c>
      <c r="J94" s="2">
        <v>71.05</v>
      </c>
      <c r="K94" s="6"/>
    </row>
    <row r="95" spans="1:11" ht="24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24" customHeight="1">
      <c r="A96" s="6" t="s">
        <v>30</v>
      </c>
      <c r="B96" s="6" t="str">
        <f>"430922199403133827"</f>
        <v>430922199403133827</v>
      </c>
      <c r="C96" s="6" t="str">
        <f>"陈莉"</f>
        <v>陈莉</v>
      </c>
      <c r="D96" s="6" t="str">
        <f>"15200939739"</f>
        <v>15200939739</v>
      </c>
      <c r="E96" s="6" t="str">
        <f>"女"</f>
        <v>女</v>
      </c>
      <c r="F96" s="6" t="str">
        <f>"1994-03-13"</f>
        <v>1994-03-13</v>
      </c>
      <c r="G96" s="6" t="str">
        <f t="shared" ref="G96:G97" si="25">"本科"</f>
        <v>本科</v>
      </c>
      <c r="H96" s="6" t="str">
        <f>"共青团员"</f>
        <v>共青团员</v>
      </c>
      <c r="I96" s="7" t="s">
        <v>33</v>
      </c>
      <c r="J96" s="2">
        <v>77.150000000000006</v>
      </c>
      <c r="K96" s="6"/>
    </row>
    <row r="97" spans="1:11" ht="24" customHeight="1">
      <c r="A97" s="6" t="s">
        <v>30</v>
      </c>
      <c r="B97" s="6" t="str">
        <f>"430223199307095128"</f>
        <v>430223199307095128</v>
      </c>
      <c r="C97" s="6" t="str">
        <f>"付衡良"</f>
        <v>付衡良</v>
      </c>
      <c r="D97" s="6" t="str">
        <f>"15607412942"</f>
        <v>15607412942</v>
      </c>
      <c r="E97" s="6" t="str">
        <f>"女"</f>
        <v>女</v>
      </c>
      <c r="F97" s="6" t="str">
        <f>"1993-07-09"</f>
        <v>1993-07-09</v>
      </c>
      <c r="G97" s="6" t="str">
        <f t="shared" si="25"/>
        <v>本科</v>
      </c>
      <c r="H97" s="6" t="str">
        <f>"共青团员"</f>
        <v>共青团员</v>
      </c>
      <c r="I97" s="7" t="s">
        <v>29</v>
      </c>
      <c r="J97" s="2">
        <v>71.7</v>
      </c>
      <c r="K97" s="6"/>
    </row>
    <row r="98" spans="1:11" ht="24" customHeight="1">
      <c r="A98" s="6" t="s">
        <v>30</v>
      </c>
      <c r="B98" s="6" t="str">
        <f>"431124198711025137"</f>
        <v>431124198711025137</v>
      </c>
      <c r="C98" s="6" t="str">
        <f>"蒋文"</f>
        <v>蒋文</v>
      </c>
      <c r="D98" s="6" t="str">
        <f>"15675319696"</f>
        <v>15675319696</v>
      </c>
      <c r="E98" s="6" t="str">
        <f>"男"</f>
        <v>男</v>
      </c>
      <c r="F98" s="6" t="str">
        <f>"1987-11-02"</f>
        <v>1987-11-02</v>
      </c>
      <c r="G98" s="6" t="str">
        <f>"大专"</f>
        <v>大专</v>
      </c>
      <c r="H98" s="6" t="str">
        <f>"共青团员"</f>
        <v>共青团员</v>
      </c>
      <c r="I98" s="7" t="s">
        <v>31</v>
      </c>
      <c r="J98" s="2">
        <v>68.900000000000006</v>
      </c>
      <c r="K98" s="6"/>
    </row>
    <row r="99" spans="1:11" ht="24" customHeight="1">
      <c r="A99" s="6" t="s">
        <v>30</v>
      </c>
      <c r="B99" s="6" t="str">
        <f>"430381199701257112"</f>
        <v>430381199701257112</v>
      </c>
      <c r="C99" s="6" t="str">
        <f>"刘茂林"</f>
        <v>刘茂林</v>
      </c>
      <c r="D99" s="6" t="str">
        <f>"18673242077"</f>
        <v>18673242077</v>
      </c>
      <c r="E99" s="6" t="str">
        <f>"男"</f>
        <v>男</v>
      </c>
      <c r="F99" s="6" t="str">
        <f>"1997-01-25"</f>
        <v>1997-01-25</v>
      </c>
      <c r="G99" s="6" t="str">
        <f>"本科"</f>
        <v>本科</v>
      </c>
      <c r="H99" s="6" t="str">
        <f>"共青团员"</f>
        <v>共青团员</v>
      </c>
      <c r="I99" s="7" t="s">
        <v>32</v>
      </c>
      <c r="J99" s="2">
        <v>68.8</v>
      </c>
      <c r="K99" s="6"/>
    </row>
    <row r="100" spans="1:11" ht="24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24" customHeight="1">
      <c r="A101" s="6" t="s">
        <v>34</v>
      </c>
      <c r="B101" s="6" t="str">
        <f>"430281199210106058"</f>
        <v>430281199210106058</v>
      </c>
      <c r="C101" s="6" t="str">
        <f>"陈石峰"</f>
        <v>陈石峰</v>
      </c>
      <c r="D101" s="6" t="str">
        <f>"18878509788"</f>
        <v>18878509788</v>
      </c>
      <c r="E101" s="6" t="str">
        <f t="shared" ref="E101:E104" si="26">"男"</f>
        <v>男</v>
      </c>
      <c r="F101" s="6" t="str">
        <f>"1992-10-10"</f>
        <v>1992-10-10</v>
      </c>
      <c r="G101" s="6" t="str">
        <f t="shared" ref="G101:G104" si="27">"本科"</f>
        <v>本科</v>
      </c>
      <c r="H101" s="6" t="str">
        <f t="shared" ref="H101:H103" si="28">"共青团员"</f>
        <v>共青团员</v>
      </c>
      <c r="I101" s="7" t="s">
        <v>38</v>
      </c>
      <c r="J101" s="2">
        <v>78.099999999999994</v>
      </c>
      <c r="K101" s="6"/>
    </row>
    <row r="102" spans="1:11" ht="24" customHeight="1">
      <c r="A102" s="6" t="s">
        <v>34</v>
      </c>
      <c r="B102" s="6" t="str">
        <f>"431028199405190016"</f>
        <v>431028199405190016</v>
      </c>
      <c r="C102" s="6" t="str">
        <f>"何灏"</f>
        <v>何灏</v>
      </c>
      <c r="D102" s="6" t="str">
        <f>"18570746661"</f>
        <v>18570746661</v>
      </c>
      <c r="E102" s="6" t="str">
        <f t="shared" si="26"/>
        <v>男</v>
      </c>
      <c r="F102" s="6" t="str">
        <f>"1994-05-19"</f>
        <v>1994-05-19</v>
      </c>
      <c r="G102" s="6" t="str">
        <f t="shared" si="27"/>
        <v>本科</v>
      </c>
      <c r="H102" s="6" t="str">
        <f t="shared" si="28"/>
        <v>共青团员</v>
      </c>
      <c r="I102" s="7" t="s">
        <v>37</v>
      </c>
      <c r="J102" s="2">
        <v>75.849999999999994</v>
      </c>
      <c r="K102" s="6"/>
    </row>
    <row r="103" spans="1:11" ht="24" customHeight="1">
      <c r="A103" s="6" t="s">
        <v>34</v>
      </c>
      <c r="B103" s="6" t="str">
        <f>"320830199303011012"</f>
        <v>320830199303011012</v>
      </c>
      <c r="C103" s="6" t="str">
        <f>"李强"</f>
        <v>李强</v>
      </c>
      <c r="D103" s="6" t="str">
        <f>"15996298963"</f>
        <v>15996298963</v>
      </c>
      <c r="E103" s="6" t="str">
        <f t="shared" si="26"/>
        <v>男</v>
      </c>
      <c r="F103" s="6" t="str">
        <f>"1993-03-01"</f>
        <v>1993-03-01</v>
      </c>
      <c r="G103" s="6" t="str">
        <f t="shared" si="27"/>
        <v>本科</v>
      </c>
      <c r="H103" s="6" t="str">
        <f t="shared" si="28"/>
        <v>共青团员</v>
      </c>
      <c r="I103" s="7" t="s">
        <v>35</v>
      </c>
      <c r="J103" s="2">
        <v>70.95</v>
      </c>
      <c r="K103" s="6"/>
    </row>
    <row r="104" spans="1:11" ht="24" customHeight="1">
      <c r="A104" s="6" t="s">
        <v>34</v>
      </c>
      <c r="B104" s="6" t="str">
        <f>"430223198712161278"</f>
        <v>430223198712161278</v>
      </c>
      <c r="C104" s="6" t="str">
        <f>"李力"</f>
        <v>李力</v>
      </c>
      <c r="D104" s="6" t="str">
        <f>"13215122322"</f>
        <v>13215122322</v>
      </c>
      <c r="E104" s="6" t="str">
        <f t="shared" si="26"/>
        <v>男</v>
      </c>
      <c r="F104" s="6" t="str">
        <f>"1987-12-16"</f>
        <v>1987-12-16</v>
      </c>
      <c r="G104" s="6" t="str">
        <f t="shared" si="27"/>
        <v>本科</v>
      </c>
      <c r="H104" s="6" t="str">
        <f>"群众"</f>
        <v>群众</v>
      </c>
      <c r="I104" s="7" t="s">
        <v>36</v>
      </c>
      <c r="J104" s="2">
        <v>70.5</v>
      </c>
      <c r="K104" s="6"/>
    </row>
    <row r="105" spans="1:11" ht="24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24" customHeight="1">
      <c r="A106" s="6" t="s">
        <v>40</v>
      </c>
      <c r="B106" s="6" t="str">
        <f>"430181198412291896"</f>
        <v>430181198412291896</v>
      </c>
      <c r="C106" s="6" t="str">
        <f>"陈耀"</f>
        <v>陈耀</v>
      </c>
      <c r="D106" s="6" t="str">
        <f>"18874717448"</f>
        <v>18874717448</v>
      </c>
      <c r="E106" s="6" t="str">
        <f t="shared" ref="E106:E107" si="29">"男"</f>
        <v>男</v>
      </c>
      <c r="F106" s="6" t="str">
        <f>"1984-12-29"</f>
        <v>1984-12-29</v>
      </c>
      <c r="G106" s="6" t="str">
        <f t="shared" ref="G106:G109" si="30">"本科"</f>
        <v>本科</v>
      </c>
      <c r="H106" s="6" t="str">
        <f>"群众"</f>
        <v>群众</v>
      </c>
      <c r="I106" s="7" t="s">
        <v>42</v>
      </c>
      <c r="J106" s="2">
        <v>72.8</v>
      </c>
      <c r="K106" s="6"/>
    </row>
    <row r="107" spans="1:11" ht="24" customHeight="1">
      <c r="A107" s="6" t="s">
        <v>40</v>
      </c>
      <c r="B107" s="6" t="str">
        <f>"430525199711270054"</f>
        <v>430525199711270054</v>
      </c>
      <c r="C107" s="6" t="str">
        <f>"肖岳"</f>
        <v>肖岳</v>
      </c>
      <c r="D107" s="6" t="str">
        <f>"18528171033"</f>
        <v>18528171033</v>
      </c>
      <c r="E107" s="6" t="str">
        <f t="shared" si="29"/>
        <v>男</v>
      </c>
      <c r="F107" s="6" t="str">
        <f>"1997-11-27"</f>
        <v>1997-11-27</v>
      </c>
      <c r="G107" s="6" t="str">
        <f t="shared" si="30"/>
        <v>本科</v>
      </c>
      <c r="H107" s="6" t="str">
        <f>"共青团员"</f>
        <v>共青团员</v>
      </c>
      <c r="I107" s="7" t="s">
        <v>39</v>
      </c>
      <c r="J107" s="2">
        <v>72.3</v>
      </c>
      <c r="K107" s="6"/>
    </row>
    <row r="108" spans="1:11" ht="24" customHeight="1">
      <c r="A108" s="6" t="s">
        <v>40</v>
      </c>
      <c r="B108" s="6" t="str">
        <f>"430223199008126529"</f>
        <v>430223199008126529</v>
      </c>
      <c r="C108" s="6" t="str">
        <f>"谭晓蒙"</f>
        <v>谭晓蒙</v>
      </c>
      <c r="D108" s="6" t="str">
        <f>"15273128934"</f>
        <v>15273128934</v>
      </c>
      <c r="E108" s="6" t="str">
        <f>"女"</f>
        <v>女</v>
      </c>
      <c r="F108" s="6" t="str">
        <f>"1990-08-12"</f>
        <v>1990-08-12</v>
      </c>
      <c r="G108" s="6" t="str">
        <f t="shared" si="30"/>
        <v>本科</v>
      </c>
      <c r="H108" s="6" t="str">
        <f>"共青团员"</f>
        <v>共青团员</v>
      </c>
      <c r="I108" s="7" t="s">
        <v>43</v>
      </c>
      <c r="J108" s="2">
        <v>71.8</v>
      </c>
      <c r="K108" s="6"/>
    </row>
    <row r="109" spans="1:11" ht="24" customHeight="1">
      <c r="A109" s="6" t="s">
        <v>40</v>
      </c>
      <c r="B109" s="6" t="str">
        <f>"430223199104199138"</f>
        <v>430223199104199138</v>
      </c>
      <c r="C109" s="6" t="str">
        <f>"罗鹏飞"</f>
        <v>罗鹏飞</v>
      </c>
      <c r="D109" s="6" t="str">
        <f>"18688894129"</f>
        <v>18688894129</v>
      </c>
      <c r="E109" s="6" t="str">
        <f>"男"</f>
        <v>男</v>
      </c>
      <c r="F109" s="6" t="str">
        <f>"1991-04-19"</f>
        <v>1991-04-19</v>
      </c>
      <c r="G109" s="6" t="str">
        <f t="shared" si="30"/>
        <v>本科</v>
      </c>
      <c r="H109" s="6" t="str">
        <f>"中共党员"</f>
        <v>中共党员</v>
      </c>
      <c r="I109" s="7" t="s">
        <v>41</v>
      </c>
      <c r="J109" s="2">
        <v>71.05</v>
      </c>
      <c r="K109" s="6"/>
    </row>
    <row r="110" spans="1:11" ht="24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24" customHeight="1">
      <c r="A111" s="6" t="s">
        <v>66</v>
      </c>
      <c r="B111" s="6" t="str">
        <f>"430223199411034819"</f>
        <v>430223199411034819</v>
      </c>
      <c r="C111" s="6" t="str">
        <f>"王爱武"</f>
        <v>王爱武</v>
      </c>
      <c r="D111" s="6" t="str">
        <f>"15200340538"</f>
        <v>15200340538</v>
      </c>
      <c r="E111" s="6" t="str">
        <f>"男"</f>
        <v>男</v>
      </c>
      <c r="F111" s="6" t="str">
        <f>"1994-11-03"</f>
        <v>1994-11-03</v>
      </c>
      <c r="G111" s="6" t="str">
        <f t="shared" ref="G111:G112" si="31">"本科"</f>
        <v>本科</v>
      </c>
      <c r="H111" s="6" t="str">
        <f>"共青团员"</f>
        <v>共青团员</v>
      </c>
      <c r="I111" s="7" t="s">
        <v>68</v>
      </c>
      <c r="J111" s="2">
        <v>76.099999999999994</v>
      </c>
      <c r="K111" s="6"/>
    </row>
    <row r="112" spans="1:11" ht="24" customHeight="1">
      <c r="A112" s="6" t="s">
        <v>66</v>
      </c>
      <c r="B112" s="6" t="str">
        <f>"430223199101129118"</f>
        <v>430223199101129118</v>
      </c>
      <c r="C112" s="6" t="str">
        <f>"黄庭望"</f>
        <v>黄庭望</v>
      </c>
      <c r="D112" s="6" t="str">
        <f>"15273372586"</f>
        <v>15273372586</v>
      </c>
      <c r="E112" s="6" t="str">
        <f>"男"</f>
        <v>男</v>
      </c>
      <c r="F112" s="6" t="str">
        <f>"1991-01-12"</f>
        <v>1991-01-12</v>
      </c>
      <c r="G112" s="6" t="str">
        <f t="shared" si="31"/>
        <v>本科</v>
      </c>
      <c r="H112" s="6" t="str">
        <f>"共青团员"</f>
        <v>共青团员</v>
      </c>
      <c r="I112" s="7" t="s">
        <v>67</v>
      </c>
      <c r="J112" s="2">
        <v>66.5</v>
      </c>
      <c r="K112" s="6"/>
    </row>
    <row r="113" spans="1:11" ht="24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24" customHeight="1">
      <c r="A114" s="6" t="s">
        <v>58</v>
      </c>
      <c r="B114" s="6" t="str">
        <f>"430224199612180018"</f>
        <v>430224199612180018</v>
      </c>
      <c r="C114" s="6" t="str">
        <f>"陈宏磊"</f>
        <v>陈宏磊</v>
      </c>
      <c r="D114" s="6" t="str">
        <f>"15116035826"</f>
        <v>15116035826</v>
      </c>
      <c r="E114" s="6" t="str">
        <f>"男"</f>
        <v>男</v>
      </c>
      <c r="F114" s="6" t="str">
        <f>"1996-12-18"</f>
        <v>1996-12-18</v>
      </c>
      <c r="G114" s="6" t="str">
        <f t="shared" ref="G114:G117" si="32">"本科"</f>
        <v>本科</v>
      </c>
      <c r="H114" s="6" t="str">
        <f>"共青团员"</f>
        <v>共青团员</v>
      </c>
      <c r="I114" s="7" t="s">
        <v>62</v>
      </c>
      <c r="J114" s="2">
        <v>77.599999999999994</v>
      </c>
      <c r="K114" s="6"/>
    </row>
    <row r="115" spans="1:11" ht="24" customHeight="1">
      <c r="A115" s="6" t="s">
        <v>58</v>
      </c>
      <c r="B115" s="6" t="str">
        <f>"430221199712278128"</f>
        <v>430221199712278128</v>
      </c>
      <c r="C115" s="6" t="str">
        <f>"付佳欣"</f>
        <v>付佳欣</v>
      </c>
      <c r="D115" s="6" t="str">
        <f>"15873260931"</f>
        <v>15873260931</v>
      </c>
      <c r="E115" s="6" t="str">
        <f>"女"</f>
        <v>女</v>
      </c>
      <c r="F115" s="6" t="str">
        <f>"1997-12-27"</f>
        <v>1997-12-27</v>
      </c>
      <c r="G115" s="6" t="str">
        <f t="shared" si="32"/>
        <v>本科</v>
      </c>
      <c r="H115" s="6" t="str">
        <f>"中共党员"</f>
        <v>中共党员</v>
      </c>
      <c r="I115" s="7" t="s">
        <v>61</v>
      </c>
      <c r="J115" s="2">
        <v>75.599999999999994</v>
      </c>
      <c r="K115" s="6"/>
    </row>
    <row r="116" spans="1:11" ht="24" customHeight="1">
      <c r="A116" s="6" t="s">
        <v>58</v>
      </c>
      <c r="B116" s="6" t="str">
        <f>"430223199006269518"</f>
        <v>430223199006269518</v>
      </c>
      <c r="C116" s="6" t="str">
        <f>"周明"</f>
        <v>周明</v>
      </c>
      <c r="D116" s="6" t="str">
        <f>"13007457763"</f>
        <v>13007457763</v>
      </c>
      <c r="E116" s="6" t="str">
        <f>"男"</f>
        <v>男</v>
      </c>
      <c r="F116" s="6" t="str">
        <f>"1990-06-26"</f>
        <v>1990-06-26</v>
      </c>
      <c r="G116" s="6" t="str">
        <f t="shared" si="32"/>
        <v>本科</v>
      </c>
      <c r="H116" s="6" t="str">
        <f>"中共党员"</f>
        <v>中共党员</v>
      </c>
      <c r="I116" s="7" t="s">
        <v>60</v>
      </c>
      <c r="J116" s="2">
        <v>75.400000000000006</v>
      </c>
      <c r="K116" s="6"/>
    </row>
    <row r="117" spans="1:11" ht="24" customHeight="1">
      <c r="A117" s="6" t="s">
        <v>58</v>
      </c>
      <c r="B117" s="6" t="str">
        <f>"43022319971009722X"</f>
        <v>43022319971009722X</v>
      </c>
      <c r="C117" s="6" t="str">
        <f>"阳竑"</f>
        <v>阳竑</v>
      </c>
      <c r="D117" s="6" t="str">
        <f>"15211993674"</f>
        <v>15211993674</v>
      </c>
      <c r="E117" s="6" t="str">
        <f>"女"</f>
        <v>女</v>
      </c>
      <c r="F117" s="6" t="str">
        <f>"1997-10-09"</f>
        <v>1997-10-09</v>
      </c>
      <c r="G117" s="6" t="str">
        <f t="shared" si="32"/>
        <v>本科</v>
      </c>
      <c r="H117" s="6" t="str">
        <f>"共青团员"</f>
        <v>共青团员</v>
      </c>
      <c r="I117" s="7" t="s">
        <v>59</v>
      </c>
      <c r="J117" s="2">
        <v>75.3</v>
      </c>
      <c r="K117" s="6"/>
    </row>
    <row r="118" spans="1:11" ht="24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24" customHeight="1">
      <c r="A119" s="6" t="s">
        <v>63</v>
      </c>
      <c r="B119" s="6" t="str">
        <f>"430223198602054519"</f>
        <v>430223198602054519</v>
      </c>
      <c r="C119" s="6" t="str">
        <f>"欧阳方"</f>
        <v>欧阳方</v>
      </c>
      <c r="D119" s="6" t="str">
        <f>"13657336729"</f>
        <v>13657336729</v>
      </c>
      <c r="E119" s="6" t="str">
        <f>"男"</f>
        <v>男</v>
      </c>
      <c r="F119" s="6" t="str">
        <f>"1986-02-05"</f>
        <v>1986-02-05</v>
      </c>
      <c r="G119" s="6" t="str">
        <f t="shared" ref="G119" si="33">"本科"</f>
        <v>本科</v>
      </c>
      <c r="H119" s="6" t="str">
        <f>"中共党员"</f>
        <v>中共党员</v>
      </c>
      <c r="I119" s="7" t="s">
        <v>65</v>
      </c>
      <c r="J119" s="2">
        <v>68.900000000000006</v>
      </c>
      <c r="K119" s="6"/>
    </row>
    <row r="120" spans="1:11" ht="24" customHeight="1">
      <c r="A120" s="6" t="s">
        <v>63</v>
      </c>
      <c r="B120" s="6" t="str">
        <f>"430424199303125411"</f>
        <v>430424199303125411</v>
      </c>
      <c r="C120" s="6" t="str">
        <f>"肖洋平"</f>
        <v>肖洋平</v>
      </c>
      <c r="D120" s="6" t="str">
        <f>"18890222824"</f>
        <v>18890222824</v>
      </c>
      <c r="E120" s="6" t="str">
        <f>"男"</f>
        <v>男</v>
      </c>
      <c r="F120" s="6" t="str">
        <f>"1993-03-12"</f>
        <v>1993-03-12</v>
      </c>
      <c r="G120" s="6" t="str">
        <f>"大专"</f>
        <v>大专</v>
      </c>
      <c r="H120" s="6" t="str">
        <f>"群众"</f>
        <v>群众</v>
      </c>
      <c r="I120" s="7" t="s">
        <v>64</v>
      </c>
      <c r="J120" s="2">
        <v>65.95</v>
      </c>
      <c r="K120" s="6"/>
    </row>
    <row r="121" spans="1:11" ht="24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24" customHeight="1">
      <c r="A122" s="6" t="s">
        <v>69</v>
      </c>
      <c r="B122" s="6" t="str">
        <f>"430223198606110012"</f>
        <v>430223198606110012</v>
      </c>
      <c r="C122" s="6" t="str">
        <f>"钟敏"</f>
        <v>钟敏</v>
      </c>
      <c r="D122" s="6" t="str">
        <f>"17707335833"</f>
        <v>17707335833</v>
      </c>
      <c r="E122" s="6" t="str">
        <f>"男"</f>
        <v>男</v>
      </c>
      <c r="F122" s="6" t="str">
        <f>"1986-06-11"</f>
        <v>1986-06-11</v>
      </c>
      <c r="G122" s="6" t="str">
        <f t="shared" ref="G122:G123" si="34">"本科"</f>
        <v>本科</v>
      </c>
      <c r="H122" s="6" t="str">
        <f>"中共党员"</f>
        <v>中共党员</v>
      </c>
      <c r="I122" s="7" t="s">
        <v>70</v>
      </c>
      <c r="J122" s="2">
        <v>72.849999999999994</v>
      </c>
      <c r="K122" s="6"/>
    </row>
    <row r="123" spans="1:11" ht="24" customHeight="1">
      <c r="A123" s="6" t="s">
        <v>69</v>
      </c>
      <c r="B123" s="6" t="str">
        <f>"430223199505010017"</f>
        <v>430223199505010017</v>
      </c>
      <c r="C123" s="6" t="str">
        <f>"黄荣"</f>
        <v>黄荣</v>
      </c>
      <c r="D123" s="6" t="str">
        <f>"18073317943"</f>
        <v>18073317943</v>
      </c>
      <c r="E123" s="6" t="str">
        <f>"男"</f>
        <v>男</v>
      </c>
      <c r="F123" s="6" t="str">
        <f>"1995-05-01"</f>
        <v>1995-05-01</v>
      </c>
      <c r="G123" s="6" t="str">
        <f t="shared" si="34"/>
        <v>本科</v>
      </c>
      <c r="H123" s="6" t="str">
        <f>"共青团员"</f>
        <v>共青团员</v>
      </c>
      <c r="I123" s="7" t="s">
        <v>71</v>
      </c>
      <c r="J123" s="2">
        <v>68.650000000000006</v>
      </c>
      <c r="K123" s="6"/>
    </row>
    <row r="124" spans="1:11" ht="24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24" customHeight="1">
      <c r="A125" s="6" t="s">
        <v>44</v>
      </c>
      <c r="B125" s="6" t="str">
        <f>"362201199707074014"</f>
        <v>362201199707074014</v>
      </c>
      <c r="C125" s="6" t="str">
        <f>"钟益民"</f>
        <v>钟益民</v>
      </c>
      <c r="D125" s="6" t="str">
        <f>"18079556187"</f>
        <v>18079556187</v>
      </c>
      <c r="E125" s="6" t="str">
        <f>"男"</f>
        <v>男</v>
      </c>
      <c r="F125" s="6" t="str">
        <f>"1997-07-07"</f>
        <v>1997-07-07</v>
      </c>
      <c r="G125" s="6" t="str">
        <f t="shared" ref="G125:G129" si="35">"本科"</f>
        <v>本科</v>
      </c>
      <c r="H125" s="6" t="str">
        <f>"群众"</f>
        <v>群众</v>
      </c>
      <c r="I125" s="7" t="s">
        <v>45</v>
      </c>
      <c r="J125" s="2">
        <v>64.400000000000006</v>
      </c>
      <c r="K125" s="6"/>
    </row>
    <row r="126" spans="1:11" ht="24" customHeight="1">
      <c r="A126" s="6" t="s">
        <v>44</v>
      </c>
      <c r="B126" s="6" t="str">
        <f>"43022119890822002X"</f>
        <v>43022119890822002X</v>
      </c>
      <c r="C126" s="6" t="str">
        <f>"殷媛妮"</f>
        <v>殷媛妮</v>
      </c>
      <c r="D126" s="6" t="str">
        <f>"13762307003"</f>
        <v>13762307003</v>
      </c>
      <c r="E126" s="6" t="str">
        <f>"女"</f>
        <v>女</v>
      </c>
      <c r="F126" s="6" t="str">
        <f>"1989-08-22"</f>
        <v>1989-08-22</v>
      </c>
      <c r="G126" s="6" t="str">
        <f t="shared" si="35"/>
        <v>本科</v>
      </c>
      <c r="H126" s="6" t="str">
        <f>"中共党员"</f>
        <v>中共党员</v>
      </c>
      <c r="I126" s="7" t="s">
        <v>46</v>
      </c>
      <c r="J126" s="2">
        <v>63.2</v>
      </c>
      <c r="K126" s="6"/>
    </row>
    <row r="127" spans="1:11" ht="24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24" customHeight="1">
      <c r="A128" s="6" t="s">
        <v>72</v>
      </c>
      <c r="B128" s="6" t="str">
        <f>"430922199704037644"</f>
        <v>430922199704037644</v>
      </c>
      <c r="C128" s="6" t="str">
        <f>"刘虹"</f>
        <v>刘虹</v>
      </c>
      <c r="D128" s="6" t="str">
        <f>"18374951341"</f>
        <v>18374951341</v>
      </c>
      <c r="E128" s="6" t="str">
        <f>"女"</f>
        <v>女</v>
      </c>
      <c r="F128" s="6" t="str">
        <f>"1997-04-03"</f>
        <v>1997-04-03</v>
      </c>
      <c r="G128" s="6" t="str">
        <f t="shared" si="35"/>
        <v>本科</v>
      </c>
      <c r="H128" s="6" t="str">
        <f>"共青团员"</f>
        <v>共青团员</v>
      </c>
      <c r="I128" s="7" t="s">
        <v>73</v>
      </c>
      <c r="J128" s="2">
        <v>71.650000000000006</v>
      </c>
      <c r="K128" s="6"/>
    </row>
    <row r="129" spans="1:11" ht="24" customHeight="1">
      <c r="A129" s="6" t="s">
        <v>72</v>
      </c>
      <c r="B129" s="6" t="str">
        <f>"430223199411242220"</f>
        <v>430223199411242220</v>
      </c>
      <c r="C129" s="6" t="str">
        <f>"骆程"</f>
        <v>骆程</v>
      </c>
      <c r="D129" s="6" t="str">
        <f>"15873212302"</f>
        <v>15873212302</v>
      </c>
      <c r="E129" s="6" t="str">
        <f>"女"</f>
        <v>女</v>
      </c>
      <c r="F129" s="6" t="str">
        <f>"1994-11-24"</f>
        <v>1994-11-24</v>
      </c>
      <c r="G129" s="6" t="str">
        <f t="shared" si="35"/>
        <v>本科</v>
      </c>
      <c r="H129" s="6" t="str">
        <f>"中共预备党员"</f>
        <v>中共预备党员</v>
      </c>
      <c r="I129" s="7" t="s">
        <v>74</v>
      </c>
      <c r="J129" s="2">
        <v>71.599999999999994</v>
      </c>
      <c r="K129" s="6"/>
    </row>
    <row r="130" spans="1:11" ht="24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</sheetData>
  <sortState ref="A2:AB1540">
    <sortCondition ref="A2:A1540"/>
  </sortState>
  <mergeCells count="27">
    <mergeCell ref="A121:K121"/>
    <mergeCell ref="A124:K124"/>
    <mergeCell ref="A127:K127"/>
    <mergeCell ref="A130:K130"/>
    <mergeCell ref="A118:K118"/>
    <mergeCell ref="A105:K105"/>
    <mergeCell ref="A110:K110"/>
    <mergeCell ref="A113:K113"/>
    <mergeCell ref="A80:K80"/>
    <mergeCell ref="A82:K82"/>
    <mergeCell ref="A84:K84"/>
    <mergeCell ref="A95:K95"/>
    <mergeCell ref="A100:K100"/>
    <mergeCell ref="A91:K91"/>
    <mergeCell ref="A1:K1"/>
    <mergeCell ref="A6:K6"/>
    <mergeCell ref="A70:K70"/>
    <mergeCell ref="A72:K72"/>
    <mergeCell ref="A75:K75"/>
    <mergeCell ref="A20:K20"/>
    <mergeCell ref="A11:K11"/>
    <mergeCell ref="A65:K65"/>
    <mergeCell ref="A31:K31"/>
    <mergeCell ref="A42:K42"/>
    <mergeCell ref="A45:K45"/>
    <mergeCell ref="A48:K48"/>
    <mergeCell ref="A53:K53"/>
  </mergeCells>
  <phoneticPr fontId="1" type="noConversion"/>
  <conditionalFormatting sqref="I131:I1048576 I7:I10 I12:I19 I2:I5 I71 I73:I74 I76:I77 I81 I83 I85:I90 I96:I99 I92:I94 I101:I104 I106:I109 I111:I112 I114:I117 I119:I120 I122:I123 I125:I126 I128:I129 I21:I30 I32:I40 I43:I44 I46:I47 I49:I52 I54:I62 I66:I68">
    <cfRule type="duplicateValues" dxfId="3" priority="3"/>
    <cfRule type="duplicateValues" dxfId="2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tabSelected="1" topLeftCell="A115" workbookViewId="0">
      <selection activeCell="C16" sqref="C16"/>
    </sheetView>
  </sheetViews>
  <sheetFormatPr defaultRowHeight="14.25"/>
  <cols>
    <col min="1" max="1" width="26.375" style="16" customWidth="1"/>
    <col min="2" max="2" width="20.25" style="16" customWidth="1"/>
    <col min="3" max="3" width="23.375" style="16" customWidth="1"/>
    <col min="4" max="4" width="16" style="16" customWidth="1"/>
  </cols>
  <sheetData>
    <row r="1" spans="1:4" ht="67.5" customHeight="1">
      <c r="A1" s="23" t="s">
        <v>132</v>
      </c>
      <c r="B1" s="23"/>
      <c r="C1" s="23"/>
      <c r="D1" s="23"/>
    </row>
    <row r="2" spans="1:4" ht="24" customHeight="1">
      <c r="A2" s="14" t="s">
        <v>0</v>
      </c>
      <c r="B2" s="14" t="s">
        <v>2</v>
      </c>
      <c r="C2" s="17" t="s">
        <v>3</v>
      </c>
      <c r="D2" s="15" t="s">
        <v>131</v>
      </c>
    </row>
    <row r="3" spans="1:4" ht="24" customHeight="1">
      <c r="A3" s="15" t="s">
        <v>52</v>
      </c>
      <c r="B3" s="15" t="str">
        <f>"陈斌"</f>
        <v>陈斌</v>
      </c>
      <c r="C3" s="18" t="s">
        <v>54</v>
      </c>
      <c r="D3" s="15"/>
    </row>
    <row r="4" spans="1:4" ht="24" customHeight="1">
      <c r="A4" s="15" t="s">
        <v>52</v>
      </c>
      <c r="B4" s="15" t="str">
        <f>"吴淳博"</f>
        <v>吴淳博</v>
      </c>
      <c r="C4" s="18" t="s">
        <v>53</v>
      </c>
      <c r="D4" s="15"/>
    </row>
    <row r="5" spans="1:4" ht="24" customHeight="1">
      <c r="A5" s="15" t="s">
        <v>52</v>
      </c>
      <c r="B5" s="15" t="str">
        <f>"向洪军"</f>
        <v>向洪军</v>
      </c>
      <c r="C5" s="18" t="s">
        <v>55</v>
      </c>
      <c r="D5" s="15"/>
    </row>
    <row r="6" spans="1:4" ht="24" customHeight="1">
      <c r="A6" s="22"/>
      <c r="B6" s="22"/>
      <c r="C6" s="22"/>
      <c r="D6" s="22"/>
    </row>
    <row r="7" spans="1:4" ht="24" customHeight="1">
      <c r="A7" s="15" t="s">
        <v>47</v>
      </c>
      <c r="B7" s="15" t="str">
        <f>"王巧智"</f>
        <v>王巧智</v>
      </c>
      <c r="C7" s="18" t="s">
        <v>51</v>
      </c>
      <c r="D7" s="15"/>
    </row>
    <row r="8" spans="1:4" ht="24" customHeight="1">
      <c r="A8" s="15" t="s">
        <v>47</v>
      </c>
      <c r="B8" s="15" t="str">
        <f>"贺玉荣"</f>
        <v>贺玉荣</v>
      </c>
      <c r="C8" s="18" t="s">
        <v>49</v>
      </c>
      <c r="D8" s="15"/>
    </row>
    <row r="9" spans="1:4" ht="24" customHeight="1">
      <c r="A9" s="15" t="s">
        <v>47</v>
      </c>
      <c r="B9" s="15" t="str">
        <f>"贺羚凤"</f>
        <v>贺羚凤</v>
      </c>
      <c r="C9" s="18" t="s">
        <v>48</v>
      </c>
      <c r="D9" s="15"/>
    </row>
    <row r="10" spans="1:4" ht="24" customHeight="1">
      <c r="A10" s="15" t="s">
        <v>47</v>
      </c>
      <c r="B10" s="15" t="str">
        <f>"易黎琴"</f>
        <v>易黎琴</v>
      </c>
      <c r="C10" s="18" t="s">
        <v>50</v>
      </c>
      <c r="D10" s="15"/>
    </row>
    <row r="11" spans="1:4" ht="24" customHeight="1">
      <c r="A11" s="22"/>
      <c r="B11" s="22"/>
      <c r="C11" s="22"/>
      <c r="D11" s="22"/>
    </row>
    <row r="12" spans="1:4" ht="24" customHeight="1">
      <c r="A12" s="15" t="s">
        <v>89</v>
      </c>
      <c r="B12" s="15" t="str">
        <f>"毛阳"</f>
        <v>毛阳</v>
      </c>
      <c r="C12" s="18" t="s">
        <v>97</v>
      </c>
      <c r="D12" s="15"/>
    </row>
    <row r="13" spans="1:4" ht="24" customHeight="1">
      <c r="A13" s="15" t="s">
        <v>89</v>
      </c>
      <c r="B13" s="15" t="str">
        <f>"周波"</f>
        <v>周波</v>
      </c>
      <c r="C13" s="18" t="s">
        <v>90</v>
      </c>
      <c r="D13" s="15"/>
    </row>
    <row r="14" spans="1:4" ht="24" customHeight="1">
      <c r="A14" s="15" t="s">
        <v>89</v>
      </c>
      <c r="B14" s="15" t="str">
        <f>"谭世真"</f>
        <v>谭世真</v>
      </c>
      <c r="C14" s="18" t="s">
        <v>96</v>
      </c>
      <c r="D14" s="15"/>
    </row>
    <row r="15" spans="1:4" ht="24" customHeight="1">
      <c r="A15" s="15" t="s">
        <v>89</v>
      </c>
      <c r="B15" s="15" t="str">
        <f>"刘舟"</f>
        <v>刘舟</v>
      </c>
      <c r="C15" s="18" t="s">
        <v>92</v>
      </c>
      <c r="D15" s="15"/>
    </row>
    <row r="16" spans="1:4" ht="24" customHeight="1">
      <c r="A16" s="15" t="s">
        <v>89</v>
      </c>
      <c r="B16" s="15" t="str">
        <f>"左旭"</f>
        <v>左旭</v>
      </c>
      <c r="C16" s="18" t="s">
        <v>91</v>
      </c>
      <c r="D16" s="15"/>
    </row>
    <row r="17" spans="1:4" ht="24" customHeight="1">
      <c r="A17" s="15" t="s">
        <v>89</v>
      </c>
      <c r="B17" s="15" t="str">
        <f>"张贺津"</f>
        <v>张贺津</v>
      </c>
      <c r="C17" s="18" t="s">
        <v>95</v>
      </c>
      <c r="D17" s="15"/>
    </row>
    <row r="18" spans="1:4" ht="24" customHeight="1">
      <c r="A18" s="15" t="s">
        <v>89</v>
      </c>
      <c r="B18" s="15" t="str">
        <f>"彭彪"</f>
        <v>彭彪</v>
      </c>
      <c r="C18" s="18" t="s">
        <v>94</v>
      </c>
      <c r="D18" s="15"/>
    </row>
    <row r="19" spans="1:4" ht="24" customHeight="1">
      <c r="A19" s="15" t="s">
        <v>89</v>
      </c>
      <c r="B19" s="15" t="str">
        <f>"邓智刚"</f>
        <v>邓智刚</v>
      </c>
      <c r="C19" s="18" t="s">
        <v>93</v>
      </c>
      <c r="D19" s="15"/>
    </row>
    <row r="20" spans="1:4" ht="24" customHeight="1">
      <c r="A20" s="22"/>
      <c r="B20" s="22"/>
      <c r="C20" s="22"/>
      <c r="D20" s="22"/>
    </row>
    <row r="21" spans="1:4" ht="24" customHeight="1">
      <c r="A21" s="15" t="s">
        <v>98</v>
      </c>
      <c r="B21" s="15" t="str">
        <f>"洪甜"</f>
        <v>洪甜</v>
      </c>
      <c r="C21" s="18" t="s">
        <v>102</v>
      </c>
      <c r="D21" s="15"/>
    </row>
    <row r="22" spans="1:4" ht="24" customHeight="1">
      <c r="A22" s="15" t="s">
        <v>98</v>
      </c>
      <c r="B22" s="15" t="str">
        <f>"谭丽"</f>
        <v>谭丽</v>
      </c>
      <c r="C22" s="18" t="s">
        <v>100</v>
      </c>
      <c r="D22" s="15"/>
    </row>
    <row r="23" spans="1:4" ht="24" customHeight="1">
      <c r="A23" s="15" t="s">
        <v>98</v>
      </c>
      <c r="B23" s="15" t="str">
        <f>"李水云"</f>
        <v>李水云</v>
      </c>
      <c r="C23" s="18" t="s">
        <v>103</v>
      </c>
      <c r="D23" s="15"/>
    </row>
    <row r="24" spans="1:4" ht="24" customHeight="1">
      <c r="A24" s="15" t="s">
        <v>98</v>
      </c>
      <c r="B24" s="15" t="str">
        <f>"文红"</f>
        <v>文红</v>
      </c>
      <c r="C24" s="18" t="s">
        <v>104</v>
      </c>
      <c r="D24" s="15"/>
    </row>
    <row r="25" spans="1:4" ht="24" customHeight="1">
      <c r="A25" s="15" t="s">
        <v>98</v>
      </c>
      <c r="B25" s="15" t="str">
        <f>"谭庆星"</f>
        <v>谭庆星</v>
      </c>
      <c r="C25" s="18" t="s">
        <v>101</v>
      </c>
      <c r="D25" s="15"/>
    </row>
    <row r="26" spans="1:4" ht="24" customHeight="1">
      <c r="A26" s="15" t="s">
        <v>98</v>
      </c>
      <c r="B26" s="15" t="str">
        <f>"欧灵艳"</f>
        <v>欧灵艳</v>
      </c>
      <c r="C26" s="18" t="s">
        <v>107</v>
      </c>
      <c r="D26" s="15"/>
    </row>
    <row r="27" spans="1:4" ht="24" customHeight="1">
      <c r="A27" s="15" t="s">
        <v>98</v>
      </c>
      <c r="B27" s="15" t="str">
        <f>"陈利珍"</f>
        <v>陈利珍</v>
      </c>
      <c r="C27" s="18" t="s">
        <v>108</v>
      </c>
      <c r="D27" s="15"/>
    </row>
    <row r="28" spans="1:4" ht="24" customHeight="1">
      <c r="A28" s="15" t="s">
        <v>98</v>
      </c>
      <c r="B28" s="15" t="str">
        <f>"阳蓬"</f>
        <v>阳蓬</v>
      </c>
      <c r="C28" s="18" t="s">
        <v>105</v>
      </c>
      <c r="D28" s="15"/>
    </row>
    <row r="29" spans="1:4" ht="24" customHeight="1">
      <c r="A29" s="15" t="s">
        <v>98</v>
      </c>
      <c r="B29" s="15" t="str">
        <f>"刘艳"</f>
        <v>刘艳</v>
      </c>
      <c r="C29" s="18" t="s">
        <v>106</v>
      </c>
      <c r="D29" s="15"/>
    </row>
    <row r="30" spans="1:4" ht="24" customHeight="1">
      <c r="A30" s="15" t="s">
        <v>98</v>
      </c>
      <c r="B30" s="15" t="str">
        <f>"陈维"</f>
        <v>陈维</v>
      </c>
      <c r="C30" s="18" t="s">
        <v>99</v>
      </c>
      <c r="D30" s="15"/>
    </row>
    <row r="31" spans="1:4" ht="24" customHeight="1">
      <c r="A31" s="22"/>
      <c r="B31" s="22"/>
      <c r="C31" s="22"/>
      <c r="D31" s="22"/>
    </row>
    <row r="32" spans="1:4" ht="24" customHeight="1">
      <c r="A32" s="15" t="s">
        <v>109</v>
      </c>
      <c r="B32" s="15" t="str">
        <f>"彭丽凤"</f>
        <v>彭丽凤</v>
      </c>
      <c r="C32" s="18" t="s">
        <v>114</v>
      </c>
      <c r="D32" s="15"/>
    </row>
    <row r="33" spans="1:4" ht="24" customHeight="1">
      <c r="A33" s="15" t="s">
        <v>109</v>
      </c>
      <c r="B33" s="15" t="str">
        <f>"李正浩"</f>
        <v>李正浩</v>
      </c>
      <c r="C33" s="18" t="s">
        <v>111</v>
      </c>
      <c r="D33" s="15"/>
    </row>
    <row r="34" spans="1:4" ht="24" customHeight="1">
      <c r="A34" s="15" t="s">
        <v>109</v>
      </c>
      <c r="B34" s="15" t="str">
        <f>"夏盼妮"</f>
        <v>夏盼妮</v>
      </c>
      <c r="C34" s="18" t="s">
        <v>117</v>
      </c>
      <c r="D34" s="15"/>
    </row>
    <row r="35" spans="1:4" ht="24" customHeight="1">
      <c r="A35" s="15" t="s">
        <v>109</v>
      </c>
      <c r="B35" s="15" t="str">
        <f>"周翔"</f>
        <v>周翔</v>
      </c>
      <c r="C35" s="18" t="s">
        <v>110</v>
      </c>
      <c r="D35" s="15"/>
    </row>
    <row r="36" spans="1:4" ht="24" customHeight="1">
      <c r="A36" s="15" t="s">
        <v>109</v>
      </c>
      <c r="B36" s="15" t="str">
        <f>"潘思羽"</f>
        <v>潘思羽</v>
      </c>
      <c r="C36" s="18" t="s">
        <v>112</v>
      </c>
      <c r="D36" s="15"/>
    </row>
    <row r="37" spans="1:4" ht="24" customHeight="1">
      <c r="A37" s="15" t="s">
        <v>109</v>
      </c>
      <c r="B37" s="15" t="str">
        <f>"朱兰兰"</f>
        <v>朱兰兰</v>
      </c>
      <c r="C37" s="18" t="s">
        <v>113</v>
      </c>
      <c r="D37" s="15"/>
    </row>
    <row r="38" spans="1:4" ht="24" customHeight="1">
      <c r="A38" s="15" t="s">
        <v>109</v>
      </c>
      <c r="B38" s="15" t="str">
        <f>"谭杨鹏"</f>
        <v>谭杨鹏</v>
      </c>
      <c r="C38" s="18" t="s">
        <v>115</v>
      </c>
      <c r="D38" s="15"/>
    </row>
    <row r="39" spans="1:4" ht="24" customHeight="1">
      <c r="A39" s="15" t="s">
        <v>109</v>
      </c>
      <c r="B39" s="15" t="str">
        <f>"刘凯"</f>
        <v>刘凯</v>
      </c>
      <c r="C39" s="18" t="s">
        <v>116</v>
      </c>
      <c r="D39" s="15"/>
    </row>
    <row r="40" spans="1:4" ht="24" customHeight="1">
      <c r="A40" s="15" t="s">
        <v>109</v>
      </c>
      <c r="B40" s="15" t="s">
        <v>133</v>
      </c>
      <c r="C40" s="18" t="s">
        <v>138</v>
      </c>
      <c r="D40" s="15" t="s">
        <v>142</v>
      </c>
    </row>
    <row r="41" spans="1:4" ht="24" customHeight="1">
      <c r="A41" s="15" t="s">
        <v>109</v>
      </c>
      <c r="B41" s="15" t="s">
        <v>155</v>
      </c>
      <c r="C41" s="19">
        <v>200726114730</v>
      </c>
      <c r="D41" s="15" t="s">
        <v>142</v>
      </c>
    </row>
    <row r="42" spans="1:4" ht="24" customHeight="1">
      <c r="A42" s="22"/>
      <c r="B42" s="22"/>
      <c r="C42" s="22"/>
      <c r="D42" s="22"/>
    </row>
    <row r="43" spans="1:4" ht="24" customHeight="1">
      <c r="A43" s="15" t="s">
        <v>79</v>
      </c>
      <c r="B43" s="15" t="str">
        <f>"丁思懿"</f>
        <v>丁思懿</v>
      </c>
      <c r="C43" s="18" t="s">
        <v>81</v>
      </c>
      <c r="D43" s="15"/>
    </row>
    <row r="44" spans="1:4" ht="24" customHeight="1">
      <c r="A44" s="15" t="s">
        <v>79</v>
      </c>
      <c r="B44" s="15" t="str">
        <f>"刘杏蓉"</f>
        <v>刘杏蓉</v>
      </c>
      <c r="C44" s="18" t="s">
        <v>80</v>
      </c>
      <c r="D44" s="15"/>
    </row>
    <row r="45" spans="1:4" ht="24" customHeight="1">
      <c r="A45" s="22"/>
      <c r="B45" s="22"/>
      <c r="C45" s="22"/>
      <c r="D45" s="22"/>
    </row>
    <row r="46" spans="1:4" ht="24" customHeight="1">
      <c r="A46" s="15" t="s">
        <v>82</v>
      </c>
      <c r="B46" s="15" t="str">
        <f>"左之梁"</f>
        <v>左之梁</v>
      </c>
      <c r="C46" s="18" t="s">
        <v>84</v>
      </c>
      <c r="D46" s="15"/>
    </row>
    <row r="47" spans="1:4" ht="24" customHeight="1">
      <c r="A47" s="15" t="s">
        <v>82</v>
      </c>
      <c r="B47" s="15" t="str">
        <f>"杨治平"</f>
        <v>杨治平</v>
      </c>
      <c r="C47" s="18" t="s">
        <v>83</v>
      </c>
      <c r="D47" s="15"/>
    </row>
    <row r="48" spans="1:4" ht="24" customHeight="1">
      <c r="A48" s="22"/>
      <c r="B48" s="22"/>
      <c r="C48" s="22"/>
      <c r="D48" s="22"/>
    </row>
    <row r="49" spans="1:4" ht="24" customHeight="1">
      <c r="A49" s="15" t="s">
        <v>118</v>
      </c>
      <c r="B49" s="15" t="str">
        <f>"朱永斌"</f>
        <v>朱永斌</v>
      </c>
      <c r="C49" s="18" t="s">
        <v>119</v>
      </c>
      <c r="D49" s="15"/>
    </row>
    <row r="50" spans="1:4" ht="24" customHeight="1">
      <c r="A50" s="15" t="s">
        <v>118</v>
      </c>
      <c r="B50" s="15" t="str">
        <f>"陈亚珍"</f>
        <v>陈亚珍</v>
      </c>
      <c r="C50" s="18" t="s">
        <v>122</v>
      </c>
      <c r="D50" s="15"/>
    </row>
    <row r="51" spans="1:4" ht="24" customHeight="1">
      <c r="A51" s="15" t="s">
        <v>118</v>
      </c>
      <c r="B51" s="15" t="str">
        <f>"易峰翔"</f>
        <v>易峰翔</v>
      </c>
      <c r="C51" s="18" t="s">
        <v>121</v>
      </c>
      <c r="D51" s="15"/>
    </row>
    <row r="52" spans="1:4" ht="24" customHeight="1">
      <c r="A52" s="15" t="s">
        <v>118</v>
      </c>
      <c r="B52" s="15" t="str">
        <f>"黄小武"</f>
        <v>黄小武</v>
      </c>
      <c r="C52" s="18" t="s">
        <v>120</v>
      </c>
      <c r="D52" s="15"/>
    </row>
    <row r="53" spans="1:4" ht="24" customHeight="1">
      <c r="A53" s="22"/>
      <c r="B53" s="22"/>
      <c r="C53" s="22"/>
      <c r="D53" s="22"/>
    </row>
    <row r="54" spans="1:4" ht="24" customHeight="1">
      <c r="A54" s="15" t="s">
        <v>5</v>
      </c>
      <c r="B54" s="15" t="str">
        <f>"刘勇珅"</f>
        <v>刘勇珅</v>
      </c>
      <c r="C54" s="18" t="s">
        <v>11</v>
      </c>
      <c r="D54" s="15"/>
    </row>
    <row r="55" spans="1:4" ht="24" customHeight="1">
      <c r="A55" s="15" t="s">
        <v>5</v>
      </c>
      <c r="B55" s="15" t="str">
        <f>"张维"</f>
        <v>张维</v>
      </c>
      <c r="C55" s="18" t="s">
        <v>7</v>
      </c>
      <c r="D55" s="15"/>
    </row>
    <row r="56" spans="1:4" ht="24" customHeight="1">
      <c r="A56" s="15" t="s">
        <v>5</v>
      </c>
      <c r="B56" s="15" t="str">
        <f>"陈旭"</f>
        <v>陈旭</v>
      </c>
      <c r="C56" s="18" t="s">
        <v>9</v>
      </c>
      <c r="D56" s="15"/>
    </row>
    <row r="57" spans="1:4" ht="24" customHeight="1">
      <c r="A57" s="15" t="s">
        <v>5</v>
      </c>
      <c r="B57" s="15" t="str">
        <f>"李丽盼"</f>
        <v>李丽盼</v>
      </c>
      <c r="C57" s="18" t="s">
        <v>8</v>
      </c>
      <c r="D57" s="15"/>
    </row>
    <row r="58" spans="1:4" ht="24" customHeight="1">
      <c r="A58" s="15" t="s">
        <v>5</v>
      </c>
      <c r="B58" s="15" t="str">
        <f>"彭新娥"</f>
        <v>彭新娥</v>
      </c>
      <c r="C58" s="18" t="s">
        <v>10</v>
      </c>
      <c r="D58" s="15"/>
    </row>
    <row r="59" spans="1:4" ht="24" customHeight="1">
      <c r="A59" s="15" t="s">
        <v>5</v>
      </c>
      <c r="B59" s="15" t="str">
        <f>"凌淼芳"</f>
        <v>凌淼芳</v>
      </c>
      <c r="C59" s="18" t="s">
        <v>14</v>
      </c>
      <c r="D59" s="15"/>
    </row>
    <row r="60" spans="1:4" ht="24" customHeight="1">
      <c r="A60" s="15" t="s">
        <v>5</v>
      </c>
      <c r="B60" s="15" t="str">
        <f>"刘陈以"</f>
        <v>刘陈以</v>
      </c>
      <c r="C60" s="18" t="s">
        <v>12</v>
      </c>
      <c r="D60" s="15"/>
    </row>
    <row r="61" spans="1:4" ht="24" customHeight="1">
      <c r="A61" s="15" t="s">
        <v>5</v>
      </c>
      <c r="B61" s="15" t="str">
        <f>"谢欣纯"</f>
        <v>谢欣纯</v>
      </c>
      <c r="C61" s="18" t="s">
        <v>13</v>
      </c>
      <c r="D61" s="15"/>
    </row>
    <row r="62" spans="1:4" ht="24" customHeight="1">
      <c r="A62" s="15" t="s">
        <v>5</v>
      </c>
      <c r="B62" s="15" t="str">
        <f>"王飞宇"</f>
        <v>王飞宇</v>
      </c>
      <c r="C62" s="18" t="s">
        <v>6</v>
      </c>
      <c r="D62" s="15"/>
    </row>
    <row r="63" spans="1:4" ht="24" customHeight="1">
      <c r="A63" s="15" t="s">
        <v>5</v>
      </c>
      <c r="B63" s="13" t="s">
        <v>143</v>
      </c>
      <c r="C63" s="19">
        <v>200726110116</v>
      </c>
      <c r="D63" s="15" t="s">
        <v>142</v>
      </c>
    </row>
    <row r="64" spans="1:4" ht="24" customHeight="1">
      <c r="A64" s="15" t="s">
        <v>5</v>
      </c>
      <c r="B64" s="13" t="s">
        <v>145</v>
      </c>
      <c r="C64" s="19">
        <v>200726111401</v>
      </c>
      <c r="D64" s="15" t="s">
        <v>142</v>
      </c>
    </row>
    <row r="65" spans="1:4" ht="24" customHeight="1">
      <c r="A65" s="22"/>
      <c r="B65" s="22"/>
      <c r="C65" s="22"/>
      <c r="D65" s="22"/>
    </row>
    <row r="66" spans="1:4" ht="24" customHeight="1">
      <c r="A66" s="15" t="s">
        <v>15</v>
      </c>
      <c r="B66" s="15" t="str">
        <f>"段林风"</f>
        <v>段林风</v>
      </c>
      <c r="C66" s="18" t="s">
        <v>18</v>
      </c>
      <c r="D66" s="15"/>
    </row>
    <row r="67" spans="1:4" ht="24" customHeight="1">
      <c r="A67" s="15" t="s">
        <v>15</v>
      </c>
      <c r="B67" s="15" t="str">
        <f>"李鑫"</f>
        <v>李鑫</v>
      </c>
      <c r="C67" s="18" t="s">
        <v>16</v>
      </c>
      <c r="D67" s="15"/>
    </row>
    <row r="68" spans="1:4" ht="24" customHeight="1">
      <c r="A68" s="15" t="s">
        <v>15</v>
      </c>
      <c r="B68" s="15" t="str">
        <f>"宁雪丰"</f>
        <v>宁雪丰</v>
      </c>
      <c r="C68" s="18" t="s">
        <v>17</v>
      </c>
      <c r="D68" s="15"/>
    </row>
    <row r="69" spans="1:4" ht="24" customHeight="1">
      <c r="A69" s="15" t="s">
        <v>15</v>
      </c>
      <c r="B69" s="13" t="s">
        <v>149</v>
      </c>
      <c r="C69" s="19">
        <v>200726112414</v>
      </c>
      <c r="D69" s="15" t="s">
        <v>142</v>
      </c>
    </row>
    <row r="70" spans="1:4" ht="24" customHeight="1">
      <c r="A70" s="22"/>
      <c r="B70" s="22"/>
      <c r="C70" s="22"/>
      <c r="D70" s="22"/>
    </row>
    <row r="71" spans="1:4" ht="24" customHeight="1">
      <c r="A71" s="15" t="s">
        <v>27</v>
      </c>
      <c r="B71" s="15" t="str">
        <f>"杨童昕"</f>
        <v>杨童昕</v>
      </c>
      <c r="C71" s="18" t="s">
        <v>28</v>
      </c>
      <c r="D71" s="15"/>
    </row>
    <row r="72" spans="1:4" ht="24" customHeight="1">
      <c r="A72" s="22"/>
      <c r="B72" s="22"/>
      <c r="C72" s="22"/>
      <c r="D72" s="22"/>
    </row>
    <row r="73" spans="1:4" ht="24" customHeight="1">
      <c r="A73" s="15" t="s">
        <v>19</v>
      </c>
      <c r="B73" s="15" t="str">
        <f>"夏苗"</f>
        <v>夏苗</v>
      </c>
      <c r="C73" s="18" t="s">
        <v>21</v>
      </c>
      <c r="D73" s="15"/>
    </row>
    <row r="74" spans="1:4" ht="24" customHeight="1">
      <c r="A74" s="15" t="s">
        <v>19</v>
      </c>
      <c r="B74" s="15" t="str">
        <f>"贺凌鹏"</f>
        <v>贺凌鹏</v>
      </c>
      <c r="C74" s="18" t="s">
        <v>20</v>
      </c>
      <c r="D74" s="15"/>
    </row>
    <row r="75" spans="1:4" ht="24" customHeight="1">
      <c r="A75" s="22"/>
      <c r="B75" s="22"/>
      <c r="C75" s="22"/>
      <c r="D75" s="22"/>
    </row>
    <row r="76" spans="1:4" ht="24" customHeight="1">
      <c r="A76" s="15" t="s">
        <v>25</v>
      </c>
      <c r="B76" s="15" t="str">
        <f>"汪厚斌"</f>
        <v>汪厚斌</v>
      </c>
      <c r="C76" s="18" t="s">
        <v>26</v>
      </c>
      <c r="D76" s="15"/>
    </row>
    <row r="77" spans="1:4" ht="24" customHeight="1">
      <c r="A77" s="15" t="s">
        <v>25</v>
      </c>
      <c r="B77" s="15" t="str">
        <f>"梁栋"</f>
        <v>梁栋</v>
      </c>
      <c r="C77" s="18" t="s">
        <v>24</v>
      </c>
      <c r="D77" s="15"/>
    </row>
    <row r="78" spans="1:4" ht="24" customHeight="1">
      <c r="A78" s="15" t="s">
        <v>25</v>
      </c>
      <c r="B78" s="13" t="s">
        <v>151</v>
      </c>
      <c r="C78" s="19">
        <v>200726112722</v>
      </c>
      <c r="D78" s="15" t="s">
        <v>142</v>
      </c>
    </row>
    <row r="79" spans="1:4" ht="24" customHeight="1">
      <c r="A79" s="15" t="s">
        <v>25</v>
      </c>
      <c r="B79" s="13" t="s">
        <v>153</v>
      </c>
      <c r="C79" s="19">
        <v>200726112725</v>
      </c>
      <c r="D79" s="15" t="s">
        <v>142</v>
      </c>
    </row>
    <row r="80" spans="1:4" ht="24" customHeight="1">
      <c r="A80" s="22"/>
      <c r="B80" s="22"/>
      <c r="C80" s="22"/>
      <c r="D80" s="22"/>
    </row>
    <row r="81" spans="1:4" ht="24" customHeight="1">
      <c r="A81" s="15" t="s">
        <v>22</v>
      </c>
      <c r="B81" s="15" t="str">
        <f>"罗坤"</f>
        <v>罗坤</v>
      </c>
      <c r="C81" s="18" t="s">
        <v>23</v>
      </c>
      <c r="D81" s="15"/>
    </row>
    <row r="82" spans="1:4" ht="24" customHeight="1">
      <c r="A82" s="22"/>
      <c r="B82" s="22"/>
      <c r="C82" s="22"/>
      <c r="D82" s="22"/>
    </row>
    <row r="83" spans="1:4" ht="24" customHeight="1">
      <c r="A83" s="15" t="s">
        <v>56</v>
      </c>
      <c r="B83" s="15" t="str">
        <f>"黄慕云"</f>
        <v>黄慕云</v>
      </c>
      <c r="C83" s="18" t="s">
        <v>57</v>
      </c>
      <c r="D83" s="15"/>
    </row>
    <row r="84" spans="1:4" ht="24" customHeight="1">
      <c r="A84" s="22"/>
      <c r="B84" s="22"/>
      <c r="C84" s="22"/>
      <c r="D84" s="22"/>
    </row>
    <row r="85" spans="1:4" ht="24" customHeight="1">
      <c r="A85" s="15" t="s">
        <v>75</v>
      </c>
      <c r="B85" s="15" t="str">
        <f>"易琦"</f>
        <v>易琦</v>
      </c>
      <c r="C85" s="18" t="s">
        <v>77</v>
      </c>
      <c r="D85" s="15"/>
    </row>
    <row r="86" spans="1:4" ht="24" customHeight="1">
      <c r="A86" s="15" t="s">
        <v>75</v>
      </c>
      <c r="B86" s="15" t="str">
        <f>"刘嘉"</f>
        <v>刘嘉</v>
      </c>
      <c r="C86" s="18" t="s">
        <v>128</v>
      </c>
      <c r="D86" s="15"/>
    </row>
    <row r="87" spans="1:4" ht="24" customHeight="1">
      <c r="A87" s="15" t="s">
        <v>75</v>
      </c>
      <c r="B87" s="15" t="str">
        <f>"郭挺"</f>
        <v>郭挺</v>
      </c>
      <c r="C87" s="18" t="s">
        <v>76</v>
      </c>
      <c r="D87" s="15"/>
    </row>
    <row r="88" spans="1:4" ht="24" customHeight="1">
      <c r="A88" s="15" t="s">
        <v>75</v>
      </c>
      <c r="B88" s="15" t="str">
        <f>"林远志"</f>
        <v>林远志</v>
      </c>
      <c r="C88" s="18" t="s">
        <v>78</v>
      </c>
      <c r="D88" s="15"/>
    </row>
    <row r="89" spans="1:4" ht="24" customHeight="1">
      <c r="A89" s="15" t="s">
        <v>75</v>
      </c>
      <c r="B89" s="15" t="str">
        <f>"夏琳"</f>
        <v>夏琳</v>
      </c>
      <c r="C89" s="18" t="s">
        <v>130</v>
      </c>
      <c r="D89" s="15"/>
    </row>
    <row r="90" spans="1:4" ht="24" customHeight="1">
      <c r="A90" s="15" t="s">
        <v>75</v>
      </c>
      <c r="B90" s="15" t="str">
        <f>"付雅君"</f>
        <v>付雅君</v>
      </c>
      <c r="C90" s="18" t="s">
        <v>129</v>
      </c>
      <c r="D90" s="15"/>
    </row>
    <row r="91" spans="1:4" ht="24" customHeight="1">
      <c r="A91" s="22"/>
      <c r="B91" s="22"/>
      <c r="C91" s="22"/>
      <c r="D91" s="22"/>
    </row>
    <row r="92" spans="1:4" ht="24" customHeight="1">
      <c r="A92" s="15" t="s">
        <v>85</v>
      </c>
      <c r="B92" s="15" t="str">
        <f>"王迪波"</f>
        <v>王迪波</v>
      </c>
      <c r="C92" s="18" t="s">
        <v>88</v>
      </c>
      <c r="D92" s="15"/>
    </row>
    <row r="93" spans="1:4" ht="24" customHeight="1">
      <c r="A93" s="15" t="s">
        <v>85</v>
      </c>
      <c r="B93" s="15" t="str">
        <f>"苏姗姗"</f>
        <v>苏姗姗</v>
      </c>
      <c r="C93" s="18" t="s">
        <v>86</v>
      </c>
      <c r="D93" s="15"/>
    </row>
    <row r="94" spans="1:4" ht="24" customHeight="1">
      <c r="A94" s="15" t="s">
        <v>85</v>
      </c>
      <c r="B94" s="15" t="str">
        <f>"张茳贤"</f>
        <v>张茳贤</v>
      </c>
      <c r="C94" s="18" t="s">
        <v>87</v>
      </c>
      <c r="D94" s="15"/>
    </row>
    <row r="95" spans="1:4" ht="24" customHeight="1">
      <c r="A95" s="22"/>
      <c r="B95" s="22"/>
      <c r="C95" s="22"/>
      <c r="D95" s="22"/>
    </row>
    <row r="96" spans="1:4" ht="24" customHeight="1">
      <c r="A96" s="15" t="s">
        <v>30</v>
      </c>
      <c r="B96" s="15" t="str">
        <f>"陈莉"</f>
        <v>陈莉</v>
      </c>
      <c r="C96" s="18" t="s">
        <v>33</v>
      </c>
      <c r="D96" s="15"/>
    </row>
    <row r="97" spans="1:4" ht="24" customHeight="1">
      <c r="A97" s="15" t="s">
        <v>30</v>
      </c>
      <c r="B97" s="15" t="str">
        <f>"付衡良"</f>
        <v>付衡良</v>
      </c>
      <c r="C97" s="18" t="s">
        <v>29</v>
      </c>
      <c r="D97" s="15"/>
    </row>
    <row r="98" spans="1:4" ht="24" customHeight="1">
      <c r="A98" s="15" t="s">
        <v>30</v>
      </c>
      <c r="B98" s="15" t="str">
        <f>"蒋文"</f>
        <v>蒋文</v>
      </c>
      <c r="C98" s="18" t="s">
        <v>31</v>
      </c>
      <c r="D98" s="15"/>
    </row>
    <row r="99" spans="1:4" ht="24" customHeight="1">
      <c r="A99" s="15" t="s">
        <v>30</v>
      </c>
      <c r="B99" s="15" t="str">
        <f>"刘茂林"</f>
        <v>刘茂林</v>
      </c>
      <c r="C99" s="18" t="s">
        <v>32</v>
      </c>
      <c r="D99" s="15"/>
    </row>
    <row r="100" spans="1:4" ht="24" customHeight="1">
      <c r="A100" s="22"/>
      <c r="B100" s="22"/>
      <c r="C100" s="22"/>
      <c r="D100" s="22"/>
    </row>
    <row r="101" spans="1:4" ht="24" customHeight="1">
      <c r="A101" s="15" t="s">
        <v>34</v>
      </c>
      <c r="B101" s="15" t="str">
        <f>"陈石峰"</f>
        <v>陈石峰</v>
      </c>
      <c r="C101" s="18" t="s">
        <v>38</v>
      </c>
      <c r="D101" s="15"/>
    </row>
    <row r="102" spans="1:4" ht="24" customHeight="1">
      <c r="A102" s="15" t="s">
        <v>34</v>
      </c>
      <c r="B102" s="15" t="str">
        <f>"何灏"</f>
        <v>何灏</v>
      </c>
      <c r="C102" s="18" t="s">
        <v>37</v>
      </c>
      <c r="D102" s="15"/>
    </row>
    <row r="103" spans="1:4" ht="24" customHeight="1">
      <c r="A103" s="15" t="s">
        <v>34</v>
      </c>
      <c r="B103" s="15" t="str">
        <f>"李强"</f>
        <v>李强</v>
      </c>
      <c r="C103" s="18" t="s">
        <v>35</v>
      </c>
      <c r="D103" s="15"/>
    </row>
    <row r="104" spans="1:4" ht="24" customHeight="1">
      <c r="A104" s="15" t="s">
        <v>34</v>
      </c>
      <c r="B104" s="15" t="str">
        <f>"李力"</f>
        <v>李力</v>
      </c>
      <c r="C104" s="18" t="s">
        <v>36</v>
      </c>
      <c r="D104" s="15"/>
    </row>
    <row r="105" spans="1:4" ht="24" customHeight="1">
      <c r="A105" s="22"/>
      <c r="B105" s="22"/>
      <c r="C105" s="22"/>
      <c r="D105" s="22"/>
    </row>
    <row r="106" spans="1:4" ht="24" customHeight="1">
      <c r="A106" s="15" t="s">
        <v>40</v>
      </c>
      <c r="B106" s="15" t="str">
        <f>"陈耀"</f>
        <v>陈耀</v>
      </c>
      <c r="C106" s="18" t="s">
        <v>42</v>
      </c>
      <c r="D106" s="15"/>
    </row>
    <row r="107" spans="1:4" ht="24" customHeight="1">
      <c r="A107" s="15" t="s">
        <v>40</v>
      </c>
      <c r="B107" s="15" t="str">
        <f>"肖岳"</f>
        <v>肖岳</v>
      </c>
      <c r="C107" s="18" t="s">
        <v>39</v>
      </c>
      <c r="D107" s="15"/>
    </row>
    <row r="108" spans="1:4" ht="24" customHeight="1">
      <c r="A108" s="15" t="s">
        <v>40</v>
      </c>
      <c r="B108" s="15" t="str">
        <f>"谭晓蒙"</f>
        <v>谭晓蒙</v>
      </c>
      <c r="C108" s="18" t="s">
        <v>43</v>
      </c>
      <c r="D108" s="15"/>
    </row>
    <row r="109" spans="1:4" ht="24" customHeight="1">
      <c r="A109" s="15" t="s">
        <v>40</v>
      </c>
      <c r="B109" s="15" t="str">
        <f>"罗鹏飞"</f>
        <v>罗鹏飞</v>
      </c>
      <c r="C109" s="18" t="s">
        <v>41</v>
      </c>
      <c r="D109" s="15"/>
    </row>
    <row r="110" spans="1:4" ht="24" customHeight="1">
      <c r="A110" s="22"/>
      <c r="B110" s="22"/>
      <c r="C110" s="22"/>
      <c r="D110" s="22"/>
    </row>
    <row r="111" spans="1:4" ht="24" customHeight="1">
      <c r="A111" s="15" t="s">
        <v>66</v>
      </c>
      <c r="B111" s="15" t="str">
        <f>"王爱武"</f>
        <v>王爱武</v>
      </c>
      <c r="C111" s="18" t="s">
        <v>68</v>
      </c>
      <c r="D111" s="15"/>
    </row>
    <row r="112" spans="1:4" ht="24" customHeight="1">
      <c r="A112" s="15" t="s">
        <v>66</v>
      </c>
      <c r="B112" s="15" t="str">
        <f>"黄庭望"</f>
        <v>黄庭望</v>
      </c>
      <c r="C112" s="18" t="s">
        <v>67</v>
      </c>
      <c r="D112" s="15"/>
    </row>
    <row r="113" spans="1:4" ht="24" customHeight="1">
      <c r="A113" s="22"/>
      <c r="B113" s="22"/>
      <c r="C113" s="22"/>
      <c r="D113" s="22"/>
    </row>
    <row r="114" spans="1:4" ht="24" customHeight="1">
      <c r="A114" s="15" t="s">
        <v>58</v>
      </c>
      <c r="B114" s="15" t="str">
        <f>"陈宏磊"</f>
        <v>陈宏磊</v>
      </c>
      <c r="C114" s="18" t="s">
        <v>62</v>
      </c>
      <c r="D114" s="15"/>
    </row>
    <row r="115" spans="1:4" ht="24" customHeight="1">
      <c r="A115" s="15" t="s">
        <v>58</v>
      </c>
      <c r="B115" s="15" t="str">
        <f>"付佳欣"</f>
        <v>付佳欣</v>
      </c>
      <c r="C115" s="18" t="s">
        <v>61</v>
      </c>
      <c r="D115" s="15"/>
    </row>
    <row r="116" spans="1:4" ht="24" customHeight="1">
      <c r="A116" s="15" t="s">
        <v>58</v>
      </c>
      <c r="B116" s="15" t="str">
        <f>"周明"</f>
        <v>周明</v>
      </c>
      <c r="C116" s="18" t="s">
        <v>60</v>
      </c>
      <c r="D116" s="15"/>
    </row>
    <row r="117" spans="1:4" ht="24" customHeight="1">
      <c r="A117" s="15" t="s">
        <v>58</v>
      </c>
      <c r="B117" s="15" t="str">
        <f>"阳竑"</f>
        <v>阳竑</v>
      </c>
      <c r="C117" s="18" t="s">
        <v>59</v>
      </c>
      <c r="D117" s="15"/>
    </row>
    <row r="118" spans="1:4" ht="24" customHeight="1">
      <c r="A118" s="22"/>
      <c r="B118" s="22"/>
      <c r="C118" s="22"/>
      <c r="D118" s="22"/>
    </row>
    <row r="119" spans="1:4" ht="24" customHeight="1">
      <c r="A119" s="15" t="s">
        <v>63</v>
      </c>
      <c r="B119" s="15" t="str">
        <f>"欧阳方"</f>
        <v>欧阳方</v>
      </c>
      <c r="C119" s="18" t="s">
        <v>65</v>
      </c>
      <c r="D119" s="15"/>
    </row>
    <row r="120" spans="1:4" ht="24" customHeight="1">
      <c r="A120" s="15" t="s">
        <v>63</v>
      </c>
      <c r="B120" s="15" t="str">
        <f>"肖洋平"</f>
        <v>肖洋平</v>
      </c>
      <c r="C120" s="18" t="s">
        <v>64</v>
      </c>
      <c r="D120" s="15"/>
    </row>
    <row r="121" spans="1:4" ht="24" customHeight="1">
      <c r="A121" s="22"/>
      <c r="B121" s="22"/>
      <c r="C121" s="22"/>
      <c r="D121" s="22"/>
    </row>
    <row r="122" spans="1:4" ht="24" customHeight="1">
      <c r="A122" s="15" t="s">
        <v>69</v>
      </c>
      <c r="B122" s="15" t="str">
        <f>"钟敏"</f>
        <v>钟敏</v>
      </c>
      <c r="C122" s="18" t="s">
        <v>70</v>
      </c>
      <c r="D122" s="15"/>
    </row>
    <row r="123" spans="1:4" ht="24" customHeight="1">
      <c r="A123" s="15" t="s">
        <v>69</v>
      </c>
      <c r="B123" s="15" t="str">
        <f>"黄荣"</f>
        <v>黄荣</v>
      </c>
      <c r="C123" s="18" t="s">
        <v>71</v>
      </c>
      <c r="D123" s="15"/>
    </row>
    <row r="124" spans="1:4" ht="24" customHeight="1">
      <c r="A124" s="22"/>
      <c r="B124" s="22"/>
      <c r="C124" s="22"/>
      <c r="D124" s="22"/>
    </row>
    <row r="125" spans="1:4" ht="24" customHeight="1">
      <c r="A125" s="15" t="s">
        <v>44</v>
      </c>
      <c r="B125" s="15" t="str">
        <f>"钟益民"</f>
        <v>钟益民</v>
      </c>
      <c r="C125" s="18" t="s">
        <v>45</v>
      </c>
      <c r="D125" s="15"/>
    </row>
    <row r="126" spans="1:4" ht="24" customHeight="1">
      <c r="A126" s="15" t="s">
        <v>44</v>
      </c>
      <c r="B126" s="15" t="str">
        <f>"殷媛妮"</f>
        <v>殷媛妮</v>
      </c>
      <c r="C126" s="18" t="s">
        <v>46</v>
      </c>
      <c r="D126" s="15"/>
    </row>
    <row r="127" spans="1:4" ht="24" customHeight="1">
      <c r="A127" s="22"/>
      <c r="B127" s="22"/>
      <c r="C127" s="22"/>
      <c r="D127" s="22"/>
    </row>
    <row r="128" spans="1:4" ht="24" customHeight="1">
      <c r="A128" s="15" t="s">
        <v>72</v>
      </c>
      <c r="B128" s="15" t="str">
        <f>"刘虹"</f>
        <v>刘虹</v>
      </c>
      <c r="C128" s="18" t="s">
        <v>73</v>
      </c>
      <c r="D128" s="15"/>
    </row>
    <row r="129" spans="1:4" ht="24" customHeight="1">
      <c r="A129" s="15" t="s">
        <v>72</v>
      </c>
      <c r="B129" s="15" t="str">
        <f>"骆程"</f>
        <v>骆程</v>
      </c>
      <c r="C129" s="18" t="s">
        <v>74</v>
      </c>
      <c r="D129" s="15"/>
    </row>
    <row r="130" spans="1:4" ht="24" customHeight="1">
      <c r="A130" s="22"/>
      <c r="B130" s="22"/>
      <c r="C130" s="22"/>
      <c r="D130" s="22"/>
    </row>
  </sheetData>
  <mergeCells count="27">
    <mergeCell ref="A124:D124"/>
    <mergeCell ref="A127:D127"/>
    <mergeCell ref="A130:D130"/>
    <mergeCell ref="A100:D100"/>
    <mergeCell ref="A105:D105"/>
    <mergeCell ref="A110:D110"/>
    <mergeCell ref="A113:D113"/>
    <mergeCell ref="A118:D118"/>
    <mergeCell ref="A121:D121"/>
    <mergeCell ref="A95:D95"/>
    <mergeCell ref="A45:D45"/>
    <mergeCell ref="A48:D48"/>
    <mergeCell ref="A53:D53"/>
    <mergeCell ref="A65:D65"/>
    <mergeCell ref="A70:D70"/>
    <mergeCell ref="A72:D72"/>
    <mergeCell ref="A75:D75"/>
    <mergeCell ref="A80:D80"/>
    <mergeCell ref="A82:D82"/>
    <mergeCell ref="A84:D84"/>
    <mergeCell ref="A91:D91"/>
    <mergeCell ref="A42:D42"/>
    <mergeCell ref="A1:D1"/>
    <mergeCell ref="A6:D6"/>
    <mergeCell ref="A11:D11"/>
    <mergeCell ref="A20:D20"/>
    <mergeCell ref="A31:D31"/>
  </mergeCells>
  <phoneticPr fontId="1" type="noConversion"/>
  <conditionalFormatting sqref="C7:C10 C12:C19 C2:C5 C71 C73:C74 C76:C77 C81 C83 C85:C90 C96:C99 C92:C94 C101:C104 C106:C109 C111:C112 C114:C117 C119:C120 C122:C123 C125:C126 C128:C129 C21:C30 C32:C40 C43:C44 C46:C47 C49:C52 C54:C62 C66:C6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面试名单</vt:lpstr>
      <vt:lpstr>挂网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2020-08-25T01:27:14Z</cp:lastPrinted>
  <dcterms:created xsi:type="dcterms:W3CDTF">2020-07-31T03:37:45Z</dcterms:created>
  <dcterms:modified xsi:type="dcterms:W3CDTF">2020-08-25T01:37:33Z</dcterms:modified>
</cp:coreProperties>
</file>