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0050"/>
  </bookViews>
  <sheets>
    <sheet name="面试成绩表 " sheetId="4" r:id="rId1"/>
  </sheets>
  <definedNames>
    <definedName name="_xlnm._FilterDatabase" localSheetId="0" hidden="1">'面试成绩表 '!$A$2:$D$691</definedName>
    <definedName name="_xlnm.Print_Titles" localSheetId="0">'面试成绩表 '!$2:$2</definedName>
  </definedNames>
  <calcPr calcId="144525"/>
</workbook>
</file>

<file path=xl/sharedStrings.xml><?xml version="1.0" encoding="utf-8"?>
<sst xmlns="http://schemas.openxmlformats.org/spreadsheetml/2006/main" count="1235" uniqueCount="120">
  <si>
    <t>2020年招教---面试成绩表</t>
  </si>
  <si>
    <t>准考证号</t>
  </si>
  <si>
    <t>报考岗位</t>
  </si>
  <si>
    <t>姓名</t>
  </si>
  <si>
    <t>性别</t>
  </si>
  <si>
    <t>面试试场</t>
  </si>
  <si>
    <t>午别</t>
  </si>
  <si>
    <t>面试序号</t>
  </si>
  <si>
    <t>面试原始成绩</t>
  </si>
  <si>
    <t>加权系数</t>
  </si>
  <si>
    <t>面试成绩</t>
  </si>
  <si>
    <t>61_语文</t>
  </si>
  <si>
    <t>上午</t>
  </si>
  <si>
    <t>下午</t>
  </si>
  <si>
    <t>弃考</t>
  </si>
  <si>
    <t>91_小学语文</t>
  </si>
  <si>
    <t>51_语文</t>
  </si>
  <si>
    <t>01_语文</t>
  </si>
  <si>
    <t>21_语文</t>
  </si>
  <si>
    <t>05_历史</t>
  </si>
  <si>
    <t>25_历史</t>
  </si>
  <si>
    <t>55_历史</t>
  </si>
  <si>
    <t>62_数学</t>
  </si>
  <si>
    <t>92_小学数学</t>
  </si>
  <si>
    <t>52_数学</t>
  </si>
  <si>
    <t>02_数学</t>
  </si>
  <si>
    <t>22_数学</t>
  </si>
  <si>
    <t>53_英语</t>
  </si>
  <si>
    <t>03_英语</t>
  </si>
  <si>
    <t>23_英语</t>
  </si>
  <si>
    <t>93_小学英语</t>
  </si>
  <si>
    <t>63_英语</t>
  </si>
  <si>
    <t>20209326204</t>
  </si>
  <si>
    <t>刘妍东</t>
  </si>
  <si>
    <t>女</t>
  </si>
  <si>
    <t>20209326205</t>
  </si>
  <si>
    <t>王峥</t>
  </si>
  <si>
    <t>24_政治</t>
  </si>
  <si>
    <t>54_政治</t>
  </si>
  <si>
    <t>04_政治</t>
  </si>
  <si>
    <t>06_地理</t>
  </si>
  <si>
    <t>张阳</t>
  </si>
  <si>
    <t>男</t>
  </si>
  <si>
    <t>宋长钰</t>
  </si>
  <si>
    <t>56_地理</t>
  </si>
  <si>
    <t>26_地理</t>
  </si>
  <si>
    <t>60_信息技术</t>
  </si>
  <si>
    <t>33_信息技术</t>
  </si>
  <si>
    <t>13_信息技术</t>
  </si>
  <si>
    <t>潘璐</t>
  </si>
  <si>
    <t>马璐</t>
  </si>
  <si>
    <t>方盈</t>
  </si>
  <si>
    <t>64_信息技术</t>
  </si>
  <si>
    <t>20209626311</t>
  </si>
  <si>
    <t>96_小学信息技术</t>
  </si>
  <si>
    <t>李泽宇</t>
  </si>
  <si>
    <t>20209626306</t>
  </si>
  <si>
    <t>谢文锋</t>
  </si>
  <si>
    <t>20209626301</t>
  </si>
  <si>
    <t>白丽珍</t>
  </si>
  <si>
    <t>20209626309</t>
  </si>
  <si>
    <t>苏文锦</t>
  </si>
  <si>
    <t>20209626310</t>
  </si>
  <si>
    <t>马淼</t>
  </si>
  <si>
    <t>57_物理</t>
  </si>
  <si>
    <t>27_物理</t>
  </si>
  <si>
    <t>28_化学</t>
  </si>
  <si>
    <t>08_化学</t>
  </si>
  <si>
    <t>58_化学</t>
  </si>
  <si>
    <t>29_生物</t>
  </si>
  <si>
    <t>59_生物</t>
  </si>
  <si>
    <t>09_生物</t>
  </si>
  <si>
    <t>70_幼教</t>
  </si>
  <si>
    <t>20209726401</t>
  </si>
  <si>
    <t>97_幼儿园</t>
  </si>
  <si>
    <t>张婷婷</t>
  </si>
  <si>
    <t>20209726428</t>
  </si>
  <si>
    <t>李月梅</t>
  </si>
  <si>
    <t>20209726427</t>
  </si>
  <si>
    <t>马书芬</t>
  </si>
  <si>
    <t>20209726408</t>
  </si>
  <si>
    <t>乔静</t>
  </si>
  <si>
    <t>20209726409</t>
  </si>
  <si>
    <t>李善卉</t>
  </si>
  <si>
    <t>11_音乐</t>
  </si>
  <si>
    <t>柯灵萌</t>
  </si>
  <si>
    <t>李征</t>
  </si>
  <si>
    <t>31_音乐</t>
  </si>
  <si>
    <t>王尚</t>
  </si>
  <si>
    <t>20209526227</t>
  </si>
  <si>
    <t>95_小学音乐</t>
  </si>
  <si>
    <t>刘慧春</t>
  </si>
  <si>
    <t>20209526226</t>
  </si>
  <si>
    <t>丁彩</t>
  </si>
  <si>
    <t>20209526229</t>
  </si>
  <si>
    <t>张玉</t>
  </si>
  <si>
    <t>20209526224</t>
  </si>
  <si>
    <t>蒋晨珂</t>
  </si>
  <si>
    <t>20209526225</t>
  </si>
  <si>
    <t>雷振华</t>
  </si>
  <si>
    <t>10_体育</t>
  </si>
  <si>
    <t>30_体育</t>
  </si>
  <si>
    <t>20209426219</t>
  </si>
  <si>
    <t>94_小学体育</t>
  </si>
  <si>
    <t>高玉会</t>
  </si>
  <si>
    <t>20209426222</t>
  </si>
  <si>
    <t>吴永超</t>
  </si>
  <si>
    <t>20209426220</t>
  </si>
  <si>
    <t>袁赟</t>
  </si>
  <si>
    <t>20209426218</t>
  </si>
  <si>
    <t>王拴成</t>
  </si>
  <si>
    <t>20209426223</t>
  </si>
  <si>
    <t>尚文璐</t>
  </si>
  <si>
    <t>20209426221</t>
  </si>
  <si>
    <t>王峰</t>
  </si>
  <si>
    <t>12_美术</t>
  </si>
  <si>
    <t>32_美术</t>
  </si>
  <si>
    <t>07_物理</t>
  </si>
  <si>
    <t>考核室</t>
  </si>
  <si>
    <t>合格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</si>
</sst>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7"/>
  <sheetViews>
    <sheetView tabSelected="1" zoomScale="145" zoomScaleNormal="145" workbookViewId="0">
      <pane ySplit="2" topLeftCell="A3" activePane="bottomLeft" state="frozen"/>
      <selection/>
      <selection pane="bottomLeft" activeCell="J535" sqref="J535"/>
    </sheetView>
  </sheetViews>
  <sheetFormatPr defaultColWidth="9" defaultRowHeight="18" customHeight="1"/>
  <cols>
    <col min="1" max="1" width="12.925" style="2" customWidth="1"/>
    <col min="2" max="2" width="9.05" style="2" customWidth="1"/>
    <col min="3" max="3" width="8.525" style="2" customWidth="1"/>
    <col min="4" max="4" width="5.93333333333333" style="2" customWidth="1"/>
    <col min="5" max="5" width="6.375" style="2" customWidth="1"/>
    <col min="6" max="6" width="4.74166666666667" style="2" customWidth="1"/>
    <col min="7" max="7" width="5.76666666666667" style="2" customWidth="1"/>
    <col min="8" max="8" width="9.21666666666667" style="4" customWidth="1"/>
    <col min="9" max="9" width="8.61666666666667" style="5" customWidth="1"/>
    <col min="10" max="10" width="11.8916666666667" style="4" customWidth="1"/>
    <col min="11" max="16384" width="9" style="2"/>
  </cols>
  <sheetData>
    <row r="1" s="1" customFormat="1" ht="23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8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0" t="s">
        <v>9</v>
      </c>
      <c r="J2" s="9" t="s">
        <v>10</v>
      </c>
    </row>
    <row r="3" customHeight="1" spans="1:10">
      <c r="A3" s="8" t="str">
        <f>"20206123314"</f>
        <v>20206123314</v>
      </c>
      <c r="B3" s="8" t="s">
        <v>11</v>
      </c>
      <c r="C3" s="8" t="str">
        <f>"刘茜"</f>
        <v>刘茜</v>
      </c>
      <c r="D3" s="8" t="str">
        <f t="shared" ref="D3:D9" si="0">"女"</f>
        <v>女</v>
      </c>
      <c r="E3" s="8">
        <v>1</v>
      </c>
      <c r="F3" s="8" t="s">
        <v>12</v>
      </c>
      <c r="G3" s="8">
        <v>1</v>
      </c>
      <c r="H3" s="9">
        <v>74.12</v>
      </c>
      <c r="I3" s="10">
        <v>1.0091</v>
      </c>
      <c r="J3" s="9">
        <f>H3*I3</f>
        <v>74.794492</v>
      </c>
    </row>
    <row r="4" customHeight="1" spans="1:10">
      <c r="A4" s="8" t="str">
        <f>"20206112707"</f>
        <v>20206112707</v>
      </c>
      <c r="B4" s="8" t="s">
        <v>11</v>
      </c>
      <c r="C4" s="8" t="str">
        <f>"李艺"</f>
        <v>李艺</v>
      </c>
      <c r="D4" s="8" t="str">
        <f t="shared" si="0"/>
        <v>女</v>
      </c>
      <c r="E4" s="8">
        <v>1</v>
      </c>
      <c r="F4" s="8" t="s">
        <v>12</v>
      </c>
      <c r="G4" s="8">
        <v>2</v>
      </c>
      <c r="H4" s="9">
        <v>80.72</v>
      </c>
      <c r="I4" s="10">
        <v>1.0091</v>
      </c>
      <c r="J4" s="9">
        <f t="shared" ref="J4:J41" si="1">H4*I4</f>
        <v>81.454552</v>
      </c>
    </row>
    <row r="5" customHeight="1" spans="1:10">
      <c r="A5" s="8" t="str">
        <f>"20206123105"</f>
        <v>20206123105</v>
      </c>
      <c r="B5" s="8" t="s">
        <v>11</v>
      </c>
      <c r="C5" s="8" t="str">
        <f>"李亚楠"</f>
        <v>李亚楠</v>
      </c>
      <c r="D5" s="8" t="str">
        <f t="shared" si="0"/>
        <v>女</v>
      </c>
      <c r="E5" s="8">
        <v>1</v>
      </c>
      <c r="F5" s="8" t="s">
        <v>12</v>
      </c>
      <c r="G5" s="8">
        <v>3</v>
      </c>
      <c r="H5" s="9">
        <v>80.52</v>
      </c>
      <c r="I5" s="10">
        <v>1.0091</v>
      </c>
      <c r="J5" s="9">
        <f t="shared" si="1"/>
        <v>81.252732</v>
      </c>
    </row>
    <row r="6" customHeight="1" spans="1:10">
      <c r="A6" s="8" t="str">
        <f>"20206113008"</f>
        <v>20206113008</v>
      </c>
      <c r="B6" s="8" t="s">
        <v>11</v>
      </c>
      <c r="C6" s="8" t="str">
        <f>"黄钰淇"</f>
        <v>黄钰淇</v>
      </c>
      <c r="D6" s="8" t="str">
        <f t="shared" si="0"/>
        <v>女</v>
      </c>
      <c r="E6" s="8">
        <v>1</v>
      </c>
      <c r="F6" s="8" t="s">
        <v>12</v>
      </c>
      <c r="G6" s="8">
        <v>4</v>
      </c>
      <c r="H6" s="9">
        <v>72.3</v>
      </c>
      <c r="I6" s="10">
        <v>1.0091</v>
      </c>
      <c r="J6" s="9">
        <f t="shared" si="1"/>
        <v>72.95793</v>
      </c>
    </row>
    <row r="7" customHeight="1" spans="1:10">
      <c r="A7" s="8" t="str">
        <f>"20206112618"</f>
        <v>20206112618</v>
      </c>
      <c r="B7" s="8" t="s">
        <v>11</v>
      </c>
      <c r="C7" s="8" t="str">
        <f>"王文鑫"</f>
        <v>王文鑫</v>
      </c>
      <c r="D7" s="8" t="str">
        <f t="shared" si="0"/>
        <v>女</v>
      </c>
      <c r="E7" s="8">
        <v>1</v>
      </c>
      <c r="F7" s="8" t="s">
        <v>12</v>
      </c>
      <c r="G7" s="8">
        <v>5</v>
      </c>
      <c r="H7" s="9">
        <v>78.7</v>
      </c>
      <c r="I7" s="10">
        <v>1.0091</v>
      </c>
      <c r="J7" s="9">
        <f t="shared" si="1"/>
        <v>79.41617</v>
      </c>
    </row>
    <row r="8" customHeight="1" spans="1:10">
      <c r="A8" s="8" t="str">
        <f>"20206112730"</f>
        <v>20206112730</v>
      </c>
      <c r="B8" s="8" t="s">
        <v>11</v>
      </c>
      <c r="C8" s="8" t="str">
        <f>"朱丽妍"</f>
        <v>朱丽妍</v>
      </c>
      <c r="D8" s="8" t="str">
        <f t="shared" si="0"/>
        <v>女</v>
      </c>
      <c r="E8" s="8">
        <v>1</v>
      </c>
      <c r="F8" s="8" t="s">
        <v>12</v>
      </c>
      <c r="G8" s="8">
        <v>6</v>
      </c>
      <c r="H8" s="9">
        <v>76.24</v>
      </c>
      <c r="I8" s="10">
        <v>1.0091</v>
      </c>
      <c r="J8" s="9">
        <f t="shared" si="1"/>
        <v>76.933784</v>
      </c>
    </row>
    <row r="9" customHeight="1" spans="1:10">
      <c r="A9" s="8" t="str">
        <f>"20206123119"</f>
        <v>20206123119</v>
      </c>
      <c r="B9" s="8" t="s">
        <v>11</v>
      </c>
      <c r="C9" s="8" t="str">
        <f>"杨茹帆"</f>
        <v>杨茹帆</v>
      </c>
      <c r="D9" s="8" t="str">
        <f t="shared" si="0"/>
        <v>女</v>
      </c>
      <c r="E9" s="8">
        <v>1</v>
      </c>
      <c r="F9" s="8" t="s">
        <v>12</v>
      </c>
      <c r="G9" s="8">
        <v>7</v>
      </c>
      <c r="H9" s="9">
        <v>75.86</v>
      </c>
      <c r="I9" s="10">
        <v>1.0091</v>
      </c>
      <c r="J9" s="9">
        <f t="shared" si="1"/>
        <v>76.550326</v>
      </c>
    </row>
    <row r="10" customHeight="1" spans="1:10">
      <c r="A10" s="8" t="str">
        <f>"20206112522"</f>
        <v>20206112522</v>
      </c>
      <c r="B10" s="8" t="s">
        <v>11</v>
      </c>
      <c r="C10" s="8" t="str">
        <f>"陈恒吉"</f>
        <v>陈恒吉</v>
      </c>
      <c r="D10" s="8" t="str">
        <f>"男"</f>
        <v>男</v>
      </c>
      <c r="E10" s="8">
        <v>1</v>
      </c>
      <c r="F10" s="8" t="s">
        <v>12</v>
      </c>
      <c r="G10" s="8">
        <v>8</v>
      </c>
      <c r="H10" s="9">
        <v>79.2</v>
      </c>
      <c r="I10" s="10">
        <v>1.0091</v>
      </c>
      <c r="J10" s="9">
        <f t="shared" si="1"/>
        <v>79.92072</v>
      </c>
    </row>
    <row r="11" customHeight="1" spans="1:10">
      <c r="A11" s="8" t="str">
        <f>"20206113012"</f>
        <v>20206113012</v>
      </c>
      <c r="B11" s="8" t="s">
        <v>11</v>
      </c>
      <c r="C11" s="8" t="str">
        <f>"李泱"</f>
        <v>李泱</v>
      </c>
      <c r="D11" s="8" t="str">
        <f t="shared" ref="D11:D17" si="2">"女"</f>
        <v>女</v>
      </c>
      <c r="E11" s="8">
        <v>1</v>
      </c>
      <c r="F11" s="8" t="s">
        <v>12</v>
      </c>
      <c r="G11" s="8">
        <v>9</v>
      </c>
      <c r="H11" s="9">
        <v>75.02</v>
      </c>
      <c r="I11" s="10">
        <v>1.0091</v>
      </c>
      <c r="J11" s="9">
        <f t="shared" si="1"/>
        <v>75.702682</v>
      </c>
    </row>
    <row r="12" customHeight="1" spans="1:10">
      <c r="A12" s="8" t="str">
        <f>"20206123316"</f>
        <v>20206123316</v>
      </c>
      <c r="B12" s="8" t="s">
        <v>11</v>
      </c>
      <c r="C12" s="8" t="str">
        <f>"孙明珠"</f>
        <v>孙明珠</v>
      </c>
      <c r="D12" s="8" t="str">
        <f t="shared" si="2"/>
        <v>女</v>
      </c>
      <c r="E12" s="8">
        <v>1</v>
      </c>
      <c r="F12" s="8" t="s">
        <v>12</v>
      </c>
      <c r="G12" s="8">
        <v>10</v>
      </c>
      <c r="H12" s="9">
        <v>78.7</v>
      </c>
      <c r="I12" s="10">
        <v>1.0091</v>
      </c>
      <c r="J12" s="9">
        <f t="shared" si="1"/>
        <v>79.41617</v>
      </c>
    </row>
    <row r="13" customHeight="1" spans="1:10">
      <c r="A13" s="8" t="str">
        <f>"20206112526"</f>
        <v>20206112526</v>
      </c>
      <c r="B13" s="8" t="s">
        <v>11</v>
      </c>
      <c r="C13" s="8" t="str">
        <f>"刘晨"</f>
        <v>刘晨</v>
      </c>
      <c r="D13" s="8" t="str">
        <f t="shared" si="2"/>
        <v>女</v>
      </c>
      <c r="E13" s="8">
        <v>1</v>
      </c>
      <c r="F13" s="8" t="s">
        <v>12</v>
      </c>
      <c r="G13" s="8">
        <v>11</v>
      </c>
      <c r="H13" s="9">
        <v>77.58</v>
      </c>
      <c r="I13" s="10">
        <v>1.0091</v>
      </c>
      <c r="J13" s="9">
        <f t="shared" si="1"/>
        <v>78.285978</v>
      </c>
    </row>
    <row r="14" customHeight="1" spans="1:10">
      <c r="A14" s="8" t="str">
        <f>"20206112626"</f>
        <v>20206112626</v>
      </c>
      <c r="B14" s="8" t="s">
        <v>11</v>
      </c>
      <c r="C14" s="8" t="str">
        <f>"张鑫琰"</f>
        <v>张鑫琰</v>
      </c>
      <c r="D14" s="8" t="str">
        <f t="shared" si="2"/>
        <v>女</v>
      </c>
      <c r="E14" s="8">
        <v>1</v>
      </c>
      <c r="F14" s="8" t="s">
        <v>12</v>
      </c>
      <c r="G14" s="8">
        <v>12</v>
      </c>
      <c r="H14" s="9">
        <v>81.16</v>
      </c>
      <c r="I14" s="10">
        <v>1.0091</v>
      </c>
      <c r="J14" s="9">
        <f t="shared" si="1"/>
        <v>81.898556</v>
      </c>
    </row>
    <row r="15" customHeight="1" spans="1:10">
      <c r="A15" s="8" t="str">
        <f>"20206112825"</f>
        <v>20206112825</v>
      </c>
      <c r="B15" s="8" t="s">
        <v>11</v>
      </c>
      <c r="C15" s="8" t="str">
        <f>"张迎"</f>
        <v>张迎</v>
      </c>
      <c r="D15" s="8" t="str">
        <f t="shared" si="2"/>
        <v>女</v>
      </c>
      <c r="E15" s="8">
        <v>1</v>
      </c>
      <c r="F15" s="8" t="s">
        <v>12</v>
      </c>
      <c r="G15" s="8">
        <v>14</v>
      </c>
      <c r="H15" s="9">
        <v>79.96</v>
      </c>
      <c r="I15" s="10">
        <v>1.0091</v>
      </c>
      <c r="J15" s="9">
        <f t="shared" si="1"/>
        <v>80.687636</v>
      </c>
    </row>
    <row r="16" customHeight="1" spans="1:10">
      <c r="A16" s="8" t="str">
        <f>"20206123302"</f>
        <v>20206123302</v>
      </c>
      <c r="B16" s="8" t="s">
        <v>11</v>
      </c>
      <c r="C16" s="8" t="str">
        <f>"赵怡珂"</f>
        <v>赵怡珂</v>
      </c>
      <c r="D16" s="8" t="str">
        <f t="shared" si="2"/>
        <v>女</v>
      </c>
      <c r="E16" s="8">
        <v>1</v>
      </c>
      <c r="F16" s="8" t="s">
        <v>12</v>
      </c>
      <c r="G16" s="8">
        <v>15</v>
      </c>
      <c r="H16" s="9">
        <v>78.76</v>
      </c>
      <c r="I16" s="10">
        <v>1.0091</v>
      </c>
      <c r="J16" s="9">
        <f t="shared" si="1"/>
        <v>79.476716</v>
      </c>
    </row>
    <row r="17" customHeight="1" spans="1:10">
      <c r="A17" s="8" t="str">
        <f>"20206112714"</f>
        <v>20206112714</v>
      </c>
      <c r="B17" s="8" t="s">
        <v>11</v>
      </c>
      <c r="C17" s="8" t="str">
        <f>"胡亚君"</f>
        <v>胡亚君</v>
      </c>
      <c r="D17" s="8" t="str">
        <f t="shared" si="2"/>
        <v>女</v>
      </c>
      <c r="E17" s="8">
        <v>1</v>
      </c>
      <c r="F17" s="8" t="s">
        <v>12</v>
      </c>
      <c r="G17" s="8">
        <v>16</v>
      </c>
      <c r="H17" s="9">
        <v>81.34</v>
      </c>
      <c r="I17" s="10">
        <v>1.0091</v>
      </c>
      <c r="J17" s="9">
        <f t="shared" si="1"/>
        <v>82.080194</v>
      </c>
    </row>
    <row r="18" customHeight="1" spans="1:10">
      <c r="A18" s="8" t="str">
        <f>"20206112809"</f>
        <v>20206112809</v>
      </c>
      <c r="B18" s="8" t="s">
        <v>11</v>
      </c>
      <c r="C18" s="8" t="str">
        <f>"张宏鑫"</f>
        <v>张宏鑫</v>
      </c>
      <c r="D18" s="8" t="str">
        <f>"男"</f>
        <v>男</v>
      </c>
      <c r="E18" s="8">
        <v>1</v>
      </c>
      <c r="F18" s="8" t="s">
        <v>12</v>
      </c>
      <c r="G18" s="8">
        <v>17</v>
      </c>
      <c r="H18" s="9">
        <v>74.46</v>
      </c>
      <c r="I18" s="10">
        <v>1.0091</v>
      </c>
      <c r="J18" s="9">
        <f t="shared" si="1"/>
        <v>75.137586</v>
      </c>
    </row>
    <row r="19" customHeight="1" spans="1:10">
      <c r="A19" s="8" t="str">
        <f>"20206112801"</f>
        <v>20206112801</v>
      </c>
      <c r="B19" s="8" t="s">
        <v>11</v>
      </c>
      <c r="C19" s="8" t="str">
        <f>"郭伟巍"</f>
        <v>郭伟巍</v>
      </c>
      <c r="D19" s="8" t="str">
        <f t="shared" ref="D19:D33" si="3">"女"</f>
        <v>女</v>
      </c>
      <c r="E19" s="8">
        <v>1</v>
      </c>
      <c r="F19" s="8" t="s">
        <v>12</v>
      </c>
      <c r="G19" s="8">
        <v>18</v>
      </c>
      <c r="H19" s="9">
        <v>79.3</v>
      </c>
      <c r="I19" s="10">
        <v>1.0091</v>
      </c>
      <c r="J19" s="9">
        <f t="shared" si="1"/>
        <v>80.02163</v>
      </c>
    </row>
    <row r="20" customHeight="1" spans="1:10">
      <c r="A20" s="8" t="str">
        <f>"20206112913"</f>
        <v>20206112913</v>
      </c>
      <c r="B20" s="8" t="s">
        <v>11</v>
      </c>
      <c r="C20" s="8" t="str">
        <f>"张盟"</f>
        <v>张盟</v>
      </c>
      <c r="D20" s="8" t="str">
        <f t="shared" si="3"/>
        <v>女</v>
      </c>
      <c r="E20" s="8">
        <v>1</v>
      </c>
      <c r="F20" s="8" t="s">
        <v>12</v>
      </c>
      <c r="G20" s="8">
        <v>19</v>
      </c>
      <c r="H20" s="9">
        <v>78.88</v>
      </c>
      <c r="I20" s="10">
        <v>1.0091</v>
      </c>
      <c r="J20" s="9">
        <f t="shared" si="1"/>
        <v>79.597808</v>
      </c>
    </row>
    <row r="21" customHeight="1" spans="1:10">
      <c r="A21" s="8" t="str">
        <f>"20206112612"</f>
        <v>20206112612</v>
      </c>
      <c r="B21" s="8" t="s">
        <v>11</v>
      </c>
      <c r="C21" s="8" t="str">
        <f>"余淼"</f>
        <v>余淼</v>
      </c>
      <c r="D21" s="8" t="str">
        <f t="shared" si="3"/>
        <v>女</v>
      </c>
      <c r="E21" s="8">
        <v>1</v>
      </c>
      <c r="F21" s="8" t="s">
        <v>12</v>
      </c>
      <c r="G21" s="8">
        <v>20</v>
      </c>
      <c r="H21" s="9">
        <v>77.9</v>
      </c>
      <c r="I21" s="10">
        <v>1.0091</v>
      </c>
      <c r="J21" s="9">
        <f t="shared" si="1"/>
        <v>78.60889</v>
      </c>
    </row>
    <row r="22" customHeight="1" spans="1:10">
      <c r="A22" s="8" t="str">
        <f>"20206112804"</f>
        <v>20206112804</v>
      </c>
      <c r="B22" s="8" t="s">
        <v>11</v>
      </c>
      <c r="C22" s="8" t="str">
        <f>"崔源"</f>
        <v>崔源</v>
      </c>
      <c r="D22" s="8" t="str">
        <f t="shared" si="3"/>
        <v>女</v>
      </c>
      <c r="E22" s="8">
        <v>1</v>
      </c>
      <c r="F22" s="8" t="s">
        <v>12</v>
      </c>
      <c r="G22" s="8">
        <v>21</v>
      </c>
      <c r="H22" s="9">
        <v>78.24</v>
      </c>
      <c r="I22" s="10">
        <v>1.0091</v>
      </c>
      <c r="J22" s="9">
        <f t="shared" si="1"/>
        <v>78.951984</v>
      </c>
    </row>
    <row r="23" customHeight="1" spans="1:10">
      <c r="A23" s="8" t="str">
        <f>"20206112906"</f>
        <v>20206112906</v>
      </c>
      <c r="B23" s="8" t="s">
        <v>11</v>
      </c>
      <c r="C23" s="8" t="str">
        <f>"殷倩"</f>
        <v>殷倩</v>
      </c>
      <c r="D23" s="8" t="str">
        <f t="shared" si="3"/>
        <v>女</v>
      </c>
      <c r="E23" s="8">
        <v>1</v>
      </c>
      <c r="F23" s="8" t="s">
        <v>12</v>
      </c>
      <c r="G23" s="8">
        <v>22</v>
      </c>
      <c r="H23" s="9">
        <v>70.5</v>
      </c>
      <c r="I23" s="10">
        <v>1.0091</v>
      </c>
      <c r="J23" s="9">
        <f t="shared" si="1"/>
        <v>71.14155</v>
      </c>
    </row>
    <row r="24" customHeight="1" spans="1:10">
      <c r="A24" s="8" t="str">
        <f>"20206123313"</f>
        <v>20206123313</v>
      </c>
      <c r="B24" s="8" t="s">
        <v>11</v>
      </c>
      <c r="C24" s="8" t="str">
        <f>"张家晔"</f>
        <v>张家晔</v>
      </c>
      <c r="D24" s="8" t="str">
        <f t="shared" si="3"/>
        <v>女</v>
      </c>
      <c r="E24" s="8">
        <v>1</v>
      </c>
      <c r="F24" s="8" t="s">
        <v>12</v>
      </c>
      <c r="G24" s="8">
        <v>23</v>
      </c>
      <c r="H24" s="9">
        <v>82.42</v>
      </c>
      <c r="I24" s="10">
        <v>1.0091</v>
      </c>
      <c r="J24" s="9">
        <f t="shared" si="1"/>
        <v>83.170022</v>
      </c>
    </row>
    <row r="25" customHeight="1" spans="1:10">
      <c r="A25" s="8" t="str">
        <f>"20206112715"</f>
        <v>20206112715</v>
      </c>
      <c r="B25" s="8" t="s">
        <v>11</v>
      </c>
      <c r="C25" s="8" t="str">
        <f>"焦耀璞"</f>
        <v>焦耀璞</v>
      </c>
      <c r="D25" s="8" t="str">
        <f t="shared" si="3"/>
        <v>女</v>
      </c>
      <c r="E25" s="8">
        <v>1</v>
      </c>
      <c r="F25" s="8" t="s">
        <v>12</v>
      </c>
      <c r="G25" s="8">
        <v>24</v>
      </c>
      <c r="H25" s="9">
        <v>83.5</v>
      </c>
      <c r="I25" s="10">
        <v>1.0091</v>
      </c>
      <c r="J25" s="9">
        <f t="shared" si="1"/>
        <v>84.25985</v>
      </c>
    </row>
    <row r="26" customHeight="1" spans="1:10">
      <c r="A26" s="8" t="str">
        <f>"20206123207"</f>
        <v>20206123207</v>
      </c>
      <c r="B26" s="8" t="s">
        <v>11</v>
      </c>
      <c r="C26" s="8" t="str">
        <f>"王春景"</f>
        <v>王春景</v>
      </c>
      <c r="D26" s="8" t="str">
        <f t="shared" si="3"/>
        <v>女</v>
      </c>
      <c r="E26" s="8">
        <v>1</v>
      </c>
      <c r="F26" s="8" t="s">
        <v>13</v>
      </c>
      <c r="G26" s="8">
        <v>1</v>
      </c>
      <c r="H26" s="9">
        <v>75.24</v>
      </c>
      <c r="I26" s="10">
        <v>1.0091</v>
      </c>
      <c r="J26" s="9">
        <f t="shared" si="1"/>
        <v>75.924684</v>
      </c>
    </row>
    <row r="27" customHeight="1" spans="1:10">
      <c r="A27" s="8" t="str">
        <f>"20206123306"</f>
        <v>20206123306</v>
      </c>
      <c r="B27" s="8" t="s">
        <v>11</v>
      </c>
      <c r="C27" s="8" t="str">
        <f>"严洁"</f>
        <v>严洁</v>
      </c>
      <c r="D27" s="8" t="str">
        <f t="shared" si="3"/>
        <v>女</v>
      </c>
      <c r="E27" s="8">
        <v>1</v>
      </c>
      <c r="F27" s="8" t="s">
        <v>13</v>
      </c>
      <c r="G27" s="8">
        <v>2</v>
      </c>
      <c r="H27" s="9">
        <v>74.94</v>
      </c>
      <c r="I27" s="10">
        <v>1.0091</v>
      </c>
      <c r="J27" s="9">
        <f t="shared" si="1"/>
        <v>75.621954</v>
      </c>
    </row>
    <row r="28" customHeight="1" spans="1:10">
      <c r="A28" s="8" t="str">
        <f>"20206112616"</f>
        <v>20206112616</v>
      </c>
      <c r="B28" s="8" t="s">
        <v>11</v>
      </c>
      <c r="C28" s="8" t="str">
        <f>"张路"</f>
        <v>张路</v>
      </c>
      <c r="D28" s="8" t="str">
        <f t="shared" si="3"/>
        <v>女</v>
      </c>
      <c r="E28" s="8">
        <v>1</v>
      </c>
      <c r="F28" s="8" t="s">
        <v>13</v>
      </c>
      <c r="G28" s="8">
        <v>3</v>
      </c>
      <c r="H28" s="9">
        <v>76.76</v>
      </c>
      <c r="I28" s="10">
        <v>1.0091</v>
      </c>
      <c r="J28" s="9">
        <f t="shared" si="1"/>
        <v>77.458516</v>
      </c>
    </row>
    <row r="29" customHeight="1" spans="1:10">
      <c r="A29" s="8" t="str">
        <f>"20206123228"</f>
        <v>20206123228</v>
      </c>
      <c r="B29" s="8" t="s">
        <v>11</v>
      </c>
      <c r="C29" s="8" t="str">
        <f>"唐婧瑶"</f>
        <v>唐婧瑶</v>
      </c>
      <c r="D29" s="8" t="str">
        <f t="shared" si="3"/>
        <v>女</v>
      </c>
      <c r="E29" s="8">
        <v>1</v>
      </c>
      <c r="F29" s="8" t="s">
        <v>13</v>
      </c>
      <c r="G29" s="8">
        <v>4</v>
      </c>
      <c r="H29" s="9">
        <v>79.28</v>
      </c>
      <c r="I29" s="10">
        <v>1.0091</v>
      </c>
      <c r="J29" s="9">
        <f t="shared" si="1"/>
        <v>80.001448</v>
      </c>
    </row>
    <row r="30" customHeight="1" spans="1:10">
      <c r="A30" s="8" t="str">
        <f>"20206123118"</f>
        <v>20206123118</v>
      </c>
      <c r="B30" s="8" t="s">
        <v>11</v>
      </c>
      <c r="C30" s="8" t="str">
        <f>"张召帅"</f>
        <v>张召帅</v>
      </c>
      <c r="D30" s="8" t="str">
        <f t="shared" si="3"/>
        <v>女</v>
      </c>
      <c r="E30" s="8">
        <v>1</v>
      </c>
      <c r="F30" s="8" t="s">
        <v>13</v>
      </c>
      <c r="G30" s="8">
        <v>5</v>
      </c>
      <c r="H30" s="9">
        <v>71.9</v>
      </c>
      <c r="I30" s="10">
        <v>1.0091</v>
      </c>
      <c r="J30" s="9">
        <f t="shared" si="1"/>
        <v>72.55429</v>
      </c>
    </row>
    <row r="31" customHeight="1" spans="1:10">
      <c r="A31" s="8" t="str">
        <f>"20206112726"</f>
        <v>20206112726</v>
      </c>
      <c r="B31" s="8" t="s">
        <v>11</v>
      </c>
      <c r="C31" s="8" t="str">
        <f>"杜跃杰"</f>
        <v>杜跃杰</v>
      </c>
      <c r="D31" s="8" t="str">
        <f t="shared" si="3"/>
        <v>女</v>
      </c>
      <c r="E31" s="8">
        <v>1</v>
      </c>
      <c r="F31" s="8" t="s">
        <v>13</v>
      </c>
      <c r="G31" s="8">
        <v>6</v>
      </c>
      <c r="H31" s="9">
        <v>77.16</v>
      </c>
      <c r="I31" s="10">
        <v>1.0091</v>
      </c>
      <c r="J31" s="9">
        <f t="shared" si="1"/>
        <v>77.862156</v>
      </c>
    </row>
    <row r="32" customHeight="1" spans="1:10">
      <c r="A32" s="8" t="str">
        <f>"20206123123"</f>
        <v>20206123123</v>
      </c>
      <c r="B32" s="8" t="s">
        <v>11</v>
      </c>
      <c r="C32" s="8" t="str">
        <f>"丁梦迪"</f>
        <v>丁梦迪</v>
      </c>
      <c r="D32" s="8" t="str">
        <f t="shared" si="3"/>
        <v>女</v>
      </c>
      <c r="E32" s="8">
        <v>1</v>
      </c>
      <c r="F32" s="8" t="s">
        <v>13</v>
      </c>
      <c r="G32" s="8">
        <v>7</v>
      </c>
      <c r="H32" s="9">
        <v>76.48</v>
      </c>
      <c r="I32" s="10">
        <v>1.0091</v>
      </c>
      <c r="J32" s="9">
        <f t="shared" si="1"/>
        <v>77.175968</v>
      </c>
    </row>
    <row r="33" customHeight="1" spans="1:10">
      <c r="A33" s="8" t="str">
        <f>"20206123208"</f>
        <v>20206123208</v>
      </c>
      <c r="B33" s="8" t="s">
        <v>11</v>
      </c>
      <c r="C33" s="8" t="str">
        <f>"韩举鑫"</f>
        <v>韩举鑫</v>
      </c>
      <c r="D33" s="8" t="str">
        <f t="shared" si="3"/>
        <v>女</v>
      </c>
      <c r="E33" s="8">
        <v>1</v>
      </c>
      <c r="F33" s="8" t="s">
        <v>13</v>
      </c>
      <c r="G33" s="8">
        <v>9</v>
      </c>
      <c r="H33" s="9">
        <v>80.74</v>
      </c>
      <c r="I33" s="10">
        <v>1.0091</v>
      </c>
      <c r="J33" s="9">
        <f t="shared" si="1"/>
        <v>81.474734</v>
      </c>
    </row>
    <row r="34" customHeight="1" spans="1:10">
      <c r="A34" s="8" t="str">
        <f>"20206112711"</f>
        <v>20206112711</v>
      </c>
      <c r="B34" s="8" t="s">
        <v>11</v>
      </c>
      <c r="C34" s="8" t="str">
        <f>"李长安"</f>
        <v>李长安</v>
      </c>
      <c r="D34" s="8" t="str">
        <f>"男"</f>
        <v>男</v>
      </c>
      <c r="E34" s="8">
        <v>1</v>
      </c>
      <c r="F34" s="8" t="s">
        <v>13</v>
      </c>
      <c r="G34" s="8">
        <v>10</v>
      </c>
      <c r="H34" s="9">
        <v>82.36</v>
      </c>
      <c r="I34" s="10">
        <v>1.0091</v>
      </c>
      <c r="J34" s="9">
        <f t="shared" si="1"/>
        <v>83.109476</v>
      </c>
    </row>
    <row r="35" customHeight="1" spans="1:10">
      <c r="A35" s="8" t="str">
        <f>"20206112822"</f>
        <v>20206112822</v>
      </c>
      <c r="B35" s="8" t="s">
        <v>11</v>
      </c>
      <c r="C35" s="8" t="str">
        <f>"张濮"</f>
        <v>张濮</v>
      </c>
      <c r="D35" s="8" t="str">
        <f t="shared" ref="D35:D40" si="4">"女"</f>
        <v>女</v>
      </c>
      <c r="E35" s="8">
        <v>1</v>
      </c>
      <c r="F35" s="8" t="s">
        <v>13</v>
      </c>
      <c r="G35" s="8">
        <v>11</v>
      </c>
      <c r="H35" s="9">
        <v>71.94</v>
      </c>
      <c r="I35" s="10">
        <v>1.0091</v>
      </c>
      <c r="J35" s="9">
        <f t="shared" si="1"/>
        <v>72.594654</v>
      </c>
    </row>
    <row r="36" customHeight="1" spans="1:10">
      <c r="A36" s="8" t="str">
        <f>"20206113024"</f>
        <v>20206113024</v>
      </c>
      <c r="B36" s="8" t="s">
        <v>11</v>
      </c>
      <c r="C36" s="8" t="str">
        <f>"吴佳鑫"</f>
        <v>吴佳鑫</v>
      </c>
      <c r="D36" s="8" t="str">
        <f t="shared" si="4"/>
        <v>女</v>
      </c>
      <c r="E36" s="8">
        <v>1</v>
      </c>
      <c r="F36" s="8" t="s">
        <v>13</v>
      </c>
      <c r="G36" s="8">
        <v>12</v>
      </c>
      <c r="H36" s="9">
        <v>81</v>
      </c>
      <c r="I36" s="10">
        <v>1.0091</v>
      </c>
      <c r="J36" s="9">
        <f t="shared" si="1"/>
        <v>81.7371</v>
      </c>
    </row>
    <row r="37" customHeight="1" spans="1:10">
      <c r="A37" s="8" t="str">
        <f>"20206123217"</f>
        <v>20206123217</v>
      </c>
      <c r="B37" s="8" t="s">
        <v>11</v>
      </c>
      <c r="C37" s="8" t="str">
        <f>"邱明明"</f>
        <v>邱明明</v>
      </c>
      <c r="D37" s="8" t="str">
        <f t="shared" si="4"/>
        <v>女</v>
      </c>
      <c r="E37" s="8">
        <v>1</v>
      </c>
      <c r="F37" s="8" t="s">
        <v>13</v>
      </c>
      <c r="G37" s="8">
        <v>13</v>
      </c>
      <c r="H37" s="9">
        <v>83.12</v>
      </c>
      <c r="I37" s="10">
        <v>1.0091</v>
      </c>
      <c r="J37" s="9">
        <f t="shared" si="1"/>
        <v>83.876392</v>
      </c>
    </row>
    <row r="38" customHeight="1" spans="1:10">
      <c r="A38" s="8" t="str">
        <f>"20206123222"</f>
        <v>20206123222</v>
      </c>
      <c r="B38" s="8" t="s">
        <v>11</v>
      </c>
      <c r="C38" s="8" t="str">
        <f>"余爽爽"</f>
        <v>余爽爽</v>
      </c>
      <c r="D38" s="8" t="str">
        <f t="shared" si="4"/>
        <v>女</v>
      </c>
      <c r="E38" s="8">
        <v>1</v>
      </c>
      <c r="F38" s="8" t="s">
        <v>13</v>
      </c>
      <c r="G38" s="8">
        <v>15</v>
      </c>
      <c r="H38" s="9">
        <v>81.14</v>
      </c>
      <c r="I38" s="10">
        <v>1.0091</v>
      </c>
      <c r="J38" s="9">
        <f t="shared" si="1"/>
        <v>81.878374</v>
      </c>
    </row>
    <row r="39" customHeight="1" spans="1:10">
      <c r="A39" s="8" t="str">
        <f>"20206112516"</f>
        <v>20206112516</v>
      </c>
      <c r="B39" s="8" t="s">
        <v>11</v>
      </c>
      <c r="C39" s="8" t="str">
        <f>"张甲平"</f>
        <v>张甲平</v>
      </c>
      <c r="D39" s="8" t="str">
        <f t="shared" si="4"/>
        <v>女</v>
      </c>
      <c r="E39" s="8">
        <v>1</v>
      </c>
      <c r="F39" s="8" t="s">
        <v>13</v>
      </c>
      <c r="G39" s="8">
        <v>18</v>
      </c>
      <c r="H39" s="9">
        <v>80.32</v>
      </c>
      <c r="I39" s="10">
        <v>1.0091</v>
      </c>
      <c r="J39" s="9">
        <f t="shared" si="1"/>
        <v>81.050912</v>
      </c>
    </row>
    <row r="40" customHeight="1" spans="1:10">
      <c r="A40" s="8" t="str">
        <f>"20206112920"</f>
        <v>20206112920</v>
      </c>
      <c r="B40" s="8" t="s">
        <v>11</v>
      </c>
      <c r="C40" s="8" t="str">
        <f>"李新园"</f>
        <v>李新园</v>
      </c>
      <c r="D40" s="8" t="str">
        <f t="shared" si="4"/>
        <v>女</v>
      </c>
      <c r="E40" s="8">
        <v>1</v>
      </c>
      <c r="F40" s="8" t="s">
        <v>13</v>
      </c>
      <c r="G40" s="8">
        <v>19</v>
      </c>
      <c r="H40" s="9">
        <v>80.8</v>
      </c>
      <c r="I40" s="10">
        <v>1.0091</v>
      </c>
      <c r="J40" s="9">
        <f t="shared" si="1"/>
        <v>81.53528</v>
      </c>
    </row>
    <row r="41" customHeight="1" spans="1:10">
      <c r="A41" s="8" t="str">
        <f>"20206112709"</f>
        <v>20206112709</v>
      </c>
      <c r="B41" s="8" t="s">
        <v>11</v>
      </c>
      <c r="C41" s="8" t="str">
        <f>"王一鸣"</f>
        <v>王一鸣</v>
      </c>
      <c r="D41" s="8" t="str">
        <f t="shared" ref="D41:D68" si="5">"女"</f>
        <v>女</v>
      </c>
      <c r="E41" s="8">
        <v>2</v>
      </c>
      <c r="F41" s="8" t="s">
        <v>12</v>
      </c>
      <c r="G41" s="8">
        <v>1</v>
      </c>
      <c r="H41" s="9">
        <v>76.46</v>
      </c>
      <c r="I41" s="10">
        <v>0.9912</v>
      </c>
      <c r="J41" s="9">
        <f t="shared" si="1"/>
        <v>75.787152</v>
      </c>
    </row>
    <row r="42" customHeight="1" spans="1:10">
      <c r="A42" s="8" t="str">
        <f>"20206112925"</f>
        <v>20206112925</v>
      </c>
      <c r="B42" s="8" t="s">
        <v>11</v>
      </c>
      <c r="C42" s="8" t="str">
        <f>"左芳琦"</f>
        <v>左芳琦</v>
      </c>
      <c r="D42" s="8" t="str">
        <f t="shared" si="5"/>
        <v>女</v>
      </c>
      <c r="E42" s="8">
        <v>2</v>
      </c>
      <c r="F42" s="8" t="s">
        <v>12</v>
      </c>
      <c r="G42" s="8">
        <v>2</v>
      </c>
      <c r="H42" s="9">
        <v>81.72</v>
      </c>
      <c r="I42" s="10">
        <v>0.9912</v>
      </c>
      <c r="J42" s="9">
        <f t="shared" ref="J42:J67" si="6">H42*I42</f>
        <v>81.000864</v>
      </c>
    </row>
    <row r="43" customHeight="1" spans="1:10">
      <c r="A43" s="8" t="str">
        <f>"20206112802"</f>
        <v>20206112802</v>
      </c>
      <c r="B43" s="8" t="s">
        <v>11</v>
      </c>
      <c r="C43" s="8" t="str">
        <f>"张静"</f>
        <v>张静</v>
      </c>
      <c r="D43" s="8" t="str">
        <f t="shared" si="5"/>
        <v>女</v>
      </c>
      <c r="E43" s="8">
        <v>2</v>
      </c>
      <c r="F43" s="8" t="s">
        <v>12</v>
      </c>
      <c r="G43" s="8">
        <v>3</v>
      </c>
      <c r="H43" s="9">
        <v>78.24</v>
      </c>
      <c r="I43" s="10">
        <v>0.9912</v>
      </c>
      <c r="J43" s="9">
        <f t="shared" si="6"/>
        <v>77.551488</v>
      </c>
    </row>
    <row r="44" customHeight="1" spans="1:10">
      <c r="A44" s="8" t="str">
        <f>"20206123301"</f>
        <v>20206123301</v>
      </c>
      <c r="B44" s="8" t="s">
        <v>11</v>
      </c>
      <c r="C44" s="8" t="str">
        <f>"庞贺丹"</f>
        <v>庞贺丹</v>
      </c>
      <c r="D44" s="8" t="str">
        <f t="shared" si="5"/>
        <v>女</v>
      </c>
      <c r="E44" s="8">
        <v>2</v>
      </c>
      <c r="F44" s="8" t="s">
        <v>12</v>
      </c>
      <c r="G44" s="8">
        <v>4</v>
      </c>
      <c r="H44" s="9">
        <v>77.76</v>
      </c>
      <c r="I44" s="10">
        <v>0.9912</v>
      </c>
      <c r="J44" s="9">
        <f t="shared" si="6"/>
        <v>77.075712</v>
      </c>
    </row>
    <row r="45" customHeight="1" spans="1:10">
      <c r="A45" s="8" t="str">
        <f>"20206112808"</f>
        <v>20206112808</v>
      </c>
      <c r="B45" s="8" t="s">
        <v>11</v>
      </c>
      <c r="C45" s="8" t="str">
        <f>"李鑫轮"</f>
        <v>李鑫轮</v>
      </c>
      <c r="D45" s="8" t="str">
        <f t="shared" si="5"/>
        <v>女</v>
      </c>
      <c r="E45" s="8">
        <v>2</v>
      </c>
      <c r="F45" s="8" t="s">
        <v>12</v>
      </c>
      <c r="G45" s="8">
        <v>5</v>
      </c>
      <c r="H45" s="9">
        <v>80.12</v>
      </c>
      <c r="I45" s="10">
        <v>0.9912</v>
      </c>
      <c r="J45" s="9">
        <f t="shared" si="6"/>
        <v>79.414944</v>
      </c>
    </row>
    <row r="46" customHeight="1" spans="1:10">
      <c r="A46" s="8" t="str">
        <f>"20206113021"</f>
        <v>20206113021</v>
      </c>
      <c r="B46" s="8" t="s">
        <v>11</v>
      </c>
      <c r="C46" s="8" t="str">
        <f>"徐婷"</f>
        <v>徐婷</v>
      </c>
      <c r="D46" s="8" t="str">
        <f t="shared" si="5"/>
        <v>女</v>
      </c>
      <c r="E46" s="8">
        <v>2</v>
      </c>
      <c r="F46" s="8" t="s">
        <v>12</v>
      </c>
      <c r="G46" s="8">
        <v>6</v>
      </c>
      <c r="H46" s="9">
        <v>85.02</v>
      </c>
      <c r="I46" s="10">
        <v>0.9912</v>
      </c>
      <c r="J46" s="9">
        <f t="shared" si="6"/>
        <v>84.271824</v>
      </c>
    </row>
    <row r="47" customHeight="1" spans="1:10">
      <c r="A47" s="8" t="str">
        <f>"20206112807"</f>
        <v>20206112807</v>
      </c>
      <c r="B47" s="8" t="s">
        <v>11</v>
      </c>
      <c r="C47" s="8" t="str">
        <f>"谢宛欣"</f>
        <v>谢宛欣</v>
      </c>
      <c r="D47" s="8" t="str">
        <f t="shared" si="5"/>
        <v>女</v>
      </c>
      <c r="E47" s="8">
        <v>2</v>
      </c>
      <c r="F47" s="8" t="s">
        <v>12</v>
      </c>
      <c r="G47" s="8">
        <v>7</v>
      </c>
      <c r="H47" s="9">
        <v>77.12</v>
      </c>
      <c r="I47" s="10">
        <v>0.9912</v>
      </c>
      <c r="J47" s="9">
        <f t="shared" si="6"/>
        <v>76.441344</v>
      </c>
    </row>
    <row r="48" customHeight="1" spans="1:10">
      <c r="A48" s="8" t="str">
        <f>"20206112608"</f>
        <v>20206112608</v>
      </c>
      <c r="B48" s="8" t="s">
        <v>11</v>
      </c>
      <c r="C48" s="8" t="str">
        <f>"杨巧庆"</f>
        <v>杨巧庆</v>
      </c>
      <c r="D48" s="8" t="str">
        <f t="shared" si="5"/>
        <v>女</v>
      </c>
      <c r="E48" s="8">
        <v>2</v>
      </c>
      <c r="F48" s="8" t="s">
        <v>12</v>
      </c>
      <c r="G48" s="8">
        <v>8</v>
      </c>
      <c r="H48" s="9">
        <v>79.82</v>
      </c>
      <c r="I48" s="10">
        <v>0.9912</v>
      </c>
      <c r="J48" s="9">
        <f t="shared" si="6"/>
        <v>79.117584</v>
      </c>
    </row>
    <row r="49" customHeight="1" spans="1:10">
      <c r="A49" s="8" t="str">
        <f>"20206112708"</f>
        <v>20206112708</v>
      </c>
      <c r="B49" s="8" t="s">
        <v>11</v>
      </c>
      <c r="C49" s="8" t="str">
        <f>"吕伟双"</f>
        <v>吕伟双</v>
      </c>
      <c r="D49" s="8" t="str">
        <f t="shared" si="5"/>
        <v>女</v>
      </c>
      <c r="E49" s="8">
        <v>2</v>
      </c>
      <c r="F49" s="8" t="s">
        <v>12</v>
      </c>
      <c r="G49" s="8">
        <v>9</v>
      </c>
      <c r="H49" s="9">
        <v>77</v>
      </c>
      <c r="I49" s="10">
        <v>0.9912</v>
      </c>
      <c r="J49" s="9">
        <f t="shared" si="6"/>
        <v>76.3224</v>
      </c>
    </row>
    <row r="50" customHeight="1" spans="1:10">
      <c r="A50" s="8" t="str">
        <f>"20206123315"</f>
        <v>20206123315</v>
      </c>
      <c r="B50" s="8" t="s">
        <v>11</v>
      </c>
      <c r="C50" s="8" t="str">
        <f>"刘斌"</f>
        <v>刘斌</v>
      </c>
      <c r="D50" s="8" t="str">
        <f t="shared" si="5"/>
        <v>女</v>
      </c>
      <c r="E50" s="8">
        <v>2</v>
      </c>
      <c r="F50" s="8" t="s">
        <v>12</v>
      </c>
      <c r="G50" s="8">
        <v>10</v>
      </c>
      <c r="H50" s="9">
        <v>80.02</v>
      </c>
      <c r="I50" s="10">
        <v>0.9912</v>
      </c>
      <c r="J50" s="9">
        <f t="shared" si="6"/>
        <v>79.315824</v>
      </c>
    </row>
    <row r="51" customHeight="1" spans="1:10">
      <c r="A51" s="8" t="str">
        <f>"20206112929"</f>
        <v>20206112929</v>
      </c>
      <c r="B51" s="8" t="s">
        <v>11</v>
      </c>
      <c r="C51" s="8" t="str">
        <f>"尹延勤"</f>
        <v>尹延勤</v>
      </c>
      <c r="D51" s="8" t="str">
        <f t="shared" si="5"/>
        <v>女</v>
      </c>
      <c r="E51" s="8">
        <v>2</v>
      </c>
      <c r="F51" s="8" t="s">
        <v>12</v>
      </c>
      <c r="G51" s="8">
        <v>11</v>
      </c>
      <c r="H51" s="9">
        <v>76.4</v>
      </c>
      <c r="I51" s="10">
        <v>0.9912</v>
      </c>
      <c r="J51" s="9">
        <f t="shared" si="6"/>
        <v>75.72768</v>
      </c>
    </row>
    <row r="52" customHeight="1" spans="1:10">
      <c r="A52" s="8" t="str">
        <f>"20206123224"</f>
        <v>20206123224</v>
      </c>
      <c r="B52" s="8" t="s">
        <v>11</v>
      </c>
      <c r="C52" s="8" t="str">
        <f>"李稳"</f>
        <v>李稳</v>
      </c>
      <c r="D52" s="8" t="str">
        <f t="shared" si="5"/>
        <v>女</v>
      </c>
      <c r="E52" s="8">
        <v>2</v>
      </c>
      <c r="F52" s="8" t="s">
        <v>12</v>
      </c>
      <c r="G52" s="8">
        <v>12</v>
      </c>
      <c r="H52" s="9">
        <v>75.28</v>
      </c>
      <c r="I52" s="10">
        <v>0.9912</v>
      </c>
      <c r="J52" s="9">
        <f t="shared" si="6"/>
        <v>74.617536</v>
      </c>
    </row>
    <row r="53" customHeight="1" spans="1:10">
      <c r="A53" s="8" t="str">
        <f>"20206112614"</f>
        <v>20206112614</v>
      </c>
      <c r="B53" s="8" t="s">
        <v>11</v>
      </c>
      <c r="C53" s="8" t="str">
        <f>"杜轲帆"</f>
        <v>杜轲帆</v>
      </c>
      <c r="D53" s="8" t="str">
        <f t="shared" si="5"/>
        <v>女</v>
      </c>
      <c r="E53" s="8">
        <v>2</v>
      </c>
      <c r="F53" s="8" t="s">
        <v>12</v>
      </c>
      <c r="G53" s="8">
        <v>13</v>
      </c>
      <c r="H53" s="9">
        <v>81.36</v>
      </c>
      <c r="I53" s="10">
        <v>0.9912</v>
      </c>
      <c r="J53" s="9">
        <f t="shared" si="6"/>
        <v>80.644032</v>
      </c>
    </row>
    <row r="54" customHeight="1" spans="1:10">
      <c r="A54" s="8" t="str">
        <f>"20206112627"</f>
        <v>20206112627</v>
      </c>
      <c r="B54" s="8" t="s">
        <v>11</v>
      </c>
      <c r="C54" s="8" t="str">
        <f>"景琪凤"</f>
        <v>景琪凤</v>
      </c>
      <c r="D54" s="8" t="str">
        <f t="shared" si="5"/>
        <v>女</v>
      </c>
      <c r="E54" s="8">
        <v>2</v>
      </c>
      <c r="F54" s="8" t="s">
        <v>12</v>
      </c>
      <c r="G54" s="8">
        <v>14</v>
      </c>
      <c r="H54" s="9">
        <v>80.66</v>
      </c>
      <c r="I54" s="10">
        <v>0.9912</v>
      </c>
      <c r="J54" s="9">
        <f t="shared" si="6"/>
        <v>79.950192</v>
      </c>
    </row>
    <row r="55" customHeight="1" spans="1:10">
      <c r="A55" s="8" t="str">
        <f>"20206113025"</f>
        <v>20206113025</v>
      </c>
      <c r="B55" s="8" t="s">
        <v>11</v>
      </c>
      <c r="C55" s="8" t="str">
        <f>"刘崇"</f>
        <v>刘崇</v>
      </c>
      <c r="D55" s="8" t="str">
        <f t="shared" si="5"/>
        <v>女</v>
      </c>
      <c r="E55" s="8">
        <v>2</v>
      </c>
      <c r="F55" s="8" t="s">
        <v>12</v>
      </c>
      <c r="G55" s="8">
        <v>16</v>
      </c>
      <c r="H55" s="9">
        <v>77</v>
      </c>
      <c r="I55" s="10">
        <v>0.9912</v>
      </c>
      <c r="J55" s="9">
        <f t="shared" si="6"/>
        <v>76.3224</v>
      </c>
    </row>
    <row r="56" customHeight="1" spans="1:10">
      <c r="A56" s="8" t="str">
        <f>"20206123110"</f>
        <v>20206123110</v>
      </c>
      <c r="B56" s="8" t="s">
        <v>11</v>
      </c>
      <c r="C56" s="8" t="str">
        <f>"石惠银"</f>
        <v>石惠银</v>
      </c>
      <c r="D56" s="8" t="str">
        <f t="shared" si="5"/>
        <v>女</v>
      </c>
      <c r="E56" s="8">
        <v>2</v>
      </c>
      <c r="F56" s="8" t="s">
        <v>12</v>
      </c>
      <c r="G56" s="8">
        <v>18</v>
      </c>
      <c r="H56" s="9">
        <v>73.54</v>
      </c>
      <c r="I56" s="10">
        <v>0.9912</v>
      </c>
      <c r="J56" s="9">
        <f t="shared" si="6"/>
        <v>72.892848</v>
      </c>
    </row>
    <row r="57" customHeight="1" spans="1:10">
      <c r="A57" s="8" t="str">
        <f>"20206112619"</f>
        <v>20206112619</v>
      </c>
      <c r="B57" s="8" t="s">
        <v>11</v>
      </c>
      <c r="C57" s="8" t="str">
        <f>"袁园"</f>
        <v>袁园</v>
      </c>
      <c r="D57" s="8" t="str">
        <f t="shared" si="5"/>
        <v>女</v>
      </c>
      <c r="E57" s="8">
        <v>2</v>
      </c>
      <c r="F57" s="8" t="s">
        <v>12</v>
      </c>
      <c r="G57" s="8">
        <v>19</v>
      </c>
      <c r="H57" s="9">
        <v>82.8</v>
      </c>
      <c r="I57" s="10">
        <v>0.9912</v>
      </c>
      <c r="J57" s="9">
        <f t="shared" si="6"/>
        <v>82.07136</v>
      </c>
    </row>
    <row r="58" customHeight="1" spans="1:10">
      <c r="A58" s="8" t="str">
        <f>"20206112916"</f>
        <v>20206112916</v>
      </c>
      <c r="B58" s="8" t="s">
        <v>11</v>
      </c>
      <c r="C58" s="8" t="str">
        <f>"赵芳菲"</f>
        <v>赵芳菲</v>
      </c>
      <c r="D58" s="8" t="str">
        <f t="shared" si="5"/>
        <v>女</v>
      </c>
      <c r="E58" s="8">
        <v>2</v>
      </c>
      <c r="F58" s="8" t="s">
        <v>12</v>
      </c>
      <c r="G58" s="8">
        <v>20</v>
      </c>
      <c r="H58" s="9">
        <v>83.1</v>
      </c>
      <c r="I58" s="10">
        <v>0.9912</v>
      </c>
      <c r="J58" s="9">
        <f t="shared" si="6"/>
        <v>82.36872</v>
      </c>
    </row>
    <row r="59" customHeight="1" spans="1:10">
      <c r="A59" s="8" t="str">
        <f>"20206123129"</f>
        <v>20206123129</v>
      </c>
      <c r="B59" s="8" t="s">
        <v>11</v>
      </c>
      <c r="C59" s="8" t="str">
        <f>"陈迎仙"</f>
        <v>陈迎仙</v>
      </c>
      <c r="D59" s="8" t="str">
        <f t="shared" si="5"/>
        <v>女</v>
      </c>
      <c r="E59" s="8">
        <v>2</v>
      </c>
      <c r="F59" s="8" t="s">
        <v>12</v>
      </c>
      <c r="G59" s="8">
        <v>21</v>
      </c>
      <c r="H59" s="9">
        <v>84.98</v>
      </c>
      <c r="I59" s="10">
        <v>0.9912</v>
      </c>
      <c r="J59" s="9">
        <f t="shared" si="6"/>
        <v>84.232176</v>
      </c>
    </row>
    <row r="60" customHeight="1" spans="1:10">
      <c r="A60" s="8" t="str">
        <f>"20206112725"</f>
        <v>20206112725</v>
      </c>
      <c r="B60" s="8" t="s">
        <v>11</v>
      </c>
      <c r="C60" s="8" t="str">
        <f>"徐瑞凯"</f>
        <v>徐瑞凯</v>
      </c>
      <c r="D60" s="8" t="str">
        <f t="shared" si="5"/>
        <v>女</v>
      </c>
      <c r="E60" s="8">
        <v>2</v>
      </c>
      <c r="F60" s="8" t="s">
        <v>12</v>
      </c>
      <c r="G60" s="8">
        <v>22</v>
      </c>
      <c r="H60" s="9">
        <v>82.74</v>
      </c>
      <c r="I60" s="10">
        <v>0.9912</v>
      </c>
      <c r="J60" s="9">
        <f t="shared" si="6"/>
        <v>82.011888</v>
      </c>
    </row>
    <row r="61" customHeight="1" spans="1:10">
      <c r="A61" s="8" t="str">
        <f>"20206112724"</f>
        <v>20206112724</v>
      </c>
      <c r="B61" s="8" t="s">
        <v>11</v>
      </c>
      <c r="C61" s="8" t="str">
        <f>"闫旭晗"</f>
        <v>闫旭晗</v>
      </c>
      <c r="D61" s="8" t="str">
        <f t="shared" si="5"/>
        <v>女</v>
      </c>
      <c r="E61" s="8">
        <v>2</v>
      </c>
      <c r="F61" s="8" t="s">
        <v>12</v>
      </c>
      <c r="G61" s="8">
        <v>23</v>
      </c>
      <c r="H61" s="9">
        <v>80.44</v>
      </c>
      <c r="I61" s="10">
        <v>0.9912</v>
      </c>
      <c r="J61" s="9">
        <f t="shared" si="6"/>
        <v>79.732128</v>
      </c>
    </row>
    <row r="62" customHeight="1" spans="1:10">
      <c r="A62" s="8" t="str">
        <f>"20206113007"</f>
        <v>20206113007</v>
      </c>
      <c r="B62" s="8" t="s">
        <v>11</v>
      </c>
      <c r="C62" s="8" t="str">
        <f>"单培莲"</f>
        <v>单培莲</v>
      </c>
      <c r="D62" s="8" t="str">
        <f t="shared" si="5"/>
        <v>女</v>
      </c>
      <c r="E62" s="8">
        <v>2</v>
      </c>
      <c r="F62" s="8" t="s">
        <v>12</v>
      </c>
      <c r="G62" s="8">
        <v>24</v>
      </c>
      <c r="H62" s="9">
        <v>79.6</v>
      </c>
      <c r="I62" s="10">
        <v>0.9912</v>
      </c>
      <c r="J62" s="9">
        <f t="shared" si="6"/>
        <v>78.89952</v>
      </c>
    </row>
    <row r="63" customHeight="1" spans="1:10">
      <c r="A63" s="8" t="str">
        <f>"20206112911"</f>
        <v>20206112911</v>
      </c>
      <c r="B63" s="8" t="s">
        <v>11</v>
      </c>
      <c r="C63" s="8" t="str">
        <f>"张旖倩"</f>
        <v>张旖倩</v>
      </c>
      <c r="D63" s="8" t="str">
        <f t="shared" si="5"/>
        <v>女</v>
      </c>
      <c r="E63" s="8">
        <v>2</v>
      </c>
      <c r="F63" s="8" t="s">
        <v>13</v>
      </c>
      <c r="G63" s="8">
        <v>1</v>
      </c>
      <c r="H63" s="9">
        <v>78.3</v>
      </c>
      <c r="I63" s="10">
        <v>0.9912</v>
      </c>
      <c r="J63" s="9">
        <f t="shared" si="6"/>
        <v>77.61096</v>
      </c>
    </row>
    <row r="64" customHeight="1" spans="1:10">
      <c r="A64" s="8" t="str">
        <f>"20206112814"</f>
        <v>20206112814</v>
      </c>
      <c r="B64" s="8" t="s">
        <v>11</v>
      </c>
      <c r="C64" s="8" t="str">
        <f>"黄双双"</f>
        <v>黄双双</v>
      </c>
      <c r="D64" s="8" t="str">
        <f t="shared" si="5"/>
        <v>女</v>
      </c>
      <c r="E64" s="8">
        <v>2</v>
      </c>
      <c r="F64" s="8" t="s">
        <v>13</v>
      </c>
      <c r="G64" s="8">
        <v>2</v>
      </c>
      <c r="H64" s="9">
        <v>78.88</v>
      </c>
      <c r="I64" s="10">
        <v>0.9912</v>
      </c>
      <c r="J64" s="9">
        <f t="shared" si="6"/>
        <v>78.185856</v>
      </c>
    </row>
    <row r="65" customHeight="1" spans="1:10">
      <c r="A65" s="8" t="str">
        <f>"20206112604"</f>
        <v>20206112604</v>
      </c>
      <c r="B65" s="8" t="s">
        <v>11</v>
      </c>
      <c r="C65" s="8" t="str">
        <f>"牛源"</f>
        <v>牛源</v>
      </c>
      <c r="D65" s="8" t="str">
        <f t="shared" si="5"/>
        <v>女</v>
      </c>
      <c r="E65" s="8">
        <v>2</v>
      </c>
      <c r="F65" s="8" t="s">
        <v>13</v>
      </c>
      <c r="G65" s="8">
        <v>3</v>
      </c>
      <c r="H65" s="9">
        <v>81.38</v>
      </c>
      <c r="I65" s="10">
        <v>0.9912</v>
      </c>
      <c r="J65" s="9">
        <f t="shared" si="6"/>
        <v>80.663856</v>
      </c>
    </row>
    <row r="66" customHeight="1" spans="1:10">
      <c r="A66" s="8" t="str">
        <f>"20206112621"</f>
        <v>20206112621</v>
      </c>
      <c r="B66" s="8" t="s">
        <v>11</v>
      </c>
      <c r="C66" s="8" t="str">
        <f>"宋丹"</f>
        <v>宋丹</v>
      </c>
      <c r="D66" s="8" t="str">
        <f t="shared" si="5"/>
        <v>女</v>
      </c>
      <c r="E66" s="8">
        <v>2</v>
      </c>
      <c r="F66" s="8" t="s">
        <v>13</v>
      </c>
      <c r="G66" s="8">
        <v>4</v>
      </c>
      <c r="H66" s="9">
        <v>78.26</v>
      </c>
      <c r="I66" s="10">
        <v>0.9912</v>
      </c>
      <c r="J66" s="9">
        <f t="shared" si="6"/>
        <v>77.571312</v>
      </c>
    </row>
    <row r="67" customHeight="1" spans="1:10">
      <c r="A67" s="8" t="str">
        <f>"20206112805"</f>
        <v>20206112805</v>
      </c>
      <c r="B67" s="8" t="s">
        <v>11</v>
      </c>
      <c r="C67" s="8" t="str">
        <f>"王慧"</f>
        <v>王慧</v>
      </c>
      <c r="D67" s="8" t="str">
        <f t="shared" si="5"/>
        <v>女</v>
      </c>
      <c r="E67" s="8">
        <v>2</v>
      </c>
      <c r="F67" s="8" t="s">
        <v>13</v>
      </c>
      <c r="G67" s="8">
        <v>6</v>
      </c>
      <c r="H67" s="9">
        <v>79.42</v>
      </c>
      <c r="I67" s="10">
        <v>0.9912</v>
      </c>
      <c r="J67" s="9">
        <f t="shared" si="6"/>
        <v>78.721104</v>
      </c>
    </row>
    <row r="68" customHeight="1" spans="1:10">
      <c r="A68" s="8" t="str">
        <f>"20206112909"</f>
        <v>20206112909</v>
      </c>
      <c r="B68" s="8" t="s">
        <v>11</v>
      </c>
      <c r="C68" s="8" t="str">
        <f>"乔丹"</f>
        <v>乔丹</v>
      </c>
      <c r="D68" s="8" t="str">
        <f t="shared" si="5"/>
        <v>女</v>
      </c>
      <c r="E68" s="8">
        <v>2</v>
      </c>
      <c r="F68" s="8" t="s">
        <v>12</v>
      </c>
      <c r="G68" s="8">
        <v>17</v>
      </c>
      <c r="H68" s="9"/>
      <c r="I68" s="10"/>
      <c r="J68" s="9" t="s">
        <v>14</v>
      </c>
    </row>
    <row r="69" ht="17" customHeight="1" spans="1:10">
      <c r="A69" s="8"/>
      <c r="B69" s="8"/>
      <c r="C69" s="8"/>
      <c r="D69" s="8"/>
      <c r="E69" s="8"/>
      <c r="F69" s="8"/>
      <c r="G69" s="8"/>
      <c r="H69" s="9"/>
      <c r="I69" s="10"/>
      <c r="J69" s="9"/>
    </row>
    <row r="70" customHeight="1" spans="1:10">
      <c r="A70" s="8" t="str">
        <f>"20209126001"</f>
        <v>20209126001</v>
      </c>
      <c r="B70" s="8" t="s">
        <v>15</v>
      </c>
      <c r="C70" s="8" t="str">
        <f>"段永歌"</f>
        <v>段永歌</v>
      </c>
      <c r="D70" s="8" t="str">
        <f t="shared" ref="D70:D78" si="7">"女"</f>
        <v>女</v>
      </c>
      <c r="E70" s="8">
        <v>2</v>
      </c>
      <c r="F70" s="8" t="s">
        <v>13</v>
      </c>
      <c r="G70" s="8">
        <v>7</v>
      </c>
      <c r="H70" s="9">
        <v>79.96</v>
      </c>
      <c r="I70" s="10"/>
      <c r="J70" s="9">
        <v>79.96</v>
      </c>
    </row>
    <row r="71" customHeight="1" spans="1:10">
      <c r="A71" s="8" t="str">
        <f>"20209126010"</f>
        <v>20209126010</v>
      </c>
      <c r="B71" s="8" t="s">
        <v>15</v>
      </c>
      <c r="C71" s="8" t="str">
        <f>"宋金凤"</f>
        <v>宋金凤</v>
      </c>
      <c r="D71" s="8" t="str">
        <f t="shared" si="7"/>
        <v>女</v>
      </c>
      <c r="E71" s="8">
        <v>2</v>
      </c>
      <c r="F71" s="8" t="s">
        <v>13</v>
      </c>
      <c r="G71" s="8">
        <v>8</v>
      </c>
      <c r="H71" s="9">
        <v>78.88</v>
      </c>
      <c r="I71" s="10"/>
      <c r="J71" s="9">
        <v>78.88</v>
      </c>
    </row>
    <row r="72" customHeight="1" spans="1:10">
      <c r="A72" s="8" t="str">
        <f>"20209125917"</f>
        <v>20209125917</v>
      </c>
      <c r="B72" s="8" t="s">
        <v>15</v>
      </c>
      <c r="C72" s="8" t="str">
        <f>"陈玉"</f>
        <v>陈玉</v>
      </c>
      <c r="D72" s="8" t="str">
        <f t="shared" si="7"/>
        <v>女</v>
      </c>
      <c r="E72" s="8">
        <v>2</v>
      </c>
      <c r="F72" s="8" t="s">
        <v>13</v>
      </c>
      <c r="G72" s="8">
        <v>9</v>
      </c>
      <c r="H72" s="9">
        <v>81.22</v>
      </c>
      <c r="I72" s="10"/>
      <c r="J72" s="9">
        <v>81.22</v>
      </c>
    </row>
    <row r="73" customHeight="1" spans="1:10">
      <c r="A73" s="8" t="str">
        <f>"20209125915"</f>
        <v>20209125915</v>
      </c>
      <c r="B73" s="8" t="s">
        <v>15</v>
      </c>
      <c r="C73" s="8" t="str">
        <f>"郭丽"</f>
        <v>郭丽</v>
      </c>
      <c r="D73" s="8" t="str">
        <f t="shared" si="7"/>
        <v>女</v>
      </c>
      <c r="E73" s="8">
        <v>2</v>
      </c>
      <c r="F73" s="8" t="s">
        <v>13</v>
      </c>
      <c r="G73" s="8">
        <v>10</v>
      </c>
      <c r="H73" s="9">
        <v>82.62</v>
      </c>
      <c r="I73" s="10"/>
      <c r="J73" s="9">
        <v>82.62</v>
      </c>
    </row>
    <row r="74" customHeight="1" spans="1:10">
      <c r="A74" s="8" t="str">
        <f>"20209126007"</f>
        <v>20209126007</v>
      </c>
      <c r="B74" s="8" t="s">
        <v>15</v>
      </c>
      <c r="C74" s="8" t="str">
        <f>"冉苹"</f>
        <v>冉苹</v>
      </c>
      <c r="D74" s="8" t="str">
        <f t="shared" si="7"/>
        <v>女</v>
      </c>
      <c r="E74" s="8">
        <v>2</v>
      </c>
      <c r="F74" s="8" t="s">
        <v>13</v>
      </c>
      <c r="G74" s="8">
        <v>11</v>
      </c>
      <c r="H74" s="9">
        <v>82.9</v>
      </c>
      <c r="I74" s="10"/>
      <c r="J74" s="9">
        <v>82.9</v>
      </c>
    </row>
    <row r="75" customHeight="1" spans="1:10">
      <c r="A75" s="8" t="str">
        <f>"20209126020"</f>
        <v>20209126020</v>
      </c>
      <c r="B75" s="8" t="s">
        <v>15</v>
      </c>
      <c r="C75" s="8" t="str">
        <f>"丰硕"</f>
        <v>丰硕</v>
      </c>
      <c r="D75" s="8" t="str">
        <f t="shared" si="7"/>
        <v>女</v>
      </c>
      <c r="E75" s="8">
        <v>2</v>
      </c>
      <c r="F75" s="8" t="s">
        <v>13</v>
      </c>
      <c r="G75" s="8">
        <v>12</v>
      </c>
      <c r="H75" s="9">
        <v>80.2</v>
      </c>
      <c r="I75" s="10"/>
      <c r="J75" s="9">
        <v>80.2</v>
      </c>
    </row>
    <row r="76" customHeight="1" spans="1:10">
      <c r="A76" s="8" t="str">
        <f>"20209126016"</f>
        <v>20209126016</v>
      </c>
      <c r="B76" s="8" t="s">
        <v>15</v>
      </c>
      <c r="C76" s="8" t="str">
        <f>"张沛"</f>
        <v>张沛</v>
      </c>
      <c r="D76" s="8" t="str">
        <f t="shared" si="7"/>
        <v>女</v>
      </c>
      <c r="E76" s="8">
        <v>2</v>
      </c>
      <c r="F76" s="8" t="s">
        <v>13</v>
      </c>
      <c r="G76" s="8">
        <v>13</v>
      </c>
      <c r="H76" s="9">
        <v>81.88</v>
      </c>
      <c r="I76" s="10"/>
      <c r="J76" s="9">
        <v>81.88</v>
      </c>
    </row>
    <row r="77" customHeight="1" spans="1:10">
      <c r="A77" s="8" t="str">
        <f>"20209125912"</f>
        <v>20209125912</v>
      </c>
      <c r="B77" s="8" t="s">
        <v>15</v>
      </c>
      <c r="C77" s="8" t="str">
        <f>"赵付九"</f>
        <v>赵付九</v>
      </c>
      <c r="D77" s="8" t="str">
        <f t="shared" si="7"/>
        <v>女</v>
      </c>
      <c r="E77" s="8">
        <v>2</v>
      </c>
      <c r="F77" s="8" t="s">
        <v>13</v>
      </c>
      <c r="G77" s="8">
        <v>14</v>
      </c>
      <c r="H77" s="9">
        <v>79.34</v>
      </c>
      <c r="I77" s="10"/>
      <c r="J77" s="9">
        <v>79.34</v>
      </c>
    </row>
    <row r="78" customHeight="1" spans="1:10">
      <c r="A78" s="8" t="str">
        <f>"20209125903"</f>
        <v>20209125903</v>
      </c>
      <c r="B78" s="8" t="s">
        <v>15</v>
      </c>
      <c r="C78" s="8" t="str">
        <f>"刘凤兰"</f>
        <v>刘凤兰</v>
      </c>
      <c r="D78" s="8" t="str">
        <f t="shared" si="7"/>
        <v>女</v>
      </c>
      <c r="E78" s="8">
        <v>2</v>
      </c>
      <c r="F78" s="8" t="s">
        <v>13</v>
      </c>
      <c r="G78" s="8">
        <v>15</v>
      </c>
      <c r="H78" s="9">
        <v>85.52</v>
      </c>
      <c r="I78" s="10"/>
      <c r="J78" s="9">
        <v>85.52</v>
      </c>
    </row>
    <row r="79" customHeight="1" spans="1:10">
      <c r="A79" s="8" t="str">
        <f>"20209125910"</f>
        <v>20209125910</v>
      </c>
      <c r="B79" s="8" t="s">
        <v>15</v>
      </c>
      <c r="C79" s="8" t="str">
        <f>"张春阳"</f>
        <v>张春阳</v>
      </c>
      <c r="D79" s="8" t="str">
        <f>"男"</f>
        <v>男</v>
      </c>
      <c r="E79" s="8">
        <v>2</v>
      </c>
      <c r="F79" s="8" t="s">
        <v>13</v>
      </c>
      <c r="G79" s="8">
        <v>16</v>
      </c>
      <c r="H79" s="9">
        <v>79.42</v>
      </c>
      <c r="I79" s="10"/>
      <c r="J79" s="9">
        <v>79.42</v>
      </c>
    </row>
    <row r="80" customHeight="1" spans="1:10">
      <c r="A80" s="8" t="str">
        <f>"20209125907"</f>
        <v>20209125907</v>
      </c>
      <c r="B80" s="8" t="s">
        <v>15</v>
      </c>
      <c r="C80" s="8" t="str">
        <f>"范琦琪"</f>
        <v>范琦琪</v>
      </c>
      <c r="D80" s="8" t="str">
        <f>"女"</f>
        <v>女</v>
      </c>
      <c r="E80" s="8">
        <v>2</v>
      </c>
      <c r="F80" s="8" t="s">
        <v>13</v>
      </c>
      <c r="G80" s="8">
        <v>17</v>
      </c>
      <c r="H80" s="9">
        <v>81.06</v>
      </c>
      <c r="I80" s="10"/>
      <c r="J80" s="9">
        <v>81.06</v>
      </c>
    </row>
    <row r="81" customHeight="1" spans="1:10">
      <c r="A81" s="8" t="str">
        <f>"20209125905"</f>
        <v>20209125905</v>
      </c>
      <c r="B81" s="8" t="s">
        <v>15</v>
      </c>
      <c r="C81" s="8" t="str">
        <f>"侯森玲"</f>
        <v>侯森玲</v>
      </c>
      <c r="D81" s="8" t="str">
        <f>"女"</f>
        <v>女</v>
      </c>
      <c r="E81" s="8">
        <v>2</v>
      </c>
      <c r="F81" s="8" t="s">
        <v>13</v>
      </c>
      <c r="G81" s="8">
        <v>19</v>
      </c>
      <c r="H81" s="9">
        <v>80.4</v>
      </c>
      <c r="I81" s="10"/>
      <c r="J81" s="9">
        <v>80.4</v>
      </c>
    </row>
    <row r="82" customHeight="1" spans="1:10">
      <c r="A82" s="8" t="str">
        <f>"20209125923"</f>
        <v>20209125923</v>
      </c>
      <c r="B82" s="8" t="s">
        <v>15</v>
      </c>
      <c r="C82" s="8" t="str">
        <f>"姬玉珠"</f>
        <v>姬玉珠</v>
      </c>
      <c r="D82" s="8" t="str">
        <f>"女"</f>
        <v>女</v>
      </c>
      <c r="E82" s="8">
        <v>2</v>
      </c>
      <c r="F82" s="8" t="s">
        <v>13</v>
      </c>
      <c r="G82" s="8">
        <v>20</v>
      </c>
      <c r="H82" s="9">
        <v>81.96</v>
      </c>
      <c r="I82" s="10"/>
      <c r="J82" s="9">
        <v>81.96</v>
      </c>
    </row>
    <row r="83" ht="17" customHeight="1" spans="1:10">
      <c r="A83" s="8"/>
      <c r="B83" s="8"/>
      <c r="C83" s="8"/>
      <c r="D83" s="8"/>
      <c r="E83" s="8"/>
      <c r="F83" s="8"/>
      <c r="G83" s="8"/>
      <c r="H83" s="9"/>
      <c r="I83" s="10"/>
      <c r="J83" s="9"/>
    </row>
    <row r="84" customHeight="1" spans="1:10">
      <c r="A84" s="8" t="str">
        <f>"20205111729"</f>
        <v>20205111729</v>
      </c>
      <c r="B84" s="8" t="s">
        <v>16</v>
      </c>
      <c r="C84" s="8" t="str">
        <f>"姬道欣"</f>
        <v>姬道欣</v>
      </c>
      <c r="D84" s="8" t="str">
        <f>"女"</f>
        <v>女</v>
      </c>
      <c r="E84" s="8">
        <v>3</v>
      </c>
      <c r="F84" s="8" t="s">
        <v>12</v>
      </c>
      <c r="G84" s="8">
        <v>1</v>
      </c>
      <c r="H84" s="9">
        <v>71.64</v>
      </c>
      <c r="I84" s="10"/>
      <c r="J84" s="9">
        <v>71.64</v>
      </c>
    </row>
    <row r="85" customHeight="1" spans="1:10">
      <c r="A85" s="8" t="str">
        <f>"20205111824"</f>
        <v>20205111824</v>
      </c>
      <c r="B85" s="8" t="s">
        <v>16</v>
      </c>
      <c r="C85" s="8" t="str">
        <f>"杨贺霞"</f>
        <v>杨贺霞</v>
      </c>
      <c r="D85" s="8" t="str">
        <f>"女"</f>
        <v>女</v>
      </c>
      <c r="E85" s="8">
        <v>3</v>
      </c>
      <c r="F85" s="8" t="s">
        <v>12</v>
      </c>
      <c r="G85" s="8">
        <v>2</v>
      </c>
      <c r="H85" s="9">
        <v>82.44</v>
      </c>
      <c r="I85" s="10"/>
      <c r="J85" s="9">
        <v>82.44</v>
      </c>
    </row>
    <row r="86" customHeight="1" spans="1:10">
      <c r="A86" s="8" t="str">
        <f>"20205111814"</f>
        <v>20205111814</v>
      </c>
      <c r="B86" s="8" t="s">
        <v>16</v>
      </c>
      <c r="C86" s="8" t="str">
        <f>"刘洋婷"</f>
        <v>刘洋婷</v>
      </c>
      <c r="D86" s="8" t="str">
        <f>"女"</f>
        <v>女</v>
      </c>
      <c r="E86" s="8">
        <v>3</v>
      </c>
      <c r="F86" s="8" t="s">
        <v>12</v>
      </c>
      <c r="G86" s="8">
        <v>3</v>
      </c>
      <c r="H86" s="9">
        <v>85.88</v>
      </c>
      <c r="I86" s="10"/>
      <c r="J86" s="9">
        <v>85.88</v>
      </c>
    </row>
    <row r="87" customHeight="1" spans="1:10">
      <c r="A87" s="8" t="str">
        <f>"20205111709"</f>
        <v>20205111709</v>
      </c>
      <c r="B87" s="8" t="s">
        <v>16</v>
      </c>
      <c r="C87" s="8" t="str">
        <f>"张凌晨"</f>
        <v>张凌晨</v>
      </c>
      <c r="D87" s="8" t="str">
        <f>"男"</f>
        <v>男</v>
      </c>
      <c r="E87" s="8">
        <v>3</v>
      </c>
      <c r="F87" s="8" t="s">
        <v>12</v>
      </c>
      <c r="G87" s="8">
        <v>4</v>
      </c>
      <c r="H87" s="9">
        <v>82.34</v>
      </c>
      <c r="I87" s="10"/>
      <c r="J87" s="9">
        <v>82.34</v>
      </c>
    </row>
    <row r="88" customHeight="1" spans="1:10">
      <c r="A88" s="8" t="str">
        <f>"20205111727"</f>
        <v>20205111727</v>
      </c>
      <c r="B88" s="8" t="s">
        <v>16</v>
      </c>
      <c r="C88" s="8" t="str">
        <f>"陈毅纳"</f>
        <v>陈毅纳</v>
      </c>
      <c r="D88" s="8" t="str">
        <f t="shared" ref="D88:D99" si="8">"女"</f>
        <v>女</v>
      </c>
      <c r="E88" s="8">
        <v>3</v>
      </c>
      <c r="F88" s="8" t="s">
        <v>12</v>
      </c>
      <c r="G88" s="8">
        <v>5</v>
      </c>
      <c r="H88" s="9">
        <v>83.08</v>
      </c>
      <c r="I88" s="10"/>
      <c r="J88" s="9">
        <v>83.08</v>
      </c>
    </row>
    <row r="89" customHeight="1" spans="1:10">
      <c r="A89" s="8" t="str">
        <f>"20205111803"</f>
        <v>20205111803</v>
      </c>
      <c r="B89" s="8" t="s">
        <v>16</v>
      </c>
      <c r="C89" s="8" t="str">
        <f>"赵艳鑫"</f>
        <v>赵艳鑫</v>
      </c>
      <c r="D89" s="8" t="str">
        <f t="shared" si="8"/>
        <v>女</v>
      </c>
      <c r="E89" s="8">
        <v>3</v>
      </c>
      <c r="F89" s="8" t="s">
        <v>12</v>
      </c>
      <c r="G89" s="8">
        <v>6</v>
      </c>
      <c r="H89" s="9">
        <v>80.3</v>
      </c>
      <c r="I89" s="10"/>
      <c r="J89" s="9">
        <v>80.3</v>
      </c>
    </row>
    <row r="90" customHeight="1" spans="1:10">
      <c r="A90" s="8" t="str">
        <f>"20205111701"</f>
        <v>20205111701</v>
      </c>
      <c r="B90" s="8" t="s">
        <v>16</v>
      </c>
      <c r="C90" s="8" t="str">
        <f>"郭红"</f>
        <v>郭红</v>
      </c>
      <c r="D90" s="8" t="str">
        <f t="shared" si="8"/>
        <v>女</v>
      </c>
      <c r="E90" s="8">
        <v>3</v>
      </c>
      <c r="F90" s="8" t="s">
        <v>12</v>
      </c>
      <c r="G90" s="8">
        <v>7</v>
      </c>
      <c r="H90" s="9">
        <v>84.92</v>
      </c>
      <c r="I90" s="10"/>
      <c r="J90" s="9">
        <v>84.92</v>
      </c>
    </row>
    <row r="91" customHeight="1" spans="1:10">
      <c r="A91" s="8" t="str">
        <f>"20205111721"</f>
        <v>20205111721</v>
      </c>
      <c r="B91" s="8" t="s">
        <v>16</v>
      </c>
      <c r="C91" s="8" t="str">
        <f>"黄超男"</f>
        <v>黄超男</v>
      </c>
      <c r="D91" s="8" t="str">
        <f t="shared" si="8"/>
        <v>女</v>
      </c>
      <c r="E91" s="8">
        <v>3</v>
      </c>
      <c r="F91" s="8" t="s">
        <v>12</v>
      </c>
      <c r="G91" s="8">
        <v>8</v>
      </c>
      <c r="H91" s="9">
        <v>86.08</v>
      </c>
      <c r="I91" s="10"/>
      <c r="J91" s="9">
        <v>86.08</v>
      </c>
    </row>
    <row r="92" customHeight="1" spans="1:10">
      <c r="A92" s="8" t="str">
        <f>"20205111725"</f>
        <v>20205111725</v>
      </c>
      <c r="B92" s="8" t="s">
        <v>16</v>
      </c>
      <c r="C92" s="8" t="str">
        <f>"秦阳"</f>
        <v>秦阳</v>
      </c>
      <c r="D92" s="8" t="str">
        <f t="shared" si="8"/>
        <v>女</v>
      </c>
      <c r="E92" s="8">
        <v>3</v>
      </c>
      <c r="F92" s="8" t="s">
        <v>12</v>
      </c>
      <c r="G92" s="8">
        <v>9</v>
      </c>
      <c r="H92" s="9">
        <v>83.36</v>
      </c>
      <c r="I92" s="10"/>
      <c r="J92" s="9">
        <v>83.36</v>
      </c>
    </row>
    <row r="93" customHeight="1" spans="1:10">
      <c r="A93" s="8" t="str">
        <f>"20205111716"</f>
        <v>20205111716</v>
      </c>
      <c r="B93" s="8" t="s">
        <v>16</v>
      </c>
      <c r="C93" s="8" t="str">
        <f>"张洒"</f>
        <v>张洒</v>
      </c>
      <c r="D93" s="8" t="str">
        <f t="shared" si="8"/>
        <v>女</v>
      </c>
      <c r="E93" s="8">
        <v>3</v>
      </c>
      <c r="F93" s="8" t="s">
        <v>12</v>
      </c>
      <c r="G93" s="8">
        <v>10</v>
      </c>
      <c r="H93" s="9">
        <v>86.42</v>
      </c>
      <c r="I93" s="10"/>
      <c r="J93" s="9">
        <v>86.42</v>
      </c>
    </row>
    <row r="94" customHeight="1" spans="1:10">
      <c r="A94" s="8" t="str">
        <f>"20205111826"</f>
        <v>20205111826</v>
      </c>
      <c r="B94" s="8" t="s">
        <v>16</v>
      </c>
      <c r="C94" s="8" t="str">
        <f>"郭媛媛"</f>
        <v>郭媛媛</v>
      </c>
      <c r="D94" s="8" t="str">
        <f t="shared" si="8"/>
        <v>女</v>
      </c>
      <c r="E94" s="8">
        <v>3</v>
      </c>
      <c r="F94" s="8" t="s">
        <v>12</v>
      </c>
      <c r="G94" s="8">
        <v>11</v>
      </c>
      <c r="H94" s="9">
        <v>76.46</v>
      </c>
      <c r="I94" s="10"/>
      <c r="J94" s="9">
        <v>76.46</v>
      </c>
    </row>
    <row r="95" customHeight="1" spans="1:10">
      <c r="A95" s="8" t="str">
        <f>"20205111626"</f>
        <v>20205111626</v>
      </c>
      <c r="B95" s="8" t="s">
        <v>16</v>
      </c>
      <c r="C95" s="8" t="str">
        <f>"黄雷"</f>
        <v>黄雷</v>
      </c>
      <c r="D95" s="8" t="str">
        <f t="shared" si="8"/>
        <v>女</v>
      </c>
      <c r="E95" s="8">
        <v>3</v>
      </c>
      <c r="F95" s="8" t="s">
        <v>12</v>
      </c>
      <c r="G95" s="8">
        <v>12</v>
      </c>
      <c r="H95" s="9">
        <v>86.08</v>
      </c>
      <c r="I95" s="10"/>
      <c r="J95" s="9">
        <v>86.08</v>
      </c>
    </row>
    <row r="96" customHeight="1" spans="1:10">
      <c r="A96" s="8" t="str">
        <f>"20205111712"</f>
        <v>20205111712</v>
      </c>
      <c r="B96" s="8" t="s">
        <v>16</v>
      </c>
      <c r="C96" s="8" t="str">
        <f>"王俊梓"</f>
        <v>王俊梓</v>
      </c>
      <c r="D96" s="8" t="str">
        <f t="shared" si="8"/>
        <v>女</v>
      </c>
      <c r="E96" s="8">
        <v>3</v>
      </c>
      <c r="F96" s="8" t="s">
        <v>12</v>
      </c>
      <c r="G96" s="8">
        <v>13</v>
      </c>
      <c r="H96" s="9">
        <v>84.22</v>
      </c>
      <c r="I96" s="10"/>
      <c r="J96" s="9">
        <v>84.22</v>
      </c>
    </row>
    <row r="97" customHeight="1" spans="1:10">
      <c r="A97" s="8" t="str">
        <f>"20205111806"</f>
        <v>20205111806</v>
      </c>
      <c r="B97" s="8" t="s">
        <v>16</v>
      </c>
      <c r="C97" s="8" t="str">
        <f>"刘桐均"</f>
        <v>刘桐均</v>
      </c>
      <c r="D97" s="8" t="str">
        <f t="shared" si="8"/>
        <v>女</v>
      </c>
      <c r="E97" s="8">
        <v>3</v>
      </c>
      <c r="F97" s="8" t="s">
        <v>12</v>
      </c>
      <c r="G97" s="8">
        <v>14</v>
      </c>
      <c r="H97" s="9">
        <v>83.66</v>
      </c>
      <c r="I97" s="10"/>
      <c r="J97" s="9">
        <v>83.66</v>
      </c>
    </row>
    <row r="98" customHeight="1" spans="1:10">
      <c r="A98" s="8" t="str">
        <f>"20205111618"</f>
        <v>20205111618</v>
      </c>
      <c r="B98" s="8" t="s">
        <v>16</v>
      </c>
      <c r="C98" s="8" t="str">
        <f>"徐玉珠"</f>
        <v>徐玉珠</v>
      </c>
      <c r="D98" s="8" t="str">
        <f t="shared" si="8"/>
        <v>女</v>
      </c>
      <c r="E98" s="8">
        <v>3</v>
      </c>
      <c r="F98" s="8" t="s">
        <v>12</v>
      </c>
      <c r="G98" s="8">
        <v>15</v>
      </c>
      <c r="H98" s="9">
        <v>86.34</v>
      </c>
      <c r="I98" s="10"/>
      <c r="J98" s="9">
        <v>86.34</v>
      </c>
    </row>
    <row r="99" customHeight="1" spans="1:10">
      <c r="A99" s="8" t="str">
        <f>"20205111612"</f>
        <v>20205111612</v>
      </c>
      <c r="B99" s="8" t="s">
        <v>16</v>
      </c>
      <c r="C99" s="8" t="str">
        <f>"吕柔锦"</f>
        <v>吕柔锦</v>
      </c>
      <c r="D99" s="8" t="str">
        <f t="shared" si="8"/>
        <v>女</v>
      </c>
      <c r="E99" s="8">
        <v>3</v>
      </c>
      <c r="F99" s="8" t="s">
        <v>12</v>
      </c>
      <c r="G99" s="8">
        <v>16</v>
      </c>
      <c r="H99" s="9">
        <v>87.5</v>
      </c>
      <c r="I99" s="10"/>
      <c r="J99" s="9">
        <v>87.5</v>
      </c>
    </row>
    <row r="100" customHeight="1" spans="1:10">
      <c r="A100" s="8" t="str">
        <f>"20205111704"</f>
        <v>20205111704</v>
      </c>
      <c r="B100" s="8" t="s">
        <v>16</v>
      </c>
      <c r="C100" s="8" t="str">
        <f>"李诗尧"</f>
        <v>李诗尧</v>
      </c>
      <c r="D100" s="8" t="str">
        <f>"男"</f>
        <v>男</v>
      </c>
      <c r="E100" s="8">
        <v>3</v>
      </c>
      <c r="F100" s="8" t="s">
        <v>12</v>
      </c>
      <c r="G100" s="8">
        <v>17</v>
      </c>
      <c r="H100" s="9">
        <v>83.8</v>
      </c>
      <c r="I100" s="10"/>
      <c r="J100" s="9">
        <v>83.8</v>
      </c>
    </row>
    <row r="101" customHeight="1" spans="1:10">
      <c r="A101" s="8" t="str">
        <f>"20205111808"</f>
        <v>20205111808</v>
      </c>
      <c r="B101" s="8" t="s">
        <v>16</v>
      </c>
      <c r="C101" s="8" t="str">
        <f>"姜峰"</f>
        <v>姜峰</v>
      </c>
      <c r="D101" s="8" t="str">
        <f>"女"</f>
        <v>女</v>
      </c>
      <c r="E101" s="8">
        <v>3</v>
      </c>
      <c r="F101" s="8" t="s">
        <v>12</v>
      </c>
      <c r="G101" s="8">
        <v>18</v>
      </c>
      <c r="H101" s="9">
        <v>78.7</v>
      </c>
      <c r="I101" s="10"/>
      <c r="J101" s="9">
        <v>78.7</v>
      </c>
    </row>
    <row r="102" customHeight="1" spans="1:10">
      <c r="A102" s="8" t="str">
        <f>"20205111702"</f>
        <v>20205111702</v>
      </c>
      <c r="B102" s="8" t="s">
        <v>16</v>
      </c>
      <c r="C102" s="8" t="str">
        <f>"徐姗姗"</f>
        <v>徐姗姗</v>
      </c>
      <c r="D102" s="8" t="str">
        <f>"女"</f>
        <v>女</v>
      </c>
      <c r="E102" s="8">
        <v>3</v>
      </c>
      <c r="F102" s="8" t="s">
        <v>12</v>
      </c>
      <c r="G102" s="8">
        <v>19</v>
      </c>
      <c r="H102" s="9">
        <v>84.36</v>
      </c>
      <c r="I102" s="10"/>
      <c r="J102" s="9">
        <v>84.36</v>
      </c>
    </row>
    <row r="103" customHeight="1" spans="1:10">
      <c r="A103" s="8" t="str">
        <f>"20205111620"</f>
        <v>20205111620</v>
      </c>
      <c r="B103" s="8" t="s">
        <v>16</v>
      </c>
      <c r="C103" s="8" t="str">
        <f>"曹新建"</f>
        <v>曹新建</v>
      </c>
      <c r="D103" s="8" t="str">
        <f>"女"</f>
        <v>女</v>
      </c>
      <c r="E103" s="8">
        <v>3</v>
      </c>
      <c r="F103" s="8" t="s">
        <v>12</v>
      </c>
      <c r="G103" s="8">
        <v>20</v>
      </c>
      <c r="H103" s="9">
        <v>81.62</v>
      </c>
      <c r="I103" s="10"/>
      <c r="J103" s="9">
        <v>81.62</v>
      </c>
    </row>
    <row r="104" customHeight="1" spans="1:10">
      <c r="A104" s="8" t="str">
        <f>"20205111815"</f>
        <v>20205111815</v>
      </c>
      <c r="B104" s="8" t="s">
        <v>16</v>
      </c>
      <c r="C104" s="8" t="str">
        <f>"曹梦冰"</f>
        <v>曹梦冰</v>
      </c>
      <c r="D104" s="8" t="str">
        <f>"女"</f>
        <v>女</v>
      </c>
      <c r="E104" s="8">
        <v>3</v>
      </c>
      <c r="F104" s="8" t="s">
        <v>13</v>
      </c>
      <c r="G104" s="8">
        <v>1</v>
      </c>
      <c r="H104" s="9">
        <v>72.78</v>
      </c>
      <c r="I104" s="10"/>
      <c r="J104" s="9">
        <v>72.78</v>
      </c>
    </row>
    <row r="105" customHeight="1" spans="1:10">
      <c r="A105" s="8" t="str">
        <f>"20205111614"</f>
        <v>20205111614</v>
      </c>
      <c r="B105" s="8" t="s">
        <v>16</v>
      </c>
      <c r="C105" s="8" t="str">
        <f>"金徐萌"</f>
        <v>金徐萌</v>
      </c>
      <c r="D105" s="8" t="str">
        <f>"女"</f>
        <v>女</v>
      </c>
      <c r="E105" s="8">
        <v>3</v>
      </c>
      <c r="F105" s="8" t="s">
        <v>13</v>
      </c>
      <c r="G105" s="8">
        <v>2</v>
      </c>
      <c r="H105" s="9">
        <v>83.68</v>
      </c>
      <c r="I105" s="10"/>
      <c r="J105" s="9">
        <v>83.68</v>
      </c>
    </row>
    <row r="106" customHeight="1" spans="1:10">
      <c r="A106" s="8" t="str">
        <f>"20205111820"</f>
        <v>20205111820</v>
      </c>
      <c r="B106" s="8" t="s">
        <v>16</v>
      </c>
      <c r="C106" s="8" t="str">
        <f>"王锦涛"</f>
        <v>王锦涛</v>
      </c>
      <c r="D106" s="8" t="str">
        <f>"男"</f>
        <v>男</v>
      </c>
      <c r="E106" s="8">
        <v>3</v>
      </c>
      <c r="F106" s="8" t="s">
        <v>13</v>
      </c>
      <c r="G106" s="8">
        <v>3</v>
      </c>
      <c r="H106" s="9">
        <v>85.16</v>
      </c>
      <c r="I106" s="10"/>
      <c r="J106" s="9">
        <v>85.16</v>
      </c>
    </row>
    <row r="107" customHeight="1" spans="1:10">
      <c r="A107" s="8" t="str">
        <f>"20205111719"</f>
        <v>20205111719</v>
      </c>
      <c r="B107" s="8" t="s">
        <v>16</v>
      </c>
      <c r="C107" s="8" t="str">
        <f>"杨婕"</f>
        <v>杨婕</v>
      </c>
      <c r="D107" s="8" t="str">
        <f>"女"</f>
        <v>女</v>
      </c>
      <c r="E107" s="8">
        <v>3</v>
      </c>
      <c r="F107" s="8" t="s">
        <v>13</v>
      </c>
      <c r="G107" s="8">
        <v>4</v>
      </c>
      <c r="H107" s="9">
        <v>83.2</v>
      </c>
      <c r="I107" s="10"/>
      <c r="J107" s="9">
        <v>83.2</v>
      </c>
    </row>
    <row r="108" customHeight="1" spans="1:10">
      <c r="A108" s="8" t="str">
        <f>"20205111827"</f>
        <v>20205111827</v>
      </c>
      <c r="B108" s="8" t="s">
        <v>16</v>
      </c>
      <c r="C108" s="8" t="str">
        <f>"闫升"</f>
        <v>闫升</v>
      </c>
      <c r="D108" s="8" t="str">
        <f>"女"</f>
        <v>女</v>
      </c>
      <c r="E108" s="8">
        <v>3</v>
      </c>
      <c r="F108" s="8" t="s">
        <v>13</v>
      </c>
      <c r="G108" s="8">
        <v>5</v>
      </c>
      <c r="H108" s="9">
        <v>86.46</v>
      </c>
      <c r="I108" s="10"/>
      <c r="J108" s="9">
        <v>86.46</v>
      </c>
    </row>
    <row r="109" customHeight="1" spans="1:10">
      <c r="A109" s="8" t="str">
        <f>"20205111627"</f>
        <v>20205111627</v>
      </c>
      <c r="B109" s="8" t="s">
        <v>16</v>
      </c>
      <c r="C109" s="8" t="str">
        <f>"张萌"</f>
        <v>张萌</v>
      </c>
      <c r="D109" s="8" t="str">
        <f>"女"</f>
        <v>女</v>
      </c>
      <c r="E109" s="8">
        <v>3</v>
      </c>
      <c r="F109" s="8" t="s">
        <v>13</v>
      </c>
      <c r="G109" s="8">
        <v>6</v>
      </c>
      <c r="H109" s="9">
        <v>86.62</v>
      </c>
      <c r="I109" s="10"/>
      <c r="J109" s="9">
        <v>86.62</v>
      </c>
    </row>
    <row r="110" customHeight="1" spans="1:10">
      <c r="A110" s="8" t="str">
        <f>"20205111828"</f>
        <v>20205111828</v>
      </c>
      <c r="B110" s="8" t="s">
        <v>16</v>
      </c>
      <c r="C110" s="8" t="str">
        <f>"王霜"</f>
        <v>王霜</v>
      </c>
      <c r="D110" s="8" t="str">
        <f>"女"</f>
        <v>女</v>
      </c>
      <c r="E110" s="8">
        <v>3</v>
      </c>
      <c r="F110" s="8" t="s">
        <v>13</v>
      </c>
      <c r="G110" s="8">
        <v>7</v>
      </c>
      <c r="H110" s="9">
        <v>84.86</v>
      </c>
      <c r="I110" s="10"/>
      <c r="J110" s="9">
        <v>84.86</v>
      </c>
    </row>
    <row r="111" customHeight="1" spans="1:10">
      <c r="A111" s="8" t="str">
        <f>"20205111724"</f>
        <v>20205111724</v>
      </c>
      <c r="B111" s="8" t="s">
        <v>16</v>
      </c>
      <c r="C111" s="8" t="str">
        <f>"盛慧"</f>
        <v>盛慧</v>
      </c>
      <c r="D111" s="8" t="str">
        <f>"女"</f>
        <v>女</v>
      </c>
      <c r="E111" s="8">
        <v>3</v>
      </c>
      <c r="F111" s="8" t="s">
        <v>13</v>
      </c>
      <c r="G111" s="8">
        <v>8</v>
      </c>
      <c r="H111" s="9">
        <v>83.4</v>
      </c>
      <c r="I111" s="10"/>
      <c r="J111" s="9">
        <v>83.4</v>
      </c>
    </row>
    <row r="112" customHeight="1" spans="1:10">
      <c r="A112" s="8" t="str">
        <f>"20205111813"</f>
        <v>20205111813</v>
      </c>
      <c r="B112" s="8" t="s">
        <v>16</v>
      </c>
      <c r="C112" s="8" t="str">
        <f>"何源"</f>
        <v>何源</v>
      </c>
      <c r="D112" s="8" t="str">
        <f>"男"</f>
        <v>男</v>
      </c>
      <c r="E112" s="8">
        <v>3</v>
      </c>
      <c r="F112" s="8" t="s">
        <v>13</v>
      </c>
      <c r="G112" s="8">
        <v>9</v>
      </c>
      <c r="H112" s="9">
        <v>85.32</v>
      </c>
      <c r="I112" s="10"/>
      <c r="J112" s="9">
        <v>85.32</v>
      </c>
    </row>
    <row r="113" customHeight="1" spans="1:10">
      <c r="A113" s="8" t="str">
        <f>"20205111816"</f>
        <v>20205111816</v>
      </c>
      <c r="B113" s="8" t="s">
        <v>16</v>
      </c>
      <c r="C113" s="8" t="str">
        <f>"龙朝霞"</f>
        <v>龙朝霞</v>
      </c>
      <c r="D113" s="8" t="str">
        <f>"女"</f>
        <v>女</v>
      </c>
      <c r="E113" s="8">
        <v>3</v>
      </c>
      <c r="F113" s="8" t="s">
        <v>13</v>
      </c>
      <c r="G113" s="8">
        <v>10</v>
      </c>
      <c r="H113" s="9">
        <v>84</v>
      </c>
      <c r="I113" s="10"/>
      <c r="J113" s="9">
        <v>84</v>
      </c>
    </row>
    <row r="114" customHeight="1" spans="1:10">
      <c r="A114" s="8" t="str">
        <f>"20205111722"</f>
        <v>20205111722</v>
      </c>
      <c r="B114" s="8" t="s">
        <v>16</v>
      </c>
      <c r="C114" s="8" t="str">
        <f>"王琳"</f>
        <v>王琳</v>
      </c>
      <c r="D114" s="8" t="str">
        <f>"女"</f>
        <v>女</v>
      </c>
      <c r="E114" s="8">
        <v>3</v>
      </c>
      <c r="F114" s="8" t="s">
        <v>13</v>
      </c>
      <c r="G114" s="8">
        <v>11</v>
      </c>
      <c r="H114" s="9">
        <v>82.48</v>
      </c>
      <c r="I114" s="10"/>
      <c r="J114" s="9">
        <v>82.48</v>
      </c>
    </row>
    <row r="115" customHeight="1" spans="1:10">
      <c r="A115" s="8" t="str">
        <f>"20205111613"</f>
        <v>20205111613</v>
      </c>
      <c r="B115" s="8" t="s">
        <v>16</v>
      </c>
      <c r="C115" s="8" t="str">
        <f>"李姗"</f>
        <v>李姗</v>
      </c>
      <c r="D115" s="8" t="str">
        <f>"女"</f>
        <v>女</v>
      </c>
      <c r="E115" s="8">
        <v>3</v>
      </c>
      <c r="F115" s="8" t="s">
        <v>13</v>
      </c>
      <c r="G115" s="8">
        <v>12</v>
      </c>
      <c r="H115" s="9">
        <v>84.4</v>
      </c>
      <c r="I115" s="10"/>
      <c r="J115" s="9">
        <v>84.4</v>
      </c>
    </row>
    <row r="116" customHeight="1" spans="1:10">
      <c r="A116" s="8" t="str">
        <f>"20205111622"</f>
        <v>20205111622</v>
      </c>
      <c r="B116" s="8" t="s">
        <v>16</v>
      </c>
      <c r="C116" s="8" t="str">
        <f>"李林"</f>
        <v>李林</v>
      </c>
      <c r="D116" s="8" t="str">
        <f>"女"</f>
        <v>女</v>
      </c>
      <c r="E116" s="8">
        <v>3</v>
      </c>
      <c r="F116" s="8" t="s">
        <v>13</v>
      </c>
      <c r="G116" s="8">
        <v>13</v>
      </c>
      <c r="H116" s="9">
        <v>86.2</v>
      </c>
      <c r="I116" s="10"/>
      <c r="J116" s="9">
        <v>86.2</v>
      </c>
    </row>
    <row r="117" customHeight="1" spans="1:10">
      <c r="A117" s="8">
        <v>20200216504</v>
      </c>
      <c r="B117" s="8" t="s">
        <v>17</v>
      </c>
      <c r="C117" s="8" t="str">
        <f>"侯强"</f>
        <v>侯强</v>
      </c>
      <c r="D117" s="8" t="str">
        <f>"男"</f>
        <v>男</v>
      </c>
      <c r="E117" s="8">
        <v>4</v>
      </c>
      <c r="F117" s="8" t="s">
        <v>12</v>
      </c>
      <c r="G117" s="8">
        <v>1</v>
      </c>
      <c r="H117" s="9">
        <v>73.3</v>
      </c>
      <c r="I117" s="10"/>
      <c r="J117" s="9">
        <v>73.3</v>
      </c>
    </row>
    <row r="118" customHeight="1" spans="1:10">
      <c r="A118" s="8">
        <v>20200216512</v>
      </c>
      <c r="B118" s="8" t="s">
        <v>17</v>
      </c>
      <c r="C118" s="8" t="str">
        <f>"张婉"</f>
        <v>张婉</v>
      </c>
      <c r="D118" s="8" t="str">
        <f>"女"</f>
        <v>女</v>
      </c>
      <c r="E118" s="8">
        <v>4</v>
      </c>
      <c r="F118" s="8" t="s">
        <v>12</v>
      </c>
      <c r="G118" s="8">
        <v>3</v>
      </c>
      <c r="H118" s="9">
        <v>80.44</v>
      </c>
      <c r="I118" s="10"/>
      <c r="J118" s="9">
        <v>80.44</v>
      </c>
    </row>
    <row r="119" customHeight="1" spans="1:10">
      <c r="A119" s="8">
        <v>20200216501</v>
      </c>
      <c r="B119" s="8" t="s">
        <v>17</v>
      </c>
      <c r="C119" s="8" t="str">
        <f>"晋海伦"</f>
        <v>晋海伦</v>
      </c>
      <c r="D119" s="8" t="str">
        <f>"男"</f>
        <v>男</v>
      </c>
      <c r="E119" s="8">
        <v>4</v>
      </c>
      <c r="F119" s="8" t="s">
        <v>12</v>
      </c>
      <c r="G119" s="8">
        <v>4</v>
      </c>
      <c r="H119" s="9">
        <v>85.4</v>
      </c>
      <c r="I119" s="10"/>
      <c r="J119" s="9">
        <v>85.4</v>
      </c>
    </row>
    <row r="120" customHeight="1" spans="1:10">
      <c r="A120" s="8" t="str">
        <f>"20202110525"</f>
        <v>20202110525</v>
      </c>
      <c r="B120" s="8" t="s">
        <v>18</v>
      </c>
      <c r="C120" s="8" t="str">
        <f>"白进进"</f>
        <v>白进进</v>
      </c>
      <c r="D120" s="8" t="str">
        <f t="shared" ref="D120:D141" si="9">"女"</f>
        <v>女</v>
      </c>
      <c r="E120" s="8">
        <v>4</v>
      </c>
      <c r="F120" s="8" t="s">
        <v>12</v>
      </c>
      <c r="G120" s="8">
        <v>5</v>
      </c>
      <c r="H120" s="9">
        <v>82.74</v>
      </c>
      <c r="I120" s="10"/>
      <c r="J120" s="9">
        <v>82.74</v>
      </c>
    </row>
    <row r="121" customHeight="1" spans="1:10">
      <c r="A121" s="8">
        <v>20200216506</v>
      </c>
      <c r="B121" s="8" t="s">
        <v>17</v>
      </c>
      <c r="C121" s="8" t="str">
        <f>"马景颐"</f>
        <v>马景颐</v>
      </c>
      <c r="D121" s="8" t="str">
        <f t="shared" si="9"/>
        <v>女</v>
      </c>
      <c r="E121" s="8">
        <v>4</v>
      </c>
      <c r="F121" s="8" t="s">
        <v>12</v>
      </c>
      <c r="G121" s="8">
        <v>6</v>
      </c>
      <c r="H121" s="9">
        <v>84.86</v>
      </c>
      <c r="I121" s="10"/>
      <c r="J121" s="9">
        <v>84.86</v>
      </c>
    </row>
    <row r="122" customHeight="1" spans="1:10">
      <c r="A122" s="8" t="str">
        <f>"20202110617"</f>
        <v>20202110617</v>
      </c>
      <c r="B122" s="8" t="s">
        <v>18</v>
      </c>
      <c r="C122" s="8" t="str">
        <f>"霍亚玲"</f>
        <v>霍亚玲</v>
      </c>
      <c r="D122" s="8" t="str">
        <f t="shared" si="9"/>
        <v>女</v>
      </c>
      <c r="E122" s="8">
        <v>4</v>
      </c>
      <c r="F122" s="8" t="s">
        <v>12</v>
      </c>
      <c r="G122" s="8">
        <v>7</v>
      </c>
      <c r="H122" s="9">
        <v>88.6</v>
      </c>
      <c r="I122" s="10"/>
      <c r="J122" s="9">
        <v>88.6</v>
      </c>
    </row>
    <row r="123" customHeight="1" spans="1:10">
      <c r="A123" s="8">
        <v>20200216515</v>
      </c>
      <c r="B123" s="8" t="s">
        <v>17</v>
      </c>
      <c r="C123" s="8" t="str">
        <f>"刘静靖"</f>
        <v>刘静靖</v>
      </c>
      <c r="D123" s="8" t="str">
        <f t="shared" si="9"/>
        <v>女</v>
      </c>
      <c r="E123" s="8">
        <v>4</v>
      </c>
      <c r="F123" s="8" t="s">
        <v>12</v>
      </c>
      <c r="G123" s="8">
        <v>8</v>
      </c>
      <c r="H123" s="9">
        <v>82.26</v>
      </c>
      <c r="I123" s="10"/>
      <c r="J123" s="9">
        <v>82.26</v>
      </c>
    </row>
    <row r="124" customHeight="1" spans="1:10">
      <c r="A124" s="8">
        <v>20200216511</v>
      </c>
      <c r="B124" s="8" t="s">
        <v>17</v>
      </c>
      <c r="C124" s="8" t="str">
        <f>"蒋君宜"</f>
        <v>蒋君宜</v>
      </c>
      <c r="D124" s="8" t="str">
        <f t="shared" si="9"/>
        <v>女</v>
      </c>
      <c r="E124" s="8">
        <v>4</v>
      </c>
      <c r="F124" s="8" t="s">
        <v>12</v>
      </c>
      <c r="G124" s="8">
        <v>9</v>
      </c>
      <c r="H124" s="9">
        <v>80.74</v>
      </c>
      <c r="I124" s="10"/>
      <c r="J124" s="9">
        <v>80.74</v>
      </c>
    </row>
    <row r="125" customHeight="1" spans="1:10">
      <c r="A125" s="8" t="str">
        <f>"20202110614"</f>
        <v>20202110614</v>
      </c>
      <c r="B125" s="8" t="s">
        <v>18</v>
      </c>
      <c r="C125" s="8" t="str">
        <f>"华琳"</f>
        <v>华琳</v>
      </c>
      <c r="D125" s="8" t="str">
        <f t="shared" si="9"/>
        <v>女</v>
      </c>
      <c r="E125" s="8">
        <v>4</v>
      </c>
      <c r="F125" s="8" t="s">
        <v>12</v>
      </c>
      <c r="G125" s="8">
        <v>10</v>
      </c>
      <c r="H125" s="9">
        <v>84.34</v>
      </c>
      <c r="I125" s="10"/>
      <c r="J125" s="9">
        <v>84.34</v>
      </c>
    </row>
    <row r="126" customHeight="1" spans="1:10">
      <c r="A126" s="8" t="str">
        <f>"20202110519"</f>
        <v>20202110519</v>
      </c>
      <c r="B126" s="8" t="s">
        <v>18</v>
      </c>
      <c r="C126" s="8" t="str">
        <f>"王爽"</f>
        <v>王爽</v>
      </c>
      <c r="D126" s="8" t="str">
        <f t="shared" si="9"/>
        <v>女</v>
      </c>
      <c r="E126" s="8">
        <v>4</v>
      </c>
      <c r="F126" s="8" t="s">
        <v>12</v>
      </c>
      <c r="G126" s="8">
        <v>11</v>
      </c>
      <c r="H126" s="9">
        <v>85.22</v>
      </c>
      <c r="I126" s="10"/>
      <c r="J126" s="9">
        <v>85.22</v>
      </c>
    </row>
    <row r="127" customHeight="1" spans="1:10">
      <c r="A127" s="8" t="str">
        <f>"20202110528"</f>
        <v>20202110528</v>
      </c>
      <c r="B127" s="8" t="s">
        <v>18</v>
      </c>
      <c r="C127" s="8" t="str">
        <f>"何流"</f>
        <v>何流</v>
      </c>
      <c r="D127" s="8" t="str">
        <f t="shared" si="9"/>
        <v>女</v>
      </c>
      <c r="E127" s="8">
        <v>4</v>
      </c>
      <c r="F127" s="8" t="s">
        <v>12</v>
      </c>
      <c r="G127" s="8">
        <v>12</v>
      </c>
      <c r="H127" s="9">
        <v>81.36</v>
      </c>
      <c r="I127" s="10"/>
      <c r="J127" s="9">
        <v>81.36</v>
      </c>
    </row>
    <row r="128" customHeight="1" spans="1:10">
      <c r="A128" s="8">
        <v>20200216518</v>
      </c>
      <c r="B128" s="8" t="s">
        <v>17</v>
      </c>
      <c r="C128" s="8" t="str">
        <f>"武义雪"</f>
        <v>武义雪</v>
      </c>
      <c r="D128" s="8" t="str">
        <f t="shared" si="9"/>
        <v>女</v>
      </c>
      <c r="E128" s="8">
        <v>4</v>
      </c>
      <c r="F128" s="8" t="s">
        <v>12</v>
      </c>
      <c r="G128" s="8">
        <v>13</v>
      </c>
      <c r="H128" s="9">
        <v>81</v>
      </c>
      <c r="I128" s="10"/>
      <c r="J128" s="9">
        <v>81</v>
      </c>
    </row>
    <row r="129" customHeight="1" spans="1:10">
      <c r="A129" s="8" t="str">
        <f>"20202110514"</f>
        <v>20202110514</v>
      </c>
      <c r="B129" s="8" t="s">
        <v>18</v>
      </c>
      <c r="C129" s="8" t="str">
        <f>"杨艳平"</f>
        <v>杨艳平</v>
      </c>
      <c r="D129" s="8" t="str">
        <f t="shared" si="9"/>
        <v>女</v>
      </c>
      <c r="E129" s="8">
        <v>4</v>
      </c>
      <c r="F129" s="8" t="s">
        <v>12</v>
      </c>
      <c r="G129" s="8">
        <v>14</v>
      </c>
      <c r="H129" s="9">
        <v>83.42</v>
      </c>
      <c r="I129" s="10"/>
      <c r="J129" s="9">
        <v>83.42</v>
      </c>
    </row>
    <row r="130" customHeight="1" spans="1:10">
      <c r="A130" s="8">
        <v>20200216510</v>
      </c>
      <c r="B130" s="8" t="s">
        <v>17</v>
      </c>
      <c r="C130" s="8" t="str">
        <f>"张珊"</f>
        <v>张珊</v>
      </c>
      <c r="D130" s="8" t="str">
        <f t="shared" si="9"/>
        <v>女</v>
      </c>
      <c r="E130" s="8">
        <v>4</v>
      </c>
      <c r="F130" s="8" t="s">
        <v>12</v>
      </c>
      <c r="G130" s="8">
        <v>15</v>
      </c>
      <c r="H130" s="9">
        <v>82.82</v>
      </c>
      <c r="I130" s="10"/>
      <c r="J130" s="9">
        <v>82.82</v>
      </c>
    </row>
    <row r="131" customHeight="1" spans="1:10">
      <c r="A131" s="8">
        <v>20200216502</v>
      </c>
      <c r="B131" s="8" t="s">
        <v>17</v>
      </c>
      <c r="C131" s="8" t="str">
        <f>"郭雨"</f>
        <v>郭雨</v>
      </c>
      <c r="D131" s="8" t="str">
        <f t="shared" si="9"/>
        <v>女</v>
      </c>
      <c r="E131" s="8">
        <v>4</v>
      </c>
      <c r="F131" s="8" t="s">
        <v>12</v>
      </c>
      <c r="G131" s="8">
        <v>16</v>
      </c>
      <c r="H131" s="9">
        <v>78.58</v>
      </c>
      <c r="I131" s="10"/>
      <c r="J131" s="9">
        <v>78.58</v>
      </c>
    </row>
    <row r="132" customHeight="1" spans="1:10">
      <c r="A132" s="8">
        <v>20200216517</v>
      </c>
      <c r="B132" s="8" t="s">
        <v>17</v>
      </c>
      <c r="C132" s="8" t="str">
        <f>"李美玲"</f>
        <v>李美玲</v>
      </c>
      <c r="D132" s="8" t="str">
        <f t="shared" si="9"/>
        <v>女</v>
      </c>
      <c r="E132" s="8">
        <v>4</v>
      </c>
      <c r="F132" s="8" t="s">
        <v>12</v>
      </c>
      <c r="G132" s="8">
        <v>17</v>
      </c>
      <c r="H132" s="9">
        <v>80.28</v>
      </c>
      <c r="I132" s="10"/>
      <c r="J132" s="9">
        <v>80.28</v>
      </c>
    </row>
    <row r="133" customHeight="1" spans="1:10">
      <c r="A133" s="8" t="str">
        <f>"20202110611"</f>
        <v>20202110611</v>
      </c>
      <c r="B133" s="8" t="s">
        <v>18</v>
      </c>
      <c r="C133" s="8" t="str">
        <f>"王蕊"</f>
        <v>王蕊</v>
      </c>
      <c r="D133" s="8" t="str">
        <f t="shared" si="9"/>
        <v>女</v>
      </c>
      <c r="E133" s="8">
        <v>4</v>
      </c>
      <c r="F133" s="8" t="s">
        <v>12</v>
      </c>
      <c r="G133" s="8">
        <v>18</v>
      </c>
      <c r="H133" s="9">
        <v>85.36</v>
      </c>
      <c r="I133" s="10"/>
      <c r="J133" s="9">
        <v>85.36</v>
      </c>
    </row>
    <row r="134" customHeight="1" spans="1:10">
      <c r="A134" s="8">
        <v>20200216507</v>
      </c>
      <c r="B134" s="8" t="s">
        <v>17</v>
      </c>
      <c r="C134" s="8" t="str">
        <f>"王记"</f>
        <v>王记</v>
      </c>
      <c r="D134" s="8" t="str">
        <f t="shared" si="9"/>
        <v>女</v>
      </c>
      <c r="E134" s="8">
        <v>4</v>
      </c>
      <c r="F134" s="8" t="s">
        <v>12</v>
      </c>
      <c r="G134" s="8">
        <v>19</v>
      </c>
      <c r="H134" s="9">
        <v>83.68</v>
      </c>
      <c r="I134" s="10"/>
      <c r="J134" s="9">
        <v>83.68</v>
      </c>
    </row>
    <row r="135" customHeight="1" spans="1:10">
      <c r="A135" s="8">
        <v>20200216509</v>
      </c>
      <c r="B135" s="8" t="s">
        <v>17</v>
      </c>
      <c r="C135" s="8" t="str">
        <f>"闫鑫"</f>
        <v>闫鑫</v>
      </c>
      <c r="D135" s="8" t="str">
        <f t="shared" si="9"/>
        <v>女</v>
      </c>
      <c r="E135" s="8">
        <v>4</v>
      </c>
      <c r="F135" s="8" t="s">
        <v>12</v>
      </c>
      <c r="G135" s="8">
        <v>20</v>
      </c>
      <c r="H135" s="9">
        <v>81.36</v>
      </c>
      <c r="I135" s="10"/>
      <c r="J135" s="9">
        <v>81.36</v>
      </c>
    </row>
    <row r="136" customHeight="1" spans="1:10">
      <c r="A136" s="8">
        <v>20200216525</v>
      </c>
      <c r="B136" s="8" t="s">
        <v>19</v>
      </c>
      <c r="C136" s="8" t="str">
        <f>"刘贾纳"</f>
        <v>刘贾纳</v>
      </c>
      <c r="D136" s="8" t="str">
        <f t="shared" si="9"/>
        <v>女</v>
      </c>
      <c r="E136" s="8">
        <v>4</v>
      </c>
      <c r="F136" s="8" t="s">
        <v>13</v>
      </c>
      <c r="G136" s="8">
        <v>1</v>
      </c>
      <c r="H136" s="9">
        <v>72.9</v>
      </c>
      <c r="I136" s="10"/>
      <c r="J136" s="9">
        <v>72.9</v>
      </c>
    </row>
    <row r="137" customHeight="1" spans="1:10">
      <c r="A137" s="8" t="str">
        <f>"20202511017"</f>
        <v>20202511017</v>
      </c>
      <c r="B137" s="8" t="s">
        <v>20</v>
      </c>
      <c r="C137" s="8" t="str">
        <f>"袁悦"</f>
        <v>袁悦</v>
      </c>
      <c r="D137" s="8" t="str">
        <f t="shared" si="9"/>
        <v>女</v>
      </c>
      <c r="E137" s="8">
        <v>4</v>
      </c>
      <c r="F137" s="8" t="s">
        <v>13</v>
      </c>
      <c r="G137" s="8">
        <v>2</v>
      </c>
      <c r="H137" s="9">
        <v>87.74</v>
      </c>
      <c r="I137" s="10"/>
      <c r="J137" s="9">
        <v>87.74</v>
      </c>
    </row>
    <row r="138" customHeight="1" spans="1:10">
      <c r="A138" s="8" t="str">
        <f>"20205512302"</f>
        <v>20205512302</v>
      </c>
      <c r="B138" s="8" t="s">
        <v>21</v>
      </c>
      <c r="C138" s="8" t="str">
        <f>"付娟"</f>
        <v>付娟</v>
      </c>
      <c r="D138" s="8" t="str">
        <f t="shared" si="9"/>
        <v>女</v>
      </c>
      <c r="E138" s="8">
        <v>4</v>
      </c>
      <c r="F138" s="8" t="s">
        <v>13</v>
      </c>
      <c r="G138" s="8">
        <v>3</v>
      </c>
      <c r="H138" s="9">
        <v>78.96</v>
      </c>
      <c r="I138" s="10"/>
      <c r="J138" s="9">
        <v>78.96</v>
      </c>
    </row>
    <row r="139" customHeight="1" spans="1:10">
      <c r="A139" s="8" t="str">
        <f>"20202511015"</f>
        <v>20202511015</v>
      </c>
      <c r="B139" s="8" t="s">
        <v>20</v>
      </c>
      <c r="C139" s="8" t="str">
        <f>"卢玉静"</f>
        <v>卢玉静</v>
      </c>
      <c r="D139" s="8" t="str">
        <f t="shared" si="9"/>
        <v>女</v>
      </c>
      <c r="E139" s="8">
        <v>4</v>
      </c>
      <c r="F139" s="8" t="s">
        <v>13</v>
      </c>
      <c r="G139" s="8">
        <v>4</v>
      </c>
      <c r="H139" s="9">
        <v>83.7</v>
      </c>
      <c r="I139" s="10"/>
      <c r="J139" s="9">
        <v>83.7</v>
      </c>
    </row>
    <row r="140" customHeight="1" spans="1:10">
      <c r="A140" s="8" t="str">
        <f>"20202511014"</f>
        <v>20202511014</v>
      </c>
      <c r="B140" s="8" t="s">
        <v>20</v>
      </c>
      <c r="C140" s="8" t="str">
        <f>"薛媛"</f>
        <v>薛媛</v>
      </c>
      <c r="D140" s="8" t="str">
        <f t="shared" si="9"/>
        <v>女</v>
      </c>
      <c r="E140" s="8">
        <v>4</v>
      </c>
      <c r="F140" s="8" t="s">
        <v>13</v>
      </c>
      <c r="G140" s="8">
        <v>5</v>
      </c>
      <c r="H140" s="9">
        <v>83.2</v>
      </c>
      <c r="I140" s="10"/>
      <c r="J140" s="9">
        <v>83.2</v>
      </c>
    </row>
    <row r="141" customHeight="1" spans="1:10">
      <c r="A141" s="8">
        <v>20200216521</v>
      </c>
      <c r="B141" s="8" t="s">
        <v>19</v>
      </c>
      <c r="C141" s="8" t="str">
        <f>"兰柳"</f>
        <v>兰柳</v>
      </c>
      <c r="D141" s="8" t="str">
        <f t="shared" si="9"/>
        <v>女</v>
      </c>
      <c r="E141" s="8">
        <v>4</v>
      </c>
      <c r="F141" s="8" t="s">
        <v>13</v>
      </c>
      <c r="G141" s="8">
        <v>6</v>
      </c>
      <c r="H141" s="9">
        <v>80.04</v>
      </c>
      <c r="I141" s="10"/>
      <c r="J141" s="9">
        <v>80.04</v>
      </c>
    </row>
    <row r="142" customHeight="1" spans="1:10">
      <c r="A142" s="8" t="str">
        <f>"20205512308"</f>
        <v>20205512308</v>
      </c>
      <c r="B142" s="8" t="s">
        <v>21</v>
      </c>
      <c r="C142" s="8" t="str">
        <f>"李世熙"</f>
        <v>李世熙</v>
      </c>
      <c r="D142" s="8" t="str">
        <f>"男"</f>
        <v>男</v>
      </c>
      <c r="E142" s="8">
        <v>4</v>
      </c>
      <c r="F142" s="8" t="s">
        <v>13</v>
      </c>
      <c r="G142" s="8">
        <v>7</v>
      </c>
      <c r="H142" s="9">
        <v>84.66</v>
      </c>
      <c r="I142" s="10"/>
      <c r="J142" s="9">
        <v>84.66</v>
      </c>
    </row>
    <row r="143" customHeight="1" spans="1:10">
      <c r="A143" s="8" t="str">
        <f>"20205512304"</f>
        <v>20205512304</v>
      </c>
      <c r="B143" s="8" t="s">
        <v>21</v>
      </c>
      <c r="C143" s="8" t="str">
        <f>"范春磊"</f>
        <v>范春磊</v>
      </c>
      <c r="D143" s="8" t="str">
        <f>"男"</f>
        <v>男</v>
      </c>
      <c r="E143" s="8">
        <v>4</v>
      </c>
      <c r="F143" s="8" t="s">
        <v>13</v>
      </c>
      <c r="G143" s="8">
        <v>8</v>
      </c>
      <c r="H143" s="9">
        <v>83.32</v>
      </c>
      <c r="I143" s="10"/>
      <c r="J143" s="9">
        <v>83.32</v>
      </c>
    </row>
    <row r="144" customHeight="1" spans="1:10">
      <c r="A144" s="8" t="str">
        <f>"20205512307"</f>
        <v>20205512307</v>
      </c>
      <c r="B144" s="8" t="s">
        <v>21</v>
      </c>
      <c r="C144" s="8" t="str">
        <f>"周丹"</f>
        <v>周丹</v>
      </c>
      <c r="D144" s="8" t="str">
        <f t="shared" ref="D144:D149" si="10">"女"</f>
        <v>女</v>
      </c>
      <c r="E144" s="8">
        <v>4</v>
      </c>
      <c r="F144" s="8" t="s">
        <v>13</v>
      </c>
      <c r="G144" s="8">
        <v>9</v>
      </c>
      <c r="H144" s="9">
        <v>85.62</v>
      </c>
      <c r="I144" s="10"/>
      <c r="J144" s="9">
        <v>85.62</v>
      </c>
    </row>
    <row r="145" customHeight="1" spans="1:10">
      <c r="A145" s="8" t="str">
        <f>"20205512301"</f>
        <v>20205512301</v>
      </c>
      <c r="B145" s="8" t="s">
        <v>21</v>
      </c>
      <c r="C145" s="8" t="str">
        <f>"周汝依"</f>
        <v>周汝依</v>
      </c>
      <c r="D145" s="8" t="str">
        <f t="shared" si="10"/>
        <v>女</v>
      </c>
      <c r="E145" s="8">
        <v>4</v>
      </c>
      <c r="F145" s="8" t="s">
        <v>13</v>
      </c>
      <c r="G145" s="8">
        <v>10</v>
      </c>
      <c r="H145" s="9">
        <v>85.74</v>
      </c>
      <c r="I145" s="10"/>
      <c r="J145" s="9">
        <v>85.74</v>
      </c>
    </row>
    <row r="146" customHeight="1" spans="1:10">
      <c r="A146" s="8" t="str">
        <f>"20202511013"</f>
        <v>20202511013</v>
      </c>
      <c r="B146" s="8" t="s">
        <v>20</v>
      </c>
      <c r="C146" s="8" t="str">
        <f>"郭玉男"</f>
        <v>郭玉男</v>
      </c>
      <c r="D146" s="8" t="str">
        <f t="shared" si="10"/>
        <v>女</v>
      </c>
      <c r="E146" s="8">
        <v>4</v>
      </c>
      <c r="F146" s="8" t="s">
        <v>13</v>
      </c>
      <c r="G146" s="8">
        <v>11</v>
      </c>
      <c r="H146" s="9">
        <v>86.04</v>
      </c>
      <c r="I146" s="10"/>
      <c r="J146" s="9">
        <v>86.04</v>
      </c>
    </row>
    <row r="147" customHeight="1" spans="1:10">
      <c r="A147" s="8">
        <v>20200216520</v>
      </c>
      <c r="B147" s="8" t="s">
        <v>19</v>
      </c>
      <c r="C147" s="8" t="str">
        <f>"王霞辉"</f>
        <v>王霞辉</v>
      </c>
      <c r="D147" s="8" t="str">
        <f t="shared" si="10"/>
        <v>女</v>
      </c>
      <c r="E147" s="8">
        <v>4</v>
      </c>
      <c r="F147" s="8" t="s">
        <v>13</v>
      </c>
      <c r="G147" s="8">
        <v>12</v>
      </c>
      <c r="H147" s="9">
        <v>82.8</v>
      </c>
      <c r="I147" s="10"/>
      <c r="J147" s="9">
        <v>82.8</v>
      </c>
    </row>
    <row r="148" customHeight="1" spans="1:10">
      <c r="A148" s="8" t="str">
        <f>"20202511019"</f>
        <v>20202511019</v>
      </c>
      <c r="B148" s="8" t="s">
        <v>20</v>
      </c>
      <c r="C148" s="8" t="str">
        <f>"程英英"</f>
        <v>程英英</v>
      </c>
      <c r="D148" s="8" t="str">
        <f t="shared" si="10"/>
        <v>女</v>
      </c>
      <c r="E148" s="8">
        <v>4</v>
      </c>
      <c r="F148" s="8" t="s">
        <v>13</v>
      </c>
      <c r="G148" s="8">
        <v>14</v>
      </c>
      <c r="H148" s="9">
        <v>85.8</v>
      </c>
      <c r="I148" s="10"/>
      <c r="J148" s="9">
        <v>85.8</v>
      </c>
    </row>
    <row r="149" customHeight="1" spans="1:10">
      <c r="A149" s="8">
        <v>20200216522</v>
      </c>
      <c r="B149" s="8" t="s">
        <v>19</v>
      </c>
      <c r="C149" s="8" t="str">
        <f>"徐江伟"</f>
        <v>徐江伟</v>
      </c>
      <c r="D149" s="8" t="str">
        <f t="shared" si="10"/>
        <v>女</v>
      </c>
      <c r="E149" s="8">
        <v>4</v>
      </c>
      <c r="F149" s="8" t="s">
        <v>13</v>
      </c>
      <c r="G149" s="8">
        <v>15</v>
      </c>
      <c r="H149" s="9">
        <v>84.66</v>
      </c>
      <c r="I149" s="10"/>
      <c r="J149" s="9">
        <v>84.66</v>
      </c>
    </row>
    <row r="150" customHeight="1" spans="1:10">
      <c r="A150" s="8"/>
      <c r="B150" s="8"/>
      <c r="C150" s="8"/>
      <c r="D150" s="8"/>
      <c r="E150" s="8"/>
      <c r="F150" s="8"/>
      <c r="G150" s="8"/>
      <c r="H150" s="9"/>
      <c r="I150" s="10"/>
      <c r="J150" s="9"/>
    </row>
    <row r="151" customHeight="1" spans="1:10">
      <c r="A151" s="8" t="str">
        <f>"20206223702"</f>
        <v>20206223702</v>
      </c>
      <c r="B151" s="8" t="s">
        <v>22</v>
      </c>
      <c r="C151" s="8" t="str">
        <f>"崔盛楠"</f>
        <v>崔盛楠</v>
      </c>
      <c r="D151" s="8" t="str">
        <f t="shared" ref="D151:D167" si="11">"女"</f>
        <v>女</v>
      </c>
      <c r="E151" s="8">
        <v>5</v>
      </c>
      <c r="F151" s="8" t="s">
        <v>12</v>
      </c>
      <c r="G151" s="8">
        <v>4</v>
      </c>
      <c r="H151" s="9">
        <v>74.62</v>
      </c>
      <c r="I151" s="10">
        <v>1.003</v>
      </c>
      <c r="J151" s="9">
        <f>H151*I151</f>
        <v>74.84386</v>
      </c>
    </row>
    <row r="152" customHeight="1" spans="1:10">
      <c r="A152" s="8" t="str">
        <f>"20206223714"</f>
        <v>20206223714</v>
      </c>
      <c r="B152" s="8" t="s">
        <v>22</v>
      </c>
      <c r="C152" s="8" t="str">
        <f>"孙若皎"</f>
        <v>孙若皎</v>
      </c>
      <c r="D152" s="8" t="str">
        <f t="shared" si="11"/>
        <v>女</v>
      </c>
      <c r="E152" s="8">
        <v>5</v>
      </c>
      <c r="F152" s="8" t="s">
        <v>12</v>
      </c>
      <c r="G152" s="8">
        <v>6</v>
      </c>
      <c r="H152" s="9">
        <v>80.76</v>
      </c>
      <c r="I152" s="10">
        <v>1.003</v>
      </c>
      <c r="J152" s="9">
        <f t="shared" ref="J152:J185" si="12">H152*I152</f>
        <v>81.00228</v>
      </c>
    </row>
    <row r="153" customHeight="1" spans="1:10">
      <c r="A153" s="8" t="str">
        <f>"20206223518"</f>
        <v>20206223518</v>
      </c>
      <c r="B153" s="8" t="s">
        <v>22</v>
      </c>
      <c r="C153" s="8" t="str">
        <f>"范洋洋"</f>
        <v>范洋洋</v>
      </c>
      <c r="D153" s="8" t="str">
        <f t="shared" si="11"/>
        <v>女</v>
      </c>
      <c r="E153" s="8">
        <v>5</v>
      </c>
      <c r="F153" s="8" t="s">
        <v>12</v>
      </c>
      <c r="G153" s="8">
        <v>8</v>
      </c>
      <c r="H153" s="9">
        <v>85.46</v>
      </c>
      <c r="I153" s="10">
        <v>1.003</v>
      </c>
      <c r="J153" s="9">
        <f t="shared" si="12"/>
        <v>85.71638</v>
      </c>
    </row>
    <row r="154" customHeight="1" spans="1:10">
      <c r="A154" s="8" t="str">
        <f>"20206223322"</f>
        <v>20206223322</v>
      </c>
      <c r="B154" s="8" t="s">
        <v>22</v>
      </c>
      <c r="C154" s="8" t="str">
        <f>"王长荣"</f>
        <v>王长荣</v>
      </c>
      <c r="D154" s="8" t="str">
        <f t="shared" si="11"/>
        <v>女</v>
      </c>
      <c r="E154" s="8">
        <v>5</v>
      </c>
      <c r="F154" s="8" t="s">
        <v>12</v>
      </c>
      <c r="G154" s="8">
        <v>9</v>
      </c>
      <c r="H154" s="9">
        <v>80.82</v>
      </c>
      <c r="I154" s="10">
        <v>1.003</v>
      </c>
      <c r="J154" s="9">
        <f t="shared" si="12"/>
        <v>81.06246</v>
      </c>
    </row>
    <row r="155" customHeight="1" spans="1:10">
      <c r="A155" s="8" t="str">
        <f>"20206223318"</f>
        <v>20206223318</v>
      </c>
      <c r="B155" s="8" t="s">
        <v>22</v>
      </c>
      <c r="C155" s="8" t="str">
        <f>"周梦琦"</f>
        <v>周梦琦</v>
      </c>
      <c r="D155" s="8" t="str">
        <f t="shared" si="11"/>
        <v>女</v>
      </c>
      <c r="E155" s="8">
        <v>5</v>
      </c>
      <c r="F155" s="8" t="s">
        <v>12</v>
      </c>
      <c r="G155" s="8">
        <v>10</v>
      </c>
      <c r="H155" s="9">
        <v>81.14</v>
      </c>
      <c r="I155" s="10">
        <v>1.003</v>
      </c>
      <c r="J155" s="9">
        <f t="shared" si="12"/>
        <v>81.38342</v>
      </c>
    </row>
    <row r="156" customHeight="1" spans="1:10">
      <c r="A156" s="8" t="str">
        <f>"20206223606"</f>
        <v>20206223606</v>
      </c>
      <c r="B156" s="8" t="s">
        <v>22</v>
      </c>
      <c r="C156" s="8" t="str">
        <f>"张艺"</f>
        <v>张艺</v>
      </c>
      <c r="D156" s="8" t="str">
        <f t="shared" si="11"/>
        <v>女</v>
      </c>
      <c r="E156" s="8">
        <v>5</v>
      </c>
      <c r="F156" s="8" t="s">
        <v>12</v>
      </c>
      <c r="G156" s="8">
        <v>11</v>
      </c>
      <c r="H156" s="9">
        <v>74.84</v>
      </c>
      <c r="I156" s="10">
        <v>1.003</v>
      </c>
      <c r="J156" s="9">
        <f t="shared" si="12"/>
        <v>75.06452</v>
      </c>
    </row>
    <row r="157" customHeight="1" spans="1:10">
      <c r="A157" s="8" t="str">
        <f>"20206223330"</f>
        <v>20206223330</v>
      </c>
      <c r="B157" s="8" t="s">
        <v>22</v>
      </c>
      <c r="C157" s="8" t="str">
        <f>"庄鑫会"</f>
        <v>庄鑫会</v>
      </c>
      <c r="D157" s="8" t="str">
        <f t="shared" si="11"/>
        <v>女</v>
      </c>
      <c r="E157" s="8">
        <v>5</v>
      </c>
      <c r="F157" s="8" t="s">
        <v>12</v>
      </c>
      <c r="G157" s="8">
        <v>12</v>
      </c>
      <c r="H157" s="9">
        <v>75.24</v>
      </c>
      <c r="I157" s="10">
        <v>1.003</v>
      </c>
      <c r="J157" s="9">
        <f t="shared" si="12"/>
        <v>75.46572</v>
      </c>
    </row>
    <row r="158" customHeight="1" spans="1:10">
      <c r="A158" s="8" t="str">
        <f>"20206223510"</f>
        <v>20206223510</v>
      </c>
      <c r="B158" s="8" t="s">
        <v>22</v>
      </c>
      <c r="C158" s="8" t="str">
        <f>"张冰冰"</f>
        <v>张冰冰</v>
      </c>
      <c r="D158" s="8" t="str">
        <f t="shared" si="11"/>
        <v>女</v>
      </c>
      <c r="E158" s="8">
        <v>5</v>
      </c>
      <c r="F158" s="8" t="s">
        <v>12</v>
      </c>
      <c r="G158" s="8">
        <v>15</v>
      </c>
      <c r="H158" s="9">
        <v>82.2</v>
      </c>
      <c r="I158" s="10">
        <v>1.003</v>
      </c>
      <c r="J158" s="9">
        <f t="shared" si="12"/>
        <v>82.4466</v>
      </c>
    </row>
    <row r="159" customHeight="1" spans="1:10">
      <c r="A159" s="8" t="str">
        <f>"20206223615"</f>
        <v>20206223615</v>
      </c>
      <c r="B159" s="8" t="s">
        <v>22</v>
      </c>
      <c r="C159" s="8" t="str">
        <f>"张闪闪"</f>
        <v>张闪闪</v>
      </c>
      <c r="D159" s="8" t="str">
        <f t="shared" si="11"/>
        <v>女</v>
      </c>
      <c r="E159" s="8">
        <v>5</v>
      </c>
      <c r="F159" s="8" t="s">
        <v>12</v>
      </c>
      <c r="G159" s="8">
        <v>16</v>
      </c>
      <c r="H159" s="9">
        <v>74.34</v>
      </c>
      <c r="I159" s="10">
        <v>1.003</v>
      </c>
      <c r="J159" s="9">
        <f t="shared" si="12"/>
        <v>74.56302</v>
      </c>
    </row>
    <row r="160" customHeight="1" spans="1:10">
      <c r="A160" s="8" t="str">
        <f>"20206223527"</f>
        <v>20206223527</v>
      </c>
      <c r="B160" s="8" t="s">
        <v>22</v>
      </c>
      <c r="C160" s="8" t="str">
        <f>"张静"</f>
        <v>张静</v>
      </c>
      <c r="D160" s="8" t="str">
        <f t="shared" si="11"/>
        <v>女</v>
      </c>
      <c r="E160" s="8">
        <v>5</v>
      </c>
      <c r="F160" s="8" t="s">
        <v>12</v>
      </c>
      <c r="G160" s="8">
        <v>17</v>
      </c>
      <c r="H160" s="9">
        <v>83.4</v>
      </c>
      <c r="I160" s="10">
        <v>1.003</v>
      </c>
      <c r="J160" s="9">
        <f t="shared" si="12"/>
        <v>83.6502</v>
      </c>
    </row>
    <row r="161" customHeight="1" spans="1:10">
      <c r="A161" s="8" t="str">
        <f>"20206223515"</f>
        <v>20206223515</v>
      </c>
      <c r="B161" s="8" t="s">
        <v>22</v>
      </c>
      <c r="C161" s="8" t="str">
        <f>"李天焕"</f>
        <v>李天焕</v>
      </c>
      <c r="D161" s="8" t="str">
        <f t="shared" si="11"/>
        <v>女</v>
      </c>
      <c r="E161" s="8">
        <v>5</v>
      </c>
      <c r="F161" s="8" t="s">
        <v>12</v>
      </c>
      <c r="G161" s="8">
        <v>18</v>
      </c>
      <c r="H161" s="9">
        <v>83.76</v>
      </c>
      <c r="I161" s="10">
        <v>1.003</v>
      </c>
      <c r="J161" s="9">
        <f t="shared" si="12"/>
        <v>84.01128</v>
      </c>
    </row>
    <row r="162" customHeight="1" spans="1:10">
      <c r="A162" s="8" t="str">
        <f>"20206223609"</f>
        <v>20206223609</v>
      </c>
      <c r="B162" s="8" t="s">
        <v>22</v>
      </c>
      <c r="C162" s="8" t="str">
        <f>"杨兴幸"</f>
        <v>杨兴幸</v>
      </c>
      <c r="D162" s="8" t="str">
        <f t="shared" si="11"/>
        <v>女</v>
      </c>
      <c r="E162" s="8">
        <v>5</v>
      </c>
      <c r="F162" s="8" t="s">
        <v>12</v>
      </c>
      <c r="G162" s="8">
        <v>19</v>
      </c>
      <c r="H162" s="9">
        <v>79.7</v>
      </c>
      <c r="I162" s="10">
        <v>1.003</v>
      </c>
      <c r="J162" s="9">
        <f t="shared" si="12"/>
        <v>79.9391</v>
      </c>
    </row>
    <row r="163" customHeight="1" spans="1:10">
      <c r="A163" s="8" t="str">
        <f>"20206223327"</f>
        <v>20206223327</v>
      </c>
      <c r="B163" s="8" t="s">
        <v>22</v>
      </c>
      <c r="C163" s="8" t="str">
        <f>"高晨雪"</f>
        <v>高晨雪</v>
      </c>
      <c r="D163" s="8" t="str">
        <f t="shared" si="11"/>
        <v>女</v>
      </c>
      <c r="E163" s="8">
        <v>5</v>
      </c>
      <c r="F163" s="8" t="s">
        <v>12</v>
      </c>
      <c r="G163" s="8">
        <v>21</v>
      </c>
      <c r="H163" s="9">
        <v>78.62</v>
      </c>
      <c r="I163" s="10">
        <v>1.003</v>
      </c>
      <c r="J163" s="9">
        <f t="shared" si="12"/>
        <v>78.85586</v>
      </c>
    </row>
    <row r="164" customHeight="1" spans="1:10">
      <c r="A164" s="8" t="str">
        <f>"20206223329"</f>
        <v>20206223329</v>
      </c>
      <c r="B164" s="8" t="s">
        <v>22</v>
      </c>
      <c r="C164" s="8" t="str">
        <f>"宋佳琦"</f>
        <v>宋佳琦</v>
      </c>
      <c r="D164" s="8" t="str">
        <f t="shared" si="11"/>
        <v>女</v>
      </c>
      <c r="E164" s="8">
        <v>5</v>
      </c>
      <c r="F164" s="8" t="s">
        <v>12</v>
      </c>
      <c r="G164" s="8">
        <v>22</v>
      </c>
      <c r="H164" s="9">
        <v>80.32</v>
      </c>
      <c r="I164" s="10">
        <v>1.003</v>
      </c>
      <c r="J164" s="9">
        <f t="shared" si="12"/>
        <v>80.56096</v>
      </c>
    </row>
    <row r="165" customHeight="1" spans="1:10">
      <c r="A165" s="8" t="str">
        <f>"20206223511"</f>
        <v>20206223511</v>
      </c>
      <c r="B165" s="8" t="s">
        <v>22</v>
      </c>
      <c r="C165" s="8" t="str">
        <f>"郭淼"</f>
        <v>郭淼</v>
      </c>
      <c r="D165" s="8" t="str">
        <f t="shared" si="11"/>
        <v>女</v>
      </c>
      <c r="E165" s="8">
        <v>5</v>
      </c>
      <c r="F165" s="8" t="s">
        <v>12</v>
      </c>
      <c r="G165" s="8">
        <v>23</v>
      </c>
      <c r="H165" s="9">
        <v>84.92</v>
      </c>
      <c r="I165" s="10">
        <v>1.003</v>
      </c>
      <c r="J165" s="9">
        <f t="shared" si="12"/>
        <v>85.17476</v>
      </c>
    </row>
    <row r="166" customHeight="1" spans="1:10">
      <c r="A166" s="8" t="str">
        <f>"20206223628"</f>
        <v>20206223628</v>
      </c>
      <c r="B166" s="8" t="s">
        <v>22</v>
      </c>
      <c r="C166" s="8" t="str">
        <f>"米攀攀"</f>
        <v>米攀攀</v>
      </c>
      <c r="D166" s="8" t="str">
        <f t="shared" si="11"/>
        <v>女</v>
      </c>
      <c r="E166" s="8">
        <v>5</v>
      </c>
      <c r="F166" s="8" t="s">
        <v>12</v>
      </c>
      <c r="G166" s="8">
        <v>24</v>
      </c>
      <c r="H166" s="9">
        <v>85.06</v>
      </c>
      <c r="I166" s="10">
        <v>1.003</v>
      </c>
      <c r="J166" s="9">
        <f t="shared" si="12"/>
        <v>85.31518</v>
      </c>
    </row>
    <row r="167" customHeight="1" spans="1:10">
      <c r="A167" s="8" t="str">
        <f>"20206223710"</f>
        <v>20206223710</v>
      </c>
      <c r="B167" s="8" t="s">
        <v>22</v>
      </c>
      <c r="C167" s="8" t="str">
        <f>"闫景新"</f>
        <v>闫景新</v>
      </c>
      <c r="D167" s="8" t="str">
        <f t="shared" si="11"/>
        <v>女</v>
      </c>
      <c r="E167" s="8">
        <v>5</v>
      </c>
      <c r="F167" s="8" t="s">
        <v>13</v>
      </c>
      <c r="G167" s="8">
        <v>1</v>
      </c>
      <c r="H167" s="9">
        <v>85.22</v>
      </c>
      <c r="I167" s="10">
        <v>1.003</v>
      </c>
      <c r="J167" s="9">
        <f t="shared" si="12"/>
        <v>85.47566</v>
      </c>
    </row>
    <row r="168" customHeight="1" spans="1:10">
      <c r="A168" s="8" t="str">
        <f>"20206223901"</f>
        <v>20206223901</v>
      </c>
      <c r="B168" s="8" t="s">
        <v>22</v>
      </c>
      <c r="C168" s="8" t="str">
        <f>"薛协恒"</f>
        <v>薛协恒</v>
      </c>
      <c r="D168" s="8" t="str">
        <f>"男"</f>
        <v>男</v>
      </c>
      <c r="E168" s="8">
        <v>5</v>
      </c>
      <c r="F168" s="8" t="s">
        <v>13</v>
      </c>
      <c r="G168" s="8">
        <v>3</v>
      </c>
      <c r="H168" s="9">
        <v>75.92</v>
      </c>
      <c r="I168" s="10">
        <v>1.003</v>
      </c>
      <c r="J168" s="9">
        <f t="shared" si="12"/>
        <v>76.14776</v>
      </c>
    </row>
    <row r="169" customHeight="1" spans="1:10">
      <c r="A169" s="8" t="str">
        <f>"20206223413"</f>
        <v>20206223413</v>
      </c>
      <c r="B169" s="8" t="s">
        <v>22</v>
      </c>
      <c r="C169" s="8" t="str">
        <f>"王菲"</f>
        <v>王菲</v>
      </c>
      <c r="D169" s="8" t="str">
        <f>"女"</f>
        <v>女</v>
      </c>
      <c r="E169" s="8">
        <v>5</v>
      </c>
      <c r="F169" s="8" t="s">
        <v>13</v>
      </c>
      <c r="G169" s="8">
        <v>4</v>
      </c>
      <c r="H169" s="9">
        <v>77.62</v>
      </c>
      <c r="I169" s="10">
        <v>1.003</v>
      </c>
      <c r="J169" s="9">
        <f t="shared" si="12"/>
        <v>77.85286</v>
      </c>
    </row>
    <row r="170" customHeight="1" spans="1:10">
      <c r="A170" s="8" t="str">
        <f>"20206223422"</f>
        <v>20206223422</v>
      </c>
      <c r="B170" s="8" t="s">
        <v>22</v>
      </c>
      <c r="C170" s="8" t="str">
        <f>"王倩"</f>
        <v>王倩</v>
      </c>
      <c r="D170" s="8" t="str">
        <f>"女"</f>
        <v>女</v>
      </c>
      <c r="E170" s="8">
        <v>5</v>
      </c>
      <c r="F170" s="8" t="s">
        <v>13</v>
      </c>
      <c r="G170" s="8">
        <v>5</v>
      </c>
      <c r="H170" s="9">
        <v>81.24</v>
      </c>
      <c r="I170" s="10">
        <v>1.003</v>
      </c>
      <c r="J170" s="9">
        <f t="shared" si="12"/>
        <v>81.48372</v>
      </c>
    </row>
    <row r="171" customHeight="1" spans="1:10">
      <c r="A171" s="8" t="str">
        <f>"20206223830"</f>
        <v>20206223830</v>
      </c>
      <c r="B171" s="8" t="s">
        <v>22</v>
      </c>
      <c r="C171" s="8" t="str">
        <f>"张彤"</f>
        <v>张彤</v>
      </c>
      <c r="D171" s="8" t="str">
        <f>"女"</f>
        <v>女</v>
      </c>
      <c r="E171" s="8">
        <v>5</v>
      </c>
      <c r="F171" s="8" t="s">
        <v>13</v>
      </c>
      <c r="G171" s="8">
        <v>6</v>
      </c>
      <c r="H171" s="9">
        <v>84.78</v>
      </c>
      <c r="I171" s="10">
        <v>1.003</v>
      </c>
      <c r="J171" s="9">
        <f t="shared" si="12"/>
        <v>85.03434</v>
      </c>
    </row>
    <row r="172" customHeight="1" spans="1:11">
      <c r="A172" s="8" t="str">
        <f>"20206223409"</f>
        <v>20206223409</v>
      </c>
      <c r="B172" s="8" t="s">
        <v>22</v>
      </c>
      <c r="C172" s="8" t="str">
        <f>"冯子航"</f>
        <v>冯子航</v>
      </c>
      <c r="D172" s="8" t="str">
        <f>"男"</f>
        <v>男</v>
      </c>
      <c r="E172" s="8">
        <v>5</v>
      </c>
      <c r="F172" s="8" t="s">
        <v>13</v>
      </c>
      <c r="G172" s="8">
        <v>7</v>
      </c>
      <c r="H172" s="9">
        <v>66.88</v>
      </c>
      <c r="I172" s="10">
        <v>1.003</v>
      </c>
      <c r="J172" s="9">
        <f t="shared" si="12"/>
        <v>67.08064</v>
      </c>
      <c r="K172" s="9"/>
    </row>
    <row r="173" customHeight="1" spans="1:10">
      <c r="A173" s="8" t="str">
        <f>"20206223627"</f>
        <v>20206223627</v>
      </c>
      <c r="B173" s="8" t="s">
        <v>22</v>
      </c>
      <c r="C173" s="8" t="str">
        <f>"罗凯茹"</f>
        <v>罗凯茹</v>
      </c>
      <c r="D173" s="8" t="str">
        <f>"女"</f>
        <v>女</v>
      </c>
      <c r="E173" s="8">
        <v>5</v>
      </c>
      <c r="F173" s="8" t="s">
        <v>13</v>
      </c>
      <c r="G173" s="8">
        <v>8</v>
      </c>
      <c r="H173" s="9">
        <v>86.22</v>
      </c>
      <c r="I173" s="10">
        <v>1.003</v>
      </c>
      <c r="J173" s="9">
        <f t="shared" si="12"/>
        <v>86.47866</v>
      </c>
    </row>
    <row r="174" customHeight="1" spans="1:10">
      <c r="A174" s="8" t="str">
        <f>"20206223603"</f>
        <v>20206223603</v>
      </c>
      <c r="B174" s="8" t="s">
        <v>22</v>
      </c>
      <c r="C174" s="8" t="str">
        <f>"沈宗鹏"</f>
        <v>沈宗鹏</v>
      </c>
      <c r="D174" s="8" t="str">
        <f>"男"</f>
        <v>男</v>
      </c>
      <c r="E174" s="8">
        <v>5</v>
      </c>
      <c r="F174" s="8" t="s">
        <v>13</v>
      </c>
      <c r="G174" s="8">
        <v>9</v>
      </c>
      <c r="H174" s="9">
        <v>79.3</v>
      </c>
      <c r="I174" s="10">
        <v>1.003</v>
      </c>
      <c r="J174" s="9">
        <f t="shared" si="12"/>
        <v>79.5379</v>
      </c>
    </row>
    <row r="175" customHeight="1" spans="1:10">
      <c r="A175" s="8" t="str">
        <f>"20206223617"</f>
        <v>20206223617</v>
      </c>
      <c r="B175" s="8" t="s">
        <v>22</v>
      </c>
      <c r="C175" s="8" t="str">
        <f>"昝宇"</f>
        <v>昝宇</v>
      </c>
      <c r="D175" s="8" t="str">
        <f>"女"</f>
        <v>女</v>
      </c>
      <c r="E175" s="8">
        <v>5</v>
      </c>
      <c r="F175" s="8" t="s">
        <v>13</v>
      </c>
      <c r="G175" s="8">
        <v>10</v>
      </c>
      <c r="H175" s="9">
        <v>77.22</v>
      </c>
      <c r="I175" s="10">
        <v>1.003</v>
      </c>
      <c r="J175" s="9">
        <f t="shared" si="12"/>
        <v>77.45166</v>
      </c>
    </row>
    <row r="176" customHeight="1" spans="1:10">
      <c r="A176" s="8" t="str">
        <f>"20206223430"</f>
        <v>20206223430</v>
      </c>
      <c r="B176" s="8" t="s">
        <v>22</v>
      </c>
      <c r="C176" s="8" t="str">
        <f>"吕陆兵"</f>
        <v>吕陆兵</v>
      </c>
      <c r="D176" s="8" t="str">
        <f>"男"</f>
        <v>男</v>
      </c>
      <c r="E176" s="8">
        <v>5</v>
      </c>
      <c r="F176" s="8" t="s">
        <v>13</v>
      </c>
      <c r="G176" s="8">
        <v>11</v>
      </c>
      <c r="H176" s="9">
        <v>77.68</v>
      </c>
      <c r="I176" s="10">
        <v>1.003</v>
      </c>
      <c r="J176" s="9">
        <f t="shared" si="12"/>
        <v>77.91304</v>
      </c>
    </row>
    <row r="177" customHeight="1" spans="1:10">
      <c r="A177" s="8" t="str">
        <f>"20206223612"</f>
        <v>20206223612</v>
      </c>
      <c r="B177" s="8" t="s">
        <v>22</v>
      </c>
      <c r="C177" s="8" t="str">
        <f>"张则荣"</f>
        <v>张则荣</v>
      </c>
      <c r="D177" s="8" t="str">
        <f>"男"</f>
        <v>男</v>
      </c>
      <c r="E177" s="8">
        <v>5</v>
      </c>
      <c r="F177" s="8" t="s">
        <v>13</v>
      </c>
      <c r="G177" s="8">
        <v>14</v>
      </c>
      <c r="H177" s="9">
        <v>78.12</v>
      </c>
      <c r="I177" s="10">
        <v>1.003</v>
      </c>
      <c r="J177" s="9">
        <f t="shared" si="12"/>
        <v>78.35436</v>
      </c>
    </row>
    <row r="178" customHeight="1" spans="1:10">
      <c r="A178" s="8" t="str">
        <f>"20206223317"</f>
        <v>20206223317</v>
      </c>
      <c r="B178" s="8" t="s">
        <v>22</v>
      </c>
      <c r="C178" s="8" t="str">
        <f>"左乐"</f>
        <v>左乐</v>
      </c>
      <c r="D178" s="8" t="str">
        <f>"女"</f>
        <v>女</v>
      </c>
      <c r="E178" s="8">
        <v>5</v>
      </c>
      <c r="F178" s="8" t="s">
        <v>13</v>
      </c>
      <c r="G178" s="8">
        <v>15</v>
      </c>
      <c r="H178" s="9">
        <v>86.34</v>
      </c>
      <c r="I178" s="10">
        <v>1.003</v>
      </c>
      <c r="J178" s="9">
        <f t="shared" si="12"/>
        <v>86.59902</v>
      </c>
    </row>
    <row r="179" customHeight="1" spans="1:10">
      <c r="A179" s="8" t="str">
        <f>"20206223814"</f>
        <v>20206223814</v>
      </c>
      <c r="B179" s="8" t="s">
        <v>22</v>
      </c>
      <c r="C179" s="8" t="str">
        <f>"方昱霖"</f>
        <v>方昱霖</v>
      </c>
      <c r="D179" s="8" t="str">
        <f>"男"</f>
        <v>男</v>
      </c>
      <c r="E179" s="8">
        <v>5</v>
      </c>
      <c r="F179" s="8" t="s">
        <v>13</v>
      </c>
      <c r="G179" s="8">
        <v>16</v>
      </c>
      <c r="H179" s="9">
        <v>84.74</v>
      </c>
      <c r="I179" s="10">
        <v>1.003</v>
      </c>
      <c r="J179" s="9">
        <f t="shared" si="12"/>
        <v>84.99422</v>
      </c>
    </row>
    <row r="180" customHeight="1" spans="1:10">
      <c r="A180" s="8" t="str">
        <f>"20206223620"</f>
        <v>20206223620</v>
      </c>
      <c r="B180" s="8" t="s">
        <v>22</v>
      </c>
      <c r="C180" s="8" t="str">
        <f>"陆文卿"</f>
        <v>陆文卿</v>
      </c>
      <c r="D180" s="8" t="str">
        <f>"男"</f>
        <v>男</v>
      </c>
      <c r="E180" s="8">
        <v>5</v>
      </c>
      <c r="F180" s="8" t="s">
        <v>13</v>
      </c>
      <c r="G180" s="8">
        <v>17</v>
      </c>
      <c r="H180" s="9">
        <v>84.84</v>
      </c>
      <c r="I180" s="10">
        <v>1.003</v>
      </c>
      <c r="J180" s="9">
        <f t="shared" si="12"/>
        <v>85.09452</v>
      </c>
    </row>
    <row r="181" customHeight="1" spans="1:10">
      <c r="A181" s="8" t="str">
        <f>"20206223509"</f>
        <v>20206223509</v>
      </c>
      <c r="B181" s="8" t="s">
        <v>22</v>
      </c>
      <c r="C181" s="8" t="str">
        <f>"秦虎"</f>
        <v>秦虎</v>
      </c>
      <c r="D181" s="8" t="str">
        <f>"男"</f>
        <v>男</v>
      </c>
      <c r="E181" s="8">
        <v>5</v>
      </c>
      <c r="F181" s="8" t="s">
        <v>13</v>
      </c>
      <c r="G181" s="8">
        <v>18</v>
      </c>
      <c r="H181" s="9">
        <v>77.16</v>
      </c>
      <c r="I181" s="10">
        <v>1.003</v>
      </c>
      <c r="J181" s="9">
        <f t="shared" si="12"/>
        <v>77.39148</v>
      </c>
    </row>
    <row r="182" customHeight="1" spans="1:10">
      <c r="A182" s="8" t="str">
        <f>"20206223502"</f>
        <v>20206223502</v>
      </c>
      <c r="B182" s="8" t="s">
        <v>22</v>
      </c>
      <c r="C182" s="8" t="str">
        <f>"王晓明"</f>
        <v>王晓明</v>
      </c>
      <c r="D182" s="8" t="str">
        <f>"女"</f>
        <v>女</v>
      </c>
      <c r="E182" s="8">
        <v>5</v>
      </c>
      <c r="F182" s="8" t="s">
        <v>13</v>
      </c>
      <c r="G182" s="8">
        <v>19</v>
      </c>
      <c r="H182" s="9">
        <v>84.22</v>
      </c>
      <c r="I182" s="10">
        <v>1.003</v>
      </c>
      <c r="J182" s="9">
        <f t="shared" si="12"/>
        <v>84.47266</v>
      </c>
    </row>
    <row r="183" customHeight="1" spans="1:10">
      <c r="A183" s="8" t="str">
        <f>"20206223709"</f>
        <v>20206223709</v>
      </c>
      <c r="B183" s="8" t="s">
        <v>22</v>
      </c>
      <c r="C183" s="8" t="str">
        <f>"赵丽"</f>
        <v>赵丽</v>
      </c>
      <c r="D183" s="8" t="str">
        <f>"女"</f>
        <v>女</v>
      </c>
      <c r="E183" s="8">
        <v>5</v>
      </c>
      <c r="F183" s="8" t="s">
        <v>13</v>
      </c>
      <c r="G183" s="8">
        <v>20</v>
      </c>
      <c r="H183" s="9">
        <v>79.86</v>
      </c>
      <c r="I183" s="10">
        <v>1.003</v>
      </c>
      <c r="J183" s="9">
        <f t="shared" si="12"/>
        <v>80.09958</v>
      </c>
    </row>
    <row r="184" customHeight="1" spans="1:10">
      <c r="A184" s="8" t="str">
        <f>"20206223321"</f>
        <v>20206223321</v>
      </c>
      <c r="B184" s="8" t="s">
        <v>22</v>
      </c>
      <c r="C184" s="8" t="str">
        <f>"马宇"</f>
        <v>马宇</v>
      </c>
      <c r="D184" s="8" t="str">
        <f>"女"</f>
        <v>女</v>
      </c>
      <c r="E184" s="8">
        <v>5</v>
      </c>
      <c r="F184" s="8" t="s">
        <v>13</v>
      </c>
      <c r="G184" s="8">
        <v>21</v>
      </c>
      <c r="H184" s="9">
        <v>86.74</v>
      </c>
      <c r="I184" s="10">
        <v>1.003</v>
      </c>
      <c r="J184" s="9">
        <f t="shared" si="12"/>
        <v>87.00022</v>
      </c>
    </row>
    <row r="185" customHeight="1" spans="1:10">
      <c r="A185" s="8" t="str">
        <f>"20206223415"</f>
        <v>20206223415</v>
      </c>
      <c r="B185" s="8" t="s">
        <v>22</v>
      </c>
      <c r="C185" s="8" t="str">
        <f>"侯小亚"</f>
        <v>侯小亚</v>
      </c>
      <c r="D185" s="8" t="str">
        <f>"女"</f>
        <v>女</v>
      </c>
      <c r="E185" s="8">
        <v>5</v>
      </c>
      <c r="F185" s="8" t="s">
        <v>13</v>
      </c>
      <c r="G185" s="8">
        <v>22</v>
      </c>
      <c r="H185" s="9">
        <v>83.96</v>
      </c>
      <c r="I185" s="10">
        <v>1.003</v>
      </c>
      <c r="J185" s="9">
        <f t="shared" si="12"/>
        <v>84.21188</v>
      </c>
    </row>
    <row r="186" customHeight="1" spans="1:10">
      <c r="A186" s="8" t="str">
        <f>"20206223423"</f>
        <v>20206223423</v>
      </c>
      <c r="B186" s="8" t="s">
        <v>22</v>
      </c>
      <c r="C186" s="8" t="str">
        <f>"陈俊娜"</f>
        <v>陈俊娜</v>
      </c>
      <c r="D186" s="8" t="str">
        <f>"女"</f>
        <v>女</v>
      </c>
      <c r="E186" s="8">
        <v>5</v>
      </c>
      <c r="F186" s="8" t="s">
        <v>12</v>
      </c>
      <c r="G186" s="8">
        <v>13</v>
      </c>
      <c r="H186" s="9"/>
      <c r="I186" s="10"/>
      <c r="J186" s="9" t="s">
        <v>14</v>
      </c>
    </row>
    <row r="187" customHeight="1" spans="1:10">
      <c r="A187" s="8"/>
      <c r="B187" s="8"/>
      <c r="C187" s="8"/>
      <c r="D187" s="8"/>
      <c r="E187" s="8"/>
      <c r="F187" s="8"/>
      <c r="G187" s="8"/>
      <c r="H187" s="9"/>
      <c r="I187" s="10"/>
      <c r="J187" s="9"/>
    </row>
    <row r="188" customHeight="1" spans="1:10">
      <c r="A188" s="8" t="str">
        <f>"20206223808"</f>
        <v>20206223808</v>
      </c>
      <c r="B188" s="8" t="s">
        <v>22</v>
      </c>
      <c r="C188" s="8" t="str">
        <f>"范明颜"</f>
        <v>范明颜</v>
      </c>
      <c r="D188" s="8" t="str">
        <f>"女"</f>
        <v>女</v>
      </c>
      <c r="E188" s="8">
        <v>6</v>
      </c>
      <c r="F188" s="8" t="s">
        <v>12</v>
      </c>
      <c r="G188" s="8">
        <v>1</v>
      </c>
      <c r="H188" s="9">
        <v>77.38</v>
      </c>
      <c r="I188" s="10">
        <v>0.997</v>
      </c>
      <c r="J188" s="9">
        <f>H188*I188</f>
        <v>77.14786</v>
      </c>
    </row>
    <row r="189" customHeight="1" spans="1:10">
      <c r="A189" s="8" t="str">
        <f>"20206223604"</f>
        <v>20206223604</v>
      </c>
      <c r="B189" s="8" t="s">
        <v>22</v>
      </c>
      <c r="C189" s="8" t="str">
        <f>"李峰"</f>
        <v>李峰</v>
      </c>
      <c r="D189" s="8" t="str">
        <f>"男"</f>
        <v>男</v>
      </c>
      <c r="E189" s="8">
        <v>6</v>
      </c>
      <c r="F189" s="8" t="s">
        <v>12</v>
      </c>
      <c r="G189" s="8">
        <v>3</v>
      </c>
      <c r="H189" s="9">
        <v>88.14</v>
      </c>
      <c r="I189" s="10">
        <v>0.997</v>
      </c>
      <c r="J189" s="9">
        <f t="shared" ref="J189:J216" si="13">H189*I189</f>
        <v>87.87558</v>
      </c>
    </row>
    <row r="190" customHeight="1" spans="1:10">
      <c r="A190" s="8" t="str">
        <f>"20206223718"</f>
        <v>20206223718</v>
      </c>
      <c r="B190" s="8" t="s">
        <v>22</v>
      </c>
      <c r="C190" s="8" t="str">
        <f>"陈路影"</f>
        <v>陈路影</v>
      </c>
      <c r="D190" s="8" t="str">
        <f t="shared" ref="D190:D214" si="14">"女"</f>
        <v>女</v>
      </c>
      <c r="E190" s="8">
        <v>6</v>
      </c>
      <c r="F190" s="8" t="s">
        <v>12</v>
      </c>
      <c r="G190" s="8">
        <v>4</v>
      </c>
      <c r="H190" s="9">
        <v>81.42</v>
      </c>
      <c r="I190" s="10">
        <v>0.997</v>
      </c>
      <c r="J190" s="9">
        <f t="shared" si="13"/>
        <v>81.17574</v>
      </c>
    </row>
    <row r="191" customHeight="1" spans="1:10">
      <c r="A191" s="8" t="str">
        <f>"20206223410"</f>
        <v>20206223410</v>
      </c>
      <c r="B191" s="8" t="s">
        <v>22</v>
      </c>
      <c r="C191" s="8" t="str">
        <f>"陈静"</f>
        <v>陈静</v>
      </c>
      <c r="D191" s="8" t="str">
        <f t="shared" si="14"/>
        <v>女</v>
      </c>
      <c r="E191" s="8">
        <v>6</v>
      </c>
      <c r="F191" s="8" t="s">
        <v>12</v>
      </c>
      <c r="G191" s="8">
        <v>5</v>
      </c>
      <c r="H191" s="9">
        <v>84.58</v>
      </c>
      <c r="I191" s="10">
        <v>0.997</v>
      </c>
      <c r="J191" s="9">
        <f t="shared" si="13"/>
        <v>84.32626</v>
      </c>
    </row>
    <row r="192" customHeight="1" spans="1:10">
      <c r="A192" s="8" t="str">
        <f>"20206223720"</f>
        <v>20206223720</v>
      </c>
      <c r="B192" s="8" t="s">
        <v>22</v>
      </c>
      <c r="C192" s="8" t="str">
        <f>"孙海燕"</f>
        <v>孙海燕</v>
      </c>
      <c r="D192" s="8" t="str">
        <f t="shared" si="14"/>
        <v>女</v>
      </c>
      <c r="E192" s="8">
        <v>6</v>
      </c>
      <c r="F192" s="8" t="s">
        <v>12</v>
      </c>
      <c r="G192" s="8">
        <v>6</v>
      </c>
      <c r="H192" s="9">
        <v>75.24</v>
      </c>
      <c r="I192" s="10">
        <v>0.997</v>
      </c>
      <c r="J192" s="9">
        <f t="shared" si="13"/>
        <v>75.01428</v>
      </c>
    </row>
    <row r="193" customHeight="1" spans="1:10">
      <c r="A193" s="8" t="str">
        <f>"20206223815"</f>
        <v>20206223815</v>
      </c>
      <c r="B193" s="8" t="s">
        <v>22</v>
      </c>
      <c r="C193" s="8" t="str">
        <f>"苏增连"</f>
        <v>苏增连</v>
      </c>
      <c r="D193" s="8" t="str">
        <f t="shared" si="14"/>
        <v>女</v>
      </c>
      <c r="E193" s="8">
        <v>6</v>
      </c>
      <c r="F193" s="8" t="s">
        <v>12</v>
      </c>
      <c r="G193" s="8">
        <v>7</v>
      </c>
      <c r="H193" s="9">
        <v>77.76</v>
      </c>
      <c r="I193" s="10">
        <v>0.997</v>
      </c>
      <c r="J193" s="9">
        <f t="shared" si="13"/>
        <v>77.52672</v>
      </c>
    </row>
    <row r="194" customHeight="1" spans="1:10">
      <c r="A194" s="8" t="str">
        <f>"20206223416"</f>
        <v>20206223416</v>
      </c>
      <c r="B194" s="8" t="s">
        <v>22</v>
      </c>
      <c r="C194" s="8" t="str">
        <f>"叶璠"</f>
        <v>叶璠</v>
      </c>
      <c r="D194" s="8" t="str">
        <f t="shared" si="14"/>
        <v>女</v>
      </c>
      <c r="E194" s="8">
        <v>6</v>
      </c>
      <c r="F194" s="8" t="s">
        <v>12</v>
      </c>
      <c r="G194" s="8">
        <v>8</v>
      </c>
      <c r="H194" s="9">
        <v>81.72</v>
      </c>
      <c r="I194" s="10">
        <v>0.997</v>
      </c>
      <c r="J194" s="9">
        <f t="shared" si="13"/>
        <v>81.47484</v>
      </c>
    </row>
    <row r="195" customHeight="1" spans="1:10">
      <c r="A195" s="8" t="str">
        <f>"20206223411"</f>
        <v>20206223411</v>
      </c>
      <c r="B195" s="8" t="s">
        <v>22</v>
      </c>
      <c r="C195" s="8" t="str">
        <f>"赵媛"</f>
        <v>赵媛</v>
      </c>
      <c r="D195" s="8" t="str">
        <f t="shared" si="14"/>
        <v>女</v>
      </c>
      <c r="E195" s="8">
        <v>6</v>
      </c>
      <c r="F195" s="8" t="s">
        <v>12</v>
      </c>
      <c r="G195" s="8">
        <v>9</v>
      </c>
      <c r="H195" s="9">
        <v>77.58</v>
      </c>
      <c r="I195" s="10">
        <v>0.997</v>
      </c>
      <c r="J195" s="9">
        <f t="shared" si="13"/>
        <v>77.34726</v>
      </c>
    </row>
    <row r="196" customHeight="1" spans="1:10">
      <c r="A196" s="8" t="str">
        <f>"20206223420"</f>
        <v>20206223420</v>
      </c>
      <c r="B196" s="8" t="s">
        <v>22</v>
      </c>
      <c r="C196" s="8" t="str">
        <f>"宋佳益"</f>
        <v>宋佳益</v>
      </c>
      <c r="D196" s="8" t="str">
        <f t="shared" si="14"/>
        <v>女</v>
      </c>
      <c r="E196" s="8">
        <v>6</v>
      </c>
      <c r="F196" s="8" t="s">
        <v>12</v>
      </c>
      <c r="G196" s="8">
        <v>10</v>
      </c>
      <c r="H196" s="9">
        <v>82.7</v>
      </c>
      <c r="I196" s="10">
        <v>0.997</v>
      </c>
      <c r="J196" s="9">
        <f t="shared" si="13"/>
        <v>82.4519</v>
      </c>
    </row>
    <row r="197" customHeight="1" spans="1:10">
      <c r="A197" s="8" t="str">
        <f>"20206223418"</f>
        <v>20206223418</v>
      </c>
      <c r="B197" s="8" t="s">
        <v>22</v>
      </c>
      <c r="C197" s="8" t="str">
        <f>"董田田"</f>
        <v>董田田</v>
      </c>
      <c r="D197" s="8" t="str">
        <f t="shared" si="14"/>
        <v>女</v>
      </c>
      <c r="E197" s="8">
        <v>6</v>
      </c>
      <c r="F197" s="8" t="s">
        <v>12</v>
      </c>
      <c r="G197" s="8">
        <v>11</v>
      </c>
      <c r="H197" s="9">
        <v>74.92</v>
      </c>
      <c r="I197" s="10">
        <v>0.997</v>
      </c>
      <c r="J197" s="9">
        <f t="shared" si="13"/>
        <v>74.69524</v>
      </c>
    </row>
    <row r="198" customHeight="1" spans="1:10">
      <c r="A198" s="8" t="str">
        <f>"20206223803"</f>
        <v>20206223803</v>
      </c>
      <c r="B198" s="8" t="s">
        <v>22</v>
      </c>
      <c r="C198" s="8" t="str">
        <f>"代焕雨"</f>
        <v>代焕雨</v>
      </c>
      <c r="D198" s="8" t="str">
        <f t="shared" si="14"/>
        <v>女</v>
      </c>
      <c r="E198" s="8">
        <v>6</v>
      </c>
      <c r="F198" s="8" t="s">
        <v>12</v>
      </c>
      <c r="G198" s="8">
        <v>12</v>
      </c>
      <c r="H198" s="9">
        <v>77.52</v>
      </c>
      <c r="I198" s="10">
        <v>0.997</v>
      </c>
      <c r="J198" s="9">
        <f t="shared" si="13"/>
        <v>77.28744</v>
      </c>
    </row>
    <row r="199" customHeight="1" spans="1:10">
      <c r="A199" s="8" t="str">
        <f>"20206223324"</f>
        <v>20206223324</v>
      </c>
      <c r="B199" s="8" t="s">
        <v>22</v>
      </c>
      <c r="C199" s="8" t="str">
        <f>"吴蒙"</f>
        <v>吴蒙</v>
      </c>
      <c r="D199" s="8" t="str">
        <f t="shared" si="14"/>
        <v>女</v>
      </c>
      <c r="E199" s="8">
        <v>6</v>
      </c>
      <c r="F199" s="8" t="s">
        <v>12</v>
      </c>
      <c r="G199" s="8">
        <v>13</v>
      </c>
      <c r="H199" s="9">
        <v>81.42</v>
      </c>
      <c r="I199" s="10">
        <v>0.997</v>
      </c>
      <c r="J199" s="9">
        <f t="shared" si="13"/>
        <v>81.17574</v>
      </c>
    </row>
    <row r="200" customHeight="1" spans="1:10">
      <c r="A200" s="8" t="str">
        <f>"20206223813"</f>
        <v>20206223813</v>
      </c>
      <c r="B200" s="8" t="s">
        <v>22</v>
      </c>
      <c r="C200" s="8" t="str">
        <f>"姚玉娥"</f>
        <v>姚玉娥</v>
      </c>
      <c r="D200" s="8" t="str">
        <f t="shared" si="14"/>
        <v>女</v>
      </c>
      <c r="E200" s="8">
        <v>6</v>
      </c>
      <c r="F200" s="8" t="s">
        <v>12</v>
      </c>
      <c r="G200" s="8">
        <v>14</v>
      </c>
      <c r="H200" s="9">
        <v>81.26</v>
      </c>
      <c r="I200" s="10">
        <v>0.997</v>
      </c>
      <c r="J200" s="9">
        <f t="shared" si="13"/>
        <v>81.01622</v>
      </c>
    </row>
    <row r="201" customHeight="1" spans="1:10">
      <c r="A201" s="8" t="str">
        <f>"20206223512"</f>
        <v>20206223512</v>
      </c>
      <c r="B201" s="8" t="s">
        <v>22</v>
      </c>
      <c r="C201" s="8" t="str">
        <f>"汤盼"</f>
        <v>汤盼</v>
      </c>
      <c r="D201" s="8" t="str">
        <f t="shared" si="14"/>
        <v>女</v>
      </c>
      <c r="E201" s="8">
        <v>6</v>
      </c>
      <c r="F201" s="8" t="s">
        <v>12</v>
      </c>
      <c r="G201" s="8">
        <v>15</v>
      </c>
      <c r="H201" s="9">
        <v>85.48</v>
      </c>
      <c r="I201" s="10">
        <v>0.997</v>
      </c>
      <c r="J201" s="9">
        <f t="shared" si="13"/>
        <v>85.22356</v>
      </c>
    </row>
    <row r="202" customHeight="1" spans="1:10">
      <c r="A202" s="8" t="str">
        <f>"20206223421"</f>
        <v>20206223421</v>
      </c>
      <c r="B202" s="8" t="s">
        <v>22</v>
      </c>
      <c r="C202" s="8" t="str">
        <f>"胡洋鑫"</f>
        <v>胡洋鑫</v>
      </c>
      <c r="D202" s="8" t="str">
        <f t="shared" si="14"/>
        <v>女</v>
      </c>
      <c r="E202" s="8">
        <v>6</v>
      </c>
      <c r="F202" s="8" t="s">
        <v>12</v>
      </c>
      <c r="G202" s="8">
        <v>16</v>
      </c>
      <c r="H202" s="9">
        <v>86.54</v>
      </c>
      <c r="I202" s="10">
        <v>0.997</v>
      </c>
      <c r="J202" s="9">
        <f t="shared" si="13"/>
        <v>86.28038</v>
      </c>
    </row>
    <row r="203" customHeight="1" spans="1:10">
      <c r="A203" s="8" t="str">
        <f>"20206223520"</f>
        <v>20206223520</v>
      </c>
      <c r="B203" s="8" t="s">
        <v>22</v>
      </c>
      <c r="C203" s="8" t="str">
        <f>"焦延玉"</f>
        <v>焦延玉</v>
      </c>
      <c r="D203" s="8" t="str">
        <f t="shared" si="14"/>
        <v>女</v>
      </c>
      <c r="E203" s="8">
        <v>6</v>
      </c>
      <c r="F203" s="8" t="s">
        <v>12</v>
      </c>
      <c r="G203" s="8">
        <v>17</v>
      </c>
      <c r="H203" s="9">
        <v>78.64</v>
      </c>
      <c r="I203" s="10">
        <v>0.997</v>
      </c>
      <c r="J203" s="9">
        <f t="shared" si="13"/>
        <v>78.40408</v>
      </c>
    </row>
    <row r="204" customHeight="1" spans="1:10">
      <c r="A204" s="8" t="str">
        <f>"20206223605"</f>
        <v>20206223605</v>
      </c>
      <c r="B204" s="8" t="s">
        <v>22</v>
      </c>
      <c r="C204" s="8" t="str">
        <f>"王喜悦"</f>
        <v>王喜悦</v>
      </c>
      <c r="D204" s="8" t="str">
        <f t="shared" si="14"/>
        <v>女</v>
      </c>
      <c r="E204" s="8">
        <v>6</v>
      </c>
      <c r="F204" s="8" t="s">
        <v>12</v>
      </c>
      <c r="G204" s="8">
        <v>18</v>
      </c>
      <c r="H204" s="9">
        <v>77.76</v>
      </c>
      <c r="I204" s="10">
        <v>0.997</v>
      </c>
      <c r="J204" s="9">
        <f t="shared" si="13"/>
        <v>77.52672</v>
      </c>
    </row>
    <row r="205" customHeight="1" spans="1:10">
      <c r="A205" s="8" t="str">
        <f>"20206223810"</f>
        <v>20206223810</v>
      </c>
      <c r="B205" s="8" t="s">
        <v>22</v>
      </c>
      <c r="C205" s="8" t="str">
        <f>"晏子云"</f>
        <v>晏子云</v>
      </c>
      <c r="D205" s="8" t="str">
        <f t="shared" si="14"/>
        <v>女</v>
      </c>
      <c r="E205" s="8">
        <v>6</v>
      </c>
      <c r="F205" s="8" t="s">
        <v>12</v>
      </c>
      <c r="G205" s="8">
        <v>19</v>
      </c>
      <c r="H205" s="9">
        <v>77.28</v>
      </c>
      <c r="I205" s="10">
        <v>0.997</v>
      </c>
      <c r="J205" s="9">
        <f t="shared" si="13"/>
        <v>77.04816</v>
      </c>
    </row>
    <row r="206" customHeight="1" spans="1:10">
      <c r="A206" s="8" t="str">
        <f>"20206223811"</f>
        <v>20206223811</v>
      </c>
      <c r="B206" s="8" t="s">
        <v>22</v>
      </c>
      <c r="C206" s="8" t="str">
        <f>"生修葶"</f>
        <v>生修葶</v>
      </c>
      <c r="D206" s="8" t="str">
        <f t="shared" si="14"/>
        <v>女</v>
      </c>
      <c r="E206" s="8">
        <v>6</v>
      </c>
      <c r="F206" s="8" t="s">
        <v>12</v>
      </c>
      <c r="G206" s="8">
        <v>20</v>
      </c>
      <c r="H206" s="9">
        <v>76.84</v>
      </c>
      <c r="I206" s="10">
        <v>0.997</v>
      </c>
      <c r="J206" s="9">
        <f t="shared" si="13"/>
        <v>76.60948</v>
      </c>
    </row>
    <row r="207" customHeight="1" spans="1:10">
      <c r="A207" s="8" t="str">
        <f>"20206223501"</f>
        <v>20206223501</v>
      </c>
      <c r="B207" s="8" t="s">
        <v>22</v>
      </c>
      <c r="C207" s="8" t="str">
        <f>"杨君"</f>
        <v>杨君</v>
      </c>
      <c r="D207" s="8" t="str">
        <f t="shared" si="14"/>
        <v>女</v>
      </c>
      <c r="E207" s="8">
        <v>6</v>
      </c>
      <c r="F207" s="8" t="s">
        <v>12</v>
      </c>
      <c r="G207" s="8">
        <v>21</v>
      </c>
      <c r="H207" s="9">
        <v>84.98</v>
      </c>
      <c r="I207" s="10">
        <v>0.997</v>
      </c>
      <c r="J207" s="9">
        <f t="shared" si="13"/>
        <v>84.72506</v>
      </c>
    </row>
    <row r="208" customHeight="1" spans="1:10">
      <c r="A208" s="8" t="str">
        <f>"20206223630"</f>
        <v>20206223630</v>
      </c>
      <c r="B208" s="8" t="s">
        <v>22</v>
      </c>
      <c r="C208" s="8" t="str">
        <f>"宋曼丽"</f>
        <v>宋曼丽</v>
      </c>
      <c r="D208" s="8" t="str">
        <f t="shared" si="14"/>
        <v>女</v>
      </c>
      <c r="E208" s="8">
        <v>6</v>
      </c>
      <c r="F208" s="8" t="s">
        <v>12</v>
      </c>
      <c r="G208" s="8">
        <v>22</v>
      </c>
      <c r="H208" s="9">
        <v>77.5</v>
      </c>
      <c r="I208" s="10">
        <v>0.997</v>
      </c>
      <c r="J208" s="9">
        <f t="shared" si="13"/>
        <v>77.2675</v>
      </c>
    </row>
    <row r="209" customHeight="1" spans="1:10">
      <c r="A209" s="8" t="str">
        <f>"20206223715"</f>
        <v>20206223715</v>
      </c>
      <c r="B209" s="8" t="s">
        <v>22</v>
      </c>
      <c r="C209" s="8" t="str">
        <f>"徐泱"</f>
        <v>徐泱</v>
      </c>
      <c r="D209" s="8" t="str">
        <f t="shared" si="14"/>
        <v>女</v>
      </c>
      <c r="E209" s="8">
        <v>6</v>
      </c>
      <c r="F209" s="8" t="s">
        <v>12</v>
      </c>
      <c r="G209" s="8">
        <v>23</v>
      </c>
      <c r="H209" s="9">
        <v>86.24</v>
      </c>
      <c r="I209" s="10">
        <v>0.997</v>
      </c>
      <c r="J209" s="9">
        <f t="shared" si="13"/>
        <v>85.98128</v>
      </c>
    </row>
    <row r="210" customHeight="1" spans="1:10">
      <c r="A210" s="8" t="str">
        <f>"20206223704"</f>
        <v>20206223704</v>
      </c>
      <c r="B210" s="8" t="s">
        <v>22</v>
      </c>
      <c r="C210" s="8" t="str">
        <f>"李玉洁"</f>
        <v>李玉洁</v>
      </c>
      <c r="D210" s="8" t="str">
        <f t="shared" si="14"/>
        <v>女</v>
      </c>
      <c r="E210" s="8">
        <v>6</v>
      </c>
      <c r="F210" s="8" t="s">
        <v>12</v>
      </c>
      <c r="G210" s="8">
        <v>24</v>
      </c>
      <c r="H210" s="9">
        <v>75.86</v>
      </c>
      <c r="I210" s="10">
        <v>0.997</v>
      </c>
      <c r="J210" s="9">
        <f t="shared" si="13"/>
        <v>75.63242</v>
      </c>
    </row>
    <row r="211" customHeight="1" spans="1:10">
      <c r="A211" s="8" t="str">
        <f>"20206223610"</f>
        <v>20206223610</v>
      </c>
      <c r="B211" s="8" t="s">
        <v>22</v>
      </c>
      <c r="C211" s="8" t="str">
        <f>"王莹"</f>
        <v>王莹</v>
      </c>
      <c r="D211" s="8" t="str">
        <f t="shared" si="14"/>
        <v>女</v>
      </c>
      <c r="E211" s="8">
        <v>6</v>
      </c>
      <c r="F211" s="8" t="s">
        <v>13</v>
      </c>
      <c r="G211" s="8">
        <v>2</v>
      </c>
      <c r="H211" s="9">
        <v>87.32</v>
      </c>
      <c r="I211" s="10">
        <v>0.997</v>
      </c>
      <c r="J211" s="9">
        <f t="shared" si="13"/>
        <v>87.05804</v>
      </c>
    </row>
    <row r="212" customHeight="1" spans="1:10">
      <c r="A212" s="8" t="str">
        <f>"20206223807"</f>
        <v>20206223807</v>
      </c>
      <c r="B212" s="8" t="s">
        <v>22</v>
      </c>
      <c r="C212" s="8" t="str">
        <f>"张静宇"</f>
        <v>张静宇</v>
      </c>
      <c r="D212" s="8" t="str">
        <f t="shared" si="14"/>
        <v>女</v>
      </c>
      <c r="E212" s="8">
        <v>6</v>
      </c>
      <c r="F212" s="8" t="s">
        <v>13</v>
      </c>
      <c r="G212" s="8">
        <v>4</v>
      </c>
      <c r="H212" s="9">
        <v>83.46</v>
      </c>
      <c r="I212" s="10">
        <v>0.997</v>
      </c>
      <c r="J212" s="9">
        <f t="shared" si="13"/>
        <v>83.20962</v>
      </c>
    </row>
    <row r="213" customHeight="1" spans="1:10">
      <c r="A213" s="8" t="str">
        <f>"20206223529"</f>
        <v>20206223529</v>
      </c>
      <c r="B213" s="8" t="s">
        <v>22</v>
      </c>
      <c r="C213" s="8" t="str">
        <f>"赵璇"</f>
        <v>赵璇</v>
      </c>
      <c r="D213" s="8" t="str">
        <f t="shared" si="14"/>
        <v>女</v>
      </c>
      <c r="E213" s="8">
        <v>6</v>
      </c>
      <c r="F213" s="8" t="s">
        <v>13</v>
      </c>
      <c r="G213" s="8">
        <v>5</v>
      </c>
      <c r="H213" s="9">
        <v>84.22</v>
      </c>
      <c r="I213" s="10">
        <v>0.997</v>
      </c>
      <c r="J213" s="9">
        <f t="shared" si="13"/>
        <v>83.96734</v>
      </c>
    </row>
    <row r="214" customHeight="1" spans="1:10">
      <c r="A214" s="8" t="str">
        <f>"20206223827"</f>
        <v>20206223827</v>
      </c>
      <c r="B214" s="8" t="s">
        <v>22</v>
      </c>
      <c r="C214" s="8" t="str">
        <f>"卢甜"</f>
        <v>卢甜</v>
      </c>
      <c r="D214" s="8" t="str">
        <f t="shared" si="14"/>
        <v>女</v>
      </c>
      <c r="E214" s="8">
        <v>6</v>
      </c>
      <c r="F214" s="8" t="s">
        <v>13</v>
      </c>
      <c r="G214" s="8">
        <v>6</v>
      </c>
      <c r="H214" s="9">
        <v>84</v>
      </c>
      <c r="I214" s="10">
        <v>0.997</v>
      </c>
      <c r="J214" s="9">
        <f t="shared" si="13"/>
        <v>83.748</v>
      </c>
    </row>
    <row r="215" customHeight="1" spans="1:10">
      <c r="A215" s="8" t="str">
        <f>"20206223726"</f>
        <v>20206223726</v>
      </c>
      <c r="B215" s="8" t="s">
        <v>22</v>
      </c>
      <c r="C215" s="8" t="str">
        <f>"范君男"</f>
        <v>范君男</v>
      </c>
      <c r="D215" s="8" t="str">
        <f>"男"</f>
        <v>男</v>
      </c>
      <c r="E215" s="8">
        <v>6</v>
      </c>
      <c r="F215" s="8" t="s">
        <v>13</v>
      </c>
      <c r="G215" s="8">
        <v>7</v>
      </c>
      <c r="H215" s="9">
        <v>80.04</v>
      </c>
      <c r="I215" s="10">
        <v>0.997</v>
      </c>
      <c r="J215" s="9">
        <f t="shared" si="13"/>
        <v>79.79988</v>
      </c>
    </row>
    <row r="216" customHeight="1" spans="1:10">
      <c r="A216" s="8" t="str">
        <f>"20206223817"</f>
        <v>20206223817</v>
      </c>
      <c r="B216" s="8" t="s">
        <v>22</v>
      </c>
      <c r="C216" s="8" t="str">
        <f>"刘雪"</f>
        <v>刘雪</v>
      </c>
      <c r="D216" s="8" t="str">
        <f>"女"</f>
        <v>女</v>
      </c>
      <c r="E216" s="8">
        <v>6</v>
      </c>
      <c r="F216" s="8" t="s">
        <v>13</v>
      </c>
      <c r="G216" s="8">
        <v>8</v>
      </c>
      <c r="H216" s="9">
        <v>85.32</v>
      </c>
      <c r="I216" s="10">
        <v>0.997</v>
      </c>
      <c r="J216" s="9">
        <f t="shared" si="13"/>
        <v>85.06404</v>
      </c>
    </row>
    <row r="217" customHeight="1" spans="1:10">
      <c r="A217" s="8"/>
      <c r="B217" s="8"/>
      <c r="C217" s="8"/>
      <c r="D217" s="8"/>
      <c r="E217" s="8"/>
      <c r="F217" s="8"/>
      <c r="G217" s="8"/>
      <c r="H217" s="9"/>
      <c r="I217" s="10"/>
      <c r="J217" s="9"/>
    </row>
    <row r="218" customHeight="1" spans="1:10">
      <c r="A218" s="8" t="str">
        <f>"20209226125"</f>
        <v>20209226125</v>
      </c>
      <c r="B218" s="8" t="s">
        <v>23</v>
      </c>
      <c r="C218" s="8" t="str">
        <f>"程丽"</f>
        <v>程丽</v>
      </c>
      <c r="D218" s="8" t="str">
        <f>"女"</f>
        <v>女</v>
      </c>
      <c r="E218" s="8">
        <v>6</v>
      </c>
      <c r="F218" s="8" t="s">
        <v>13</v>
      </c>
      <c r="G218" s="8">
        <v>9</v>
      </c>
      <c r="H218" s="9">
        <v>84</v>
      </c>
      <c r="I218" s="10"/>
      <c r="J218" s="9">
        <v>84</v>
      </c>
    </row>
    <row r="219" customHeight="1" spans="1:10">
      <c r="A219" s="8" t="str">
        <f>"20209226126"</f>
        <v>20209226126</v>
      </c>
      <c r="B219" s="8" t="s">
        <v>23</v>
      </c>
      <c r="C219" s="8" t="str">
        <f>"王梦迪"</f>
        <v>王梦迪</v>
      </c>
      <c r="D219" s="8" t="str">
        <f>"女"</f>
        <v>女</v>
      </c>
      <c r="E219" s="8">
        <v>6</v>
      </c>
      <c r="F219" s="8" t="s">
        <v>13</v>
      </c>
      <c r="G219" s="8">
        <v>10</v>
      </c>
      <c r="H219" s="9">
        <v>82.22</v>
      </c>
      <c r="I219" s="10"/>
      <c r="J219" s="9">
        <v>82.22</v>
      </c>
    </row>
    <row r="220" customHeight="1" spans="1:10">
      <c r="A220" s="8" t="str">
        <f>"20209226027"</f>
        <v>20209226027</v>
      </c>
      <c r="B220" s="8" t="s">
        <v>23</v>
      </c>
      <c r="C220" s="8" t="str">
        <f>"卢文洋"</f>
        <v>卢文洋</v>
      </c>
      <c r="D220" s="8" t="str">
        <f>"女"</f>
        <v>女</v>
      </c>
      <c r="E220" s="8">
        <v>6</v>
      </c>
      <c r="F220" s="8" t="s">
        <v>13</v>
      </c>
      <c r="G220" s="8">
        <v>11</v>
      </c>
      <c r="H220" s="9">
        <v>84.54</v>
      </c>
      <c r="I220" s="10"/>
      <c r="J220" s="9">
        <v>84.54</v>
      </c>
    </row>
    <row r="221" customHeight="1" spans="1:10">
      <c r="A221" s="8" t="str">
        <f>"20209226128"</f>
        <v>20209226128</v>
      </c>
      <c r="B221" s="8" t="s">
        <v>23</v>
      </c>
      <c r="C221" s="8" t="str">
        <f>"张萌雅"</f>
        <v>张萌雅</v>
      </c>
      <c r="D221" s="8" t="str">
        <f>"女"</f>
        <v>女</v>
      </c>
      <c r="E221" s="8">
        <v>6</v>
      </c>
      <c r="F221" s="8" t="s">
        <v>13</v>
      </c>
      <c r="G221" s="8">
        <v>12</v>
      </c>
      <c r="H221" s="9">
        <v>78.82</v>
      </c>
      <c r="I221" s="10"/>
      <c r="J221" s="9">
        <v>78.82</v>
      </c>
    </row>
    <row r="222" customHeight="1" spans="1:10">
      <c r="A222" s="8" t="str">
        <f>"20209226103"</f>
        <v>20209226103</v>
      </c>
      <c r="B222" s="8" t="s">
        <v>23</v>
      </c>
      <c r="C222" s="8" t="str">
        <f>"陈波"</f>
        <v>陈波</v>
      </c>
      <c r="D222" s="8" t="str">
        <f>"男"</f>
        <v>男</v>
      </c>
      <c r="E222" s="8">
        <v>6</v>
      </c>
      <c r="F222" s="8" t="s">
        <v>13</v>
      </c>
      <c r="G222" s="8">
        <v>13</v>
      </c>
      <c r="H222" s="9">
        <v>83.52</v>
      </c>
      <c r="I222" s="10"/>
      <c r="J222" s="9">
        <v>83.52</v>
      </c>
    </row>
    <row r="223" customHeight="1" spans="1:10">
      <c r="A223" s="8" t="str">
        <f>"20209226113"</f>
        <v>20209226113</v>
      </c>
      <c r="B223" s="8" t="s">
        <v>23</v>
      </c>
      <c r="C223" s="8" t="str">
        <f>"王凡 "</f>
        <v>王凡 </v>
      </c>
      <c r="D223" s="8" t="str">
        <f>"女"</f>
        <v>女</v>
      </c>
      <c r="E223" s="8">
        <v>6</v>
      </c>
      <c r="F223" s="8" t="s">
        <v>13</v>
      </c>
      <c r="G223" s="8">
        <v>14</v>
      </c>
      <c r="H223" s="9">
        <v>82.38</v>
      </c>
      <c r="I223" s="10"/>
      <c r="J223" s="9">
        <v>82.38</v>
      </c>
    </row>
    <row r="224" customHeight="1" spans="1:10">
      <c r="A224" s="8" t="str">
        <f>"20209226106"</f>
        <v>20209226106</v>
      </c>
      <c r="B224" s="8" t="s">
        <v>23</v>
      </c>
      <c r="C224" s="8" t="str">
        <f>"解欣"</f>
        <v>解欣</v>
      </c>
      <c r="D224" s="8" t="str">
        <f>"女"</f>
        <v>女</v>
      </c>
      <c r="E224" s="8">
        <v>6</v>
      </c>
      <c r="F224" s="8" t="s">
        <v>13</v>
      </c>
      <c r="G224" s="8">
        <v>15</v>
      </c>
      <c r="H224" s="9">
        <v>85.16</v>
      </c>
      <c r="I224" s="10"/>
      <c r="J224" s="9">
        <v>85.16</v>
      </c>
    </row>
    <row r="225" customHeight="1" spans="1:10">
      <c r="A225" s="8" t="str">
        <f>"20209226127"</f>
        <v>20209226127</v>
      </c>
      <c r="B225" s="8" t="s">
        <v>23</v>
      </c>
      <c r="C225" s="8" t="str">
        <f>"付益"</f>
        <v>付益</v>
      </c>
      <c r="D225" s="8" t="str">
        <f>"女"</f>
        <v>女</v>
      </c>
      <c r="E225" s="8">
        <v>6</v>
      </c>
      <c r="F225" s="8" t="s">
        <v>13</v>
      </c>
      <c r="G225" s="8">
        <v>16</v>
      </c>
      <c r="H225" s="9">
        <v>85</v>
      </c>
      <c r="I225" s="10"/>
      <c r="J225" s="9">
        <v>85</v>
      </c>
    </row>
    <row r="226" customHeight="1" spans="1:10">
      <c r="A226" s="8" t="str">
        <f>"20209226117"</f>
        <v>20209226117</v>
      </c>
      <c r="B226" s="8" t="s">
        <v>23</v>
      </c>
      <c r="C226" s="8" t="str">
        <f>"王苗苗"</f>
        <v>王苗苗</v>
      </c>
      <c r="D226" s="8" t="str">
        <f>"女"</f>
        <v>女</v>
      </c>
      <c r="E226" s="8">
        <v>6</v>
      </c>
      <c r="F226" s="8" t="s">
        <v>13</v>
      </c>
      <c r="G226" s="8">
        <v>17</v>
      </c>
      <c r="H226" s="9">
        <v>85.78</v>
      </c>
      <c r="I226" s="10"/>
      <c r="J226" s="9">
        <v>85.78</v>
      </c>
    </row>
    <row r="227" customHeight="1" spans="1:10">
      <c r="A227" s="8" t="str">
        <f>"20209226111"</f>
        <v>20209226111</v>
      </c>
      <c r="B227" s="8" t="s">
        <v>23</v>
      </c>
      <c r="C227" s="8" t="str">
        <f>"冉中阳"</f>
        <v>冉中阳</v>
      </c>
      <c r="D227" s="8" t="str">
        <f>"男"</f>
        <v>男</v>
      </c>
      <c r="E227" s="8">
        <v>6</v>
      </c>
      <c r="F227" s="8" t="s">
        <v>13</v>
      </c>
      <c r="G227" s="8">
        <v>18</v>
      </c>
      <c r="H227" s="9">
        <v>83.18</v>
      </c>
      <c r="I227" s="10"/>
      <c r="J227" s="9">
        <v>83.18</v>
      </c>
    </row>
    <row r="228" customHeight="1" spans="1:10">
      <c r="A228" s="8" t="str">
        <f>"20209226121"</f>
        <v>20209226121</v>
      </c>
      <c r="B228" s="8" t="s">
        <v>23</v>
      </c>
      <c r="C228" s="8" t="str">
        <f>"姚春雪"</f>
        <v>姚春雪</v>
      </c>
      <c r="D228" s="8" t="str">
        <f>"女"</f>
        <v>女</v>
      </c>
      <c r="E228" s="8">
        <v>6</v>
      </c>
      <c r="F228" s="8" t="s">
        <v>13</v>
      </c>
      <c r="G228" s="8">
        <v>19</v>
      </c>
      <c r="H228" s="9">
        <v>81.56</v>
      </c>
      <c r="I228" s="10"/>
      <c r="J228" s="9">
        <v>81.56</v>
      </c>
    </row>
    <row r="229" customHeight="1" spans="1:10">
      <c r="A229" s="8" t="str">
        <f>"20209226116"</f>
        <v>20209226116</v>
      </c>
      <c r="B229" s="8" t="s">
        <v>23</v>
      </c>
      <c r="C229" s="8" t="str">
        <f>"王广杰"</f>
        <v>王广杰</v>
      </c>
      <c r="D229" s="8" t="str">
        <f>"男"</f>
        <v>男</v>
      </c>
      <c r="E229" s="8">
        <v>6</v>
      </c>
      <c r="F229" s="8" t="s">
        <v>13</v>
      </c>
      <c r="G229" s="8">
        <v>20</v>
      </c>
      <c r="H229" s="9">
        <v>81.78</v>
      </c>
      <c r="I229" s="10"/>
      <c r="J229" s="9">
        <v>81.78</v>
      </c>
    </row>
    <row r="230" customHeight="1" spans="1:10">
      <c r="A230" s="8" t="str">
        <f>"20209226101"</f>
        <v>20209226101</v>
      </c>
      <c r="B230" s="8" t="s">
        <v>23</v>
      </c>
      <c r="C230" s="8" t="str">
        <f>"刘艳艳"</f>
        <v>刘艳艳</v>
      </c>
      <c r="D230" s="8" t="str">
        <f>"女"</f>
        <v>女</v>
      </c>
      <c r="E230" s="8">
        <v>6</v>
      </c>
      <c r="F230" s="8" t="s">
        <v>13</v>
      </c>
      <c r="G230" s="8">
        <v>21</v>
      </c>
      <c r="H230" s="9">
        <v>85.22</v>
      </c>
      <c r="I230" s="10"/>
      <c r="J230" s="9">
        <v>85.22</v>
      </c>
    </row>
    <row r="231" customHeight="1" spans="1:10">
      <c r="A231" s="8" t="str">
        <f>"20205211920"</f>
        <v>20205211920</v>
      </c>
      <c r="B231" s="8" t="s">
        <v>24</v>
      </c>
      <c r="C231" s="8" t="str">
        <f>"马璐瑶"</f>
        <v>马璐瑶</v>
      </c>
      <c r="D231" s="8" t="str">
        <f>"女"</f>
        <v>女</v>
      </c>
      <c r="E231" s="8">
        <v>7</v>
      </c>
      <c r="F231" s="8" t="s">
        <v>12</v>
      </c>
      <c r="G231" s="8">
        <v>1</v>
      </c>
      <c r="H231" s="9">
        <v>81.68</v>
      </c>
      <c r="I231" s="10"/>
      <c r="J231" s="9">
        <v>81.68</v>
      </c>
    </row>
    <row r="232" customHeight="1" spans="1:10">
      <c r="A232" s="8" t="str">
        <f>"20205211903"</f>
        <v>20205211903</v>
      </c>
      <c r="B232" s="8" t="s">
        <v>24</v>
      </c>
      <c r="C232" s="8" t="str">
        <f>"庄冰"</f>
        <v>庄冰</v>
      </c>
      <c r="D232" s="8" t="str">
        <f>"女"</f>
        <v>女</v>
      </c>
      <c r="E232" s="8">
        <v>7</v>
      </c>
      <c r="F232" s="8" t="s">
        <v>12</v>
      </c>
      <c r="G232" s="8">
        <v>2</v>
      </c>
      <c r="H232" s="9">
        <v>68</v>
      </c>
      <c r="I232" s="10"/>
      <c r="J232" s="9">
        <v>68</v>
      </c>
    </row>
    <row r="233" customHeight="1" spans="1:10">
      <c r="A233" s="8" t="str">
        <f>"20205212001"</f>
        <v>20205212001</v>
      </c>
      <c r="B233" s="8" t="s">
        <v>24</v>
      </c>
      <c r="C233" s="8" t="str">
        <f>"常蒙蒙"</f>
        <v>常蒙蒙</v>
      </c>
      <c r="D233" s="8" t="str">
        <f>"女"</f>
        <v>女</v>
      </c>
      <c r="E233" s="8">
        <v>7</v>
      </c>
      <c r="F233" s="8" t="s">
        <v>12</v>
      </c>
      <c r="G233" s="8">
        <v>3</v>
      </c>
      <c r="H233" s="9">
        <v>73.28</v>
      </c>
      <c r="I233" s="10"/>
      <c r="J233" s="9">
        <v>73.28</v>
      </c>
    </row>
    <row r="234" customHeight="1" spans="1:10">
      <c r="A234" s="8" t="str">
        <f>"20205211904"</f>
        <v>20205211904</v>
      </c>
      <c r="B234" s="8" t="s">
        <v>24</v>
      </c>
      <c r="C234" s="8" t="str">
        <f>"路阳"</f>
        <v>路阳</v>
      </c>
      <c r="D234" s="8" t="str">
        <f>"女"</f>
        <v>女</v>
      </c>
      <c r="E234" s="8">
        <v>7</v>
      </c>
      <c r="F234" s="8" t="s">
        <v>12</v>
      </c>
      <c r="G234" s="8">
        <v>4</v>
      </c>
      <c r="H234" s="9">
        <v>86.38</v>
      </c>
      <c r="I234" s="10"/>
      <c r="J234" s="9">
        <v>86.38</v>
      </c>
    </row>
    <row r="235" customHeight="1" spans="1:10">
      <c r="A235" s="8" t="str">
        <f>"20205211907"</f>
        <v>20205211907</v>
      </c>
      <c r="B235" s="8" t="s">
        <v>24</v>
      </c>
      <c r="C235" s="8" t="str">
        <f>"任良涛"</f>
        <v>任良涛</v>
      </c>
      <c r="D235" s="8" t="str">
        <f>"男"</f>
        <v>男</v>
      </c>
      <c r="E235" s="8">
        <v>7</v>
      </c>
      <c r="F235" s="8" t="s">
        <v>12</v>
      </c>
      <c r="G235" s="8">
        <v>5</v>
      </c>
      <c r="H235" s="9">
        <v>83.3</v>
      </c>
      <c r="I235" s="10"/>
      <c r="J235" s="9">
        <v>83.3</v>
      </c>
    </row>
    <row r="236" customHeight="1" spans="1:10">
      <c r="A236" s="8" t="str">
        <f>"20205211921"</f>
        <v>20205211921</v>
      </c>
      <c r="B236" s="8" t="s">
        <v>24</v>
      </c>
      <c r="C236" s="8" t="str">
        <f>"张珊"</f>
        <v>张珊</v>
      </c>
      <c r="D236" s="8" t="str">
        <f>"女"</f>
        <v>女</v>
      </c>
      <c r="E236" s="8">
        <v>7</v>
      </c>
      <c r="F236" s="8" t="s">
        <v>12</v>
      </c>
      <c r="G236" s="8">
        <v>6</v>
      </c>
      <c r="H236" s="9">
        <v>87.1</v>
      </c>
      <c r="I236" s="10"/>
      <c r="J236" s="9">
        <v>87.1</v>
      </c>
    </row>
    <row r="237" customHeight="1" spans="1:10">
      <c r="A237" s="8" t="str">
        <f>"20205211928"</f>
        <v>20205211928</v>
      </c>
      <c r="B237" s="8" t="s">
        <v>24</v>
      </c>
      <c r="C237" s="8" t="str">
        <f>"邹园珂"</f>
        <v>邹园珂</v>
      </c>
      <c r="D237" s="8" t="str">
        <f>"女"</f>
        <v>女</v>
      </c>
      <c r="E237" s="8">
        <v>7</v>
      </c>
      <c r="F237" s="8" t="s">
        <v>12</v>
      </c>
      <c r="G237" s="8">
        <v>7</v>
      </c>
      <c r="H237" s="9">
        <v>86.98</v>
      </c>
      <c r="I237" s="10"/>
      <c r="J237" s="9">
        <v>86.98</v>
      </c>
    </row>
    <row r="238" customHeight="1" spans="1:10">
      <c r="A238" s="8" t="str">
        <f>"20205211906"</f>
        <v>20205211906</v>
      </c>
      <c r="B238" s="8" t="s">
        <v>24</v>
      </c>
      <c r="C238" s="8" t="str">
        <f>"黄勤"</f>
        <v>黄勤</v>
      </c>
      <c r="D238" s="8" t="str">
        <f>"男"</f>
        <v>男</v>
      </c>
      <c r="E238" s="8">
        <v>7</v>
      </c>
      <c r="F238" s="8" t="s">
        <v>12</v>
      </c>
      <c r="G238" s="8">
        <v>8</v>
      </c>
      <c r="H238" s="9">
        <v>81.58</v>
      </c>
      <c r="I238" s="10"/>
      <c r="J238" s="9">
        <v>81.58</v>
      </c>
    </row>
    <row r="239" customHeight="1" spans="1:10">
      <c r="A239" s="8" t="str">
        <f>"20205211915"</f>
        <v>20205211915</v>
      </c>
      <c r="B239" s="8" t="s">
        <v>24</v>
      </c>
      <c r="C239" s="8" t="str">
        <f>"刘洁"</f>
        <v>刘洁</v>
      </c>
      <c r="D239" s="8" t="str">
        <f>"女"</f>
        <v>女</v>
      </c>
      <c r="E239" s="8">
        <v>7</v>
      </c>
      <c r="F239" s="8" t="s">
        <v>12</v>
      </c>
      <c r="G239" s="8">
        <v>9</v>
      </c>
      <c r="H239" s="9">
        <v>86.88</v>
      </c>
      <c r="I239" s="10"/>
      <c r="J239" s="9">
        <v>86.88</v>
      </c>
    </row>
    <row r="240" customHeight="1" spans="1:10">
      <c r="A240" s="8" t="str">
        <f>"20205211901"</f>
        <v>20205211901</v>
      </c>
      <c r="B240" s="8" t="s">
        <v>24</v>
      </c>
      <c r="C240" s="8" t="str">
        <f>"王珂"</f>
        <v>王珂</v>
      </c>
      <c r="D240" s="8" t="str">
        <f>"女"</f>
        <v>女</v>
      </c>
      <c r="E240" s="8">
        <v>7</v>
      </c>
      <c r="F240" s="8" t="s">
        <v>12</v>
      </c>
      <c r="G240" s="8">
        <v>10</v>
      </c>
      <c r="H240" s="9">
        <v>59.4</v>
      </c>
      <c r="I240" s="10"/>
      <c r="J240" s="9">
        <v>59.4</v>
      </c>
    </row>
    <row r="241" customHeight="1" spans="1:10">
      <c r="A241" s="8" t="str">
        <f>"20205211927"</f>
        <v>20205211927</v>
      </c>
      <c r="B241" s="8" t="s">
        <v>24</v>
      </c>
      <c r="C241" s="8" t="str">
        <f>"李伟"</f>
        <v>李伟</v>
      </c>
      <c r="D241" s="8" t="str">
        <f>"女"</f>
        <v>女</v>
      </c>
      <c r="E241" s="8">
        <v>7</v>
      </c>
      <c r="F241" s="8" t="s">
        <v>12</v>
      </c>
      <c r="G241" s="8">
        <v>11</v>
      </c>
      <c r="H241" s="9">
        <v>77.42</v>
      </c>
      <c r="I241" s="10"/>
      <c r="J241" s="9">
        <v>77.42</v>
      </c>
    </row>
    <row r="242" customHeight="1" spans="1:10">
      <c r="A242" s="8" t="str">
        <f>"20205211923"</f>
        <v>20205211923</v>
      </c>
      <c r="B242" s="8" t="s">
        <v>24</v>
      </c>
      <c r="C242" s="8" t="str">
        <f>"张莹"</f>
        <v>张莹</v>
      </c>
      <c r="D242" s="8" t="str">
        <f>"女"</f>
        <v>女</v>
      </c>
      <c r="E242" s="8">
        <v>7</v>
      </c>
      <c r="F242" s="8" t="s">
        <v>12</v>
      </c>
      <c r="G242" s="8">
        <v>12</v>
      </c>
      <c r="H242" s="9">
        <v>78.58</v>
      </c>
      <c r="I242" s="10"/>
      <c r="J242" s="9">
        <v>78.58</v>
      </c>
    </row>
    <row r="243" customHeight="1" spans="1:10">
      <c r="A243" s="8" t="str">
        <f>"20205211930"</f>
        <v>20205211930</v>
      </c>
      <c r="B243" s="8" t="s">
        <v>24</v>
      </c>
      <c r="C243" s="8" t="str">
        <f>"刘磊"</f>
        <v>刘磊</v>
      </c>
      <c r="D243" s="8" t="str">
        <f>"男"</f>
        <v>男</v>
      </c>
      <c r="E243" s="8">
        <v>7</v>
      </c>
      <c r="F243" s="8" t="s">
        <v>12</v>
      </c>
      <c r="G243" s="8">
        <v>13</v>
      </c>
      <c r="H243" s="9">
        <v>79.46</v>
      </c>
      <c r="I243" s="10"/>
      <c r="J243" s="9">
        <v>79.46</v>
      </c>
    </row>
    <row r="244" customHeight="1" spans="1:10">
      <c r="A244" s="8" t="str">
        <f>"20205212008"</f>
        <v>20205212008</v>
      </c>
      <c r="B244" s="8" t="s">
        <v>24</v>
      </c>
      <c r="C244" s="8" t="str">
        <f>"李喜盈"</f>
        <v>李喜盈</v>
      </c>
      <c r="D244" s="8" t="str">
        <f>"女"</f>
        <v>女</v>
      </c>
      <c r="E244" s="8">
        <v>7</v>
      </c>
      <c r="F244" s="8" t="s">
        <v>12</v>
      </c>
      <c r="G244" s="8">
        <v>14</v>
      </c>
      <c r="H244" s="9">
        <v>86.94</v>
      </c>
      <c r="I244" s="10"/>
      <c r="J244" s="9">
        <v>86.94</v>
      </c>
    </row>
    <row r="245" customHeight="1" spans="1:10">
      <c r="A245" s="8" t="str">
        <f>"20205212006"</f>
        <v>20205212006</v>
      </c>
      <c r="B245" s="8" t="s">
        <v>24</v>
      </c>
      <c r="C245" s="8" t="str">
        <f>"赵旭阳"</f>
        <v>赵旭阳</v>
      </c>
      <c r="D245" s="8" t="str">
        <f>"女"</f>
        <v>女</v>
      </c>
      <c r="E245" s="8">
        <v>7</v>
      </c>
      <c r="F245" s="8" t="s">
        <v>12</v>
      </c>
      <c r="G245" s="8">
        <v>15</v>
      </c>
      <c r="H245" s="9">
        <v>85.84</v>
      </c>
      <c r="I245" s="10"/>
      <c r="J245" s="9">
        <v>85.84</v>
      </c>
    </row>
    <row r="246" customHeight="1" spans="1:10">
      <c r="A246" s="8" t="str">
        <f>"20205211902"</f>
        <v>20205211902</v>
      </c>
      <c r="B246" s="8" t="s">
        <v>24</v>
      </c>
      <c r="C246" s="8" t="str">
        <f>"王琨博"</f>
        <v>王琨博</v>
      </c>
      <c r="D246" s="8" t="str">
        <f>"男"</f>
        <v>男</v>
      </c>
      <c r="E246" s="8">
        <v>7</v>
      </c>
      <c r="F246" s="8" t="s">
        <v>12</v>
      </c>
      <c r="G246" s="8">
        <v>16</v>
      </c>
      <c r="H246" s="9">
        <v>85.5</v>
      </c>
      <c r="I246" s="10"/>
      <c r="J246" s="9">
        <v>85.5</v>
      </c>
    </row>
    <row r="247" customHeight="1" spans="1:10">
      <c r="A247" s="8" t="str">
        <f>"20205211916"</f>
        <v>20205211916</v>
      </c>
      <c r="B247" s="8" t="s">
        <v>24</v>
      </c>
      <c r="C247" s="8" t="str">
        <f>"王振梅"</f>
        <v>王振梅</v>
      </c>
      <c r="D247" s="8" t="str">
        <f>"女"</f>
        <v>女</v>
      </c>
      <c r="E247" s="8">
        <v>7</v>
      </c>
      <c r="F247" s="8" t="s">
        <v>12</v>
      </c>
      <c r="G247" s="8">
        <v>17</v>
      </c>
      <c r="H247" s="9">
        <v>69.36</v>
      </c>
      <c r="I247" s="10"/>
      <c r="J247" s="9">
        <v>69.36</v>
      </c>
    </row>
    <row r="248" customHeight="1" spans="1:10">
      <c r="A248" s="8" t="str">
        <f>"20205212002"</f>
        <v>20205212002</v>
      </c>
      <c r="B248" s="8" t="s">
        <v>24</v>
      </c>
      <c r="C248" s="8" t="str">
        <f>"段爽"</f>
        <v>段爽</v>
      </c>
      <c r="D248" s="8" t="str">
        <f>"男"</f>
        <v>男</v>
      </c>
      <c r="E248" s="8">
        <v>7</v>
      </c>
      <c r="F248" s="8" t="s">
        <v>12</v>
      </c>
      <c r="G248" s="8">
        <v>18</v>
      </c>
      <c r="H248" s="9">
        <v>80.9</v>
      </c>
      <c r="I248" s="10"/>
      <c r="J248" s="9">
        <v>80.9</v>
      </c>
    </row>
    <row r="249" customHeight="1" spans="1:10">
      <c r="A249" s="8" t="str">
        <f>"20205211918"</f>
        <v>20205211918</v>
      </c>
      <c r="B249" s="8" t="s">
        <v>24</v>
      </c>
      <c r="C249" s="8" t="str">
        <f>"郑瑜"</f>
        <v>郑瑜</v>
      </c>
      <c r="D249" s="8" t="str">
        <f>"女"</f>
        <v>女</v>
      </c>
      <c r="E249" s="8">
        <v>7</v>
      </c>
      <c r="F249" s="8" t="s">
        <v>12</v>
      </c>
      <c r="G249" s="8">
        <v>19</v>
      </c>
      <c r="H249" s="9">
        <v>85.74</v>
      </c>
      <c r="I249" s="10"/>
      <c r="J249" s="9">
        <v>85.74</v>
      </c>
    </row>
    <row r="250" customHeight="1" spans="1:10">
      <c r="A250" s="8" t="str">
        <f>"20205211922"</f>
        <v>20205211922</v>
      </c>
      <c r="B250" s="8" t="s">
        <v>24</v>
      </c>
      <c r="C250" s="8" t="str">
        <f>"胡雪阳"</f>
        <v>胡雪阳</v>
      </c>
      <c r="D250" s="8" t="str">
        <f>"女"</f>
        <v>女</v>
      </c>
      <c r="E250" s="8">
        <v>7</v>
      </c>
      <c r="F250" s="8" t="s">
        <v>12</v>
      </c>
      <c r="G250" s="8">
        <v>20</v>
      </c>
      <c r="H250" s="9">
        <v>81.54</v>
      </c>
      <c r="I250" s="10"/>
      <c r="J250" s="9">
        <v>81.54</v>
      </c>
    </row>
    <row r="251" customHeight="1" spans="1:10">
      <c r="A251" s="8" t="str">
        <f>"20205211913"</f>
        <v>20205211913</v>
      </c>
      <c r="B251" s="8" t="s">
        <v>24</v>
      </c>
      <c r="C251" s="8" t="str">
        <f>"郭玲"</f>
        <v>郭玲</v>
      </c>
      <c r="D251" s="8" t="str">
        <f>"女"</f>
        <v>女</v>
      </c>
      <c r="E251" s="8">
        <v>7</v>
      </c>
      <c r="F251" s="8" t="s">
        <v>12</v>
      </c>
      <c r="G251" s="8">
        <v>21</v>
      </c>
      <c r="H251" s="9">
        <v>85.54</v>
      </c>
      <c r="I251" s="10"/>
      <c r="J251" s="9">
        <v>85.54</v>
      </c>
    </row>
    <row r="252" customHeight="1" spans="1:10">
      <c r="A252" s="8" t="str">
        <f>"20205211926"</f>
        <v>20205211926</v>
      </c>
      <c r="B252" s="8" t="s">
        <v>24</v>
      </c>
      <c r="C252" s="8" t="str">
        <f>"袁凤婉"</f>
        <v>袁凤婉</v>
      </c>
      <c r="D252" s="8" t="str">
        <f>"女"</f>
        <v>女</v>
      </c>
      <c r="E252" s="8">
        <v>7</v>
      </c>
      <c r="F252" s="8" t="s">
        <v>12</v>
      </c>
      <c r="G252" s="8">
        <v>22</v>
      </c>
      <c r="H252" s="9">
        <v>83.08</v>
      </c>
      <c r="I252" s="10"/>
      <c r="J252" s="9">
        <v>83.08</v>
      </c>
    </row>
    <row r="253" customHeight="1" spans="1:10">
      <c r="A253" s="8" t="str">
        <f>"20205212009"</f>
        <v>20205212009</v>
      </c>
      <c r="B253" s="8" t="s">
        <v>24</v>
      </c>
      <c r="C253" s="8" t="str">
        <f>"彭常发"</f>
        <v>彭常发</v>
      </c>
      <c r="D253" s="8" t="str">
        <f>"男"</f>
        <v>男</v>
      </c>
      <c r="E253" s="8">
        <v>7</v>
      </c>
      <c r="F253" s="8" t="s">
        <v>12</v>
      </c>
      <c r="G253" s="8">
        <v>23</v>
      </c>
      <c r="H253" s="9">
        <v>77.34</v>
      </c>
      <c r="I253" s="10"/>
      <c r="J253" s="9">
        <v>77.34</v>
      </c>
    </row>
    <row r="254" customHeight="1" spans="1:10">
      <c r="A254" s="8" t="str">
        <f>"20205211910"</f>
        <v>20205211910</v>
      </c>
      <c r="B254" s="8" t="s">
        <v>24</v>
      </c>
      <c r="C254" s="8" t="str">
        <f>"刘亚鑫"</f>
        <v>刘亚鑫</v>
      </c>
      <c r="D254" s="8" t="str">
        <f>"女"</f>
        <v>女</v>
      </c>
      <c r="E254" s="8">
        <v>7</v>
      </c>
      <c r="F254" s="8" t="s">
        <v>12</v>
      </c>
      <c r="G254" s="8">
        <v>24</v>
      </c>
      <c r="H254" s="9">
        <v>83.74</v>
      </c>
      <c r="I254" s="10"/>
      <c r="J254" s="9">
        <v>83.74</v>
      </c>
    </row>
    <row r="255" customHeight="1" spans="1:10">
      <c r="A255" s="8" t="str">
        <f>"20205211925"</f>
        <v>20205211925</v>
      </c>
      <c r="B255" s="8" t="s">
        <v>24</v>
      </c>
      <c r="C255" s="8" t="str">
        <f>"王平帅"</f>
        <v>王平帅</v>
      </c>
      <c r="D255" s="8" t="str">
        <f>"男"</f>
        <v>男</v>
      </c>
      <c r="E255" s="8">
        <v>7</v>
      </c>
      <c r="F255" s="8" t="s">
        <v>12</v>
      </c>
      <c r="G255" s="8">
        <v>25</v>
      </c>
      <c r="H255" s="9">
        <v>80.72</v>
      </c>
      <c r="I255" s="10"/>
      <c r="J255" s="9">
        <v>80.72</v>
      </c>
    </row>
    <row r="256" customHeight="1" spans="1:10">
      <c r="A256" s="8" t="str">
        <f>"20205212014"</f>
        <v>20205212014</v>
      </c>
      <c r="B256" s="8" t="s">
        <v>24</v>
      </c>
      <c r="C256" s="8" t="str">
        <f>"郭琳琳"</f>
        <v>郭琳琳</v>
      </c>
      <c r="D256" s="8" t="str">
        <f>"女"</f>
        <v>女</v>
      </c>
      <c r="E256" s="8">
        <v>7</v>
      </c>
      <c r="F256" s="8" t="s">
        <v>12</v>
      </c>
      <c r="G256" s="8">
        <v>26</v>
      </c>
      <c r="H256" s="9">
        <v>84.02</v>
      </c>
      <c r="I256" s="10"/>
      <c r="J256" s="9">
        <v>84.02</v>
      </c>
    </row>
    <row r="257" customHeight="1" spans="1:10">
      <c r="A257" s="8" t="str">
        <f>"20205211917"</f>
        <v>20205211917</v>
      </c>
      <c r="B257" s="8" t="s">
        <v>24</v>
      </c>
      <c r="C257" s="8" t="str">
        <f>"杨营"</f>
        <v>杨营</v>
      </c>
      <c r="D257" s="8" t="str">
        <f>"女"</f>
        <v>女</v>
      </c>
      <c r="E257" s="8">
        <v>7</v>
      </c>
      <c r="F257" s="8" t="s">
        <v>12</v>
      </c>
      <c r="G257" s="8">
        <v>27</v>
      </c>
      <c r="H257" s="9">
        <v>86</v>
      </c>
      <c r="I257" s="10"/>
      <c r="J257" s="9">
        <v>86</v>
      </c>
    </row>
    <row r="258" customHeight="1" spans="1:10">
      <c r="A258" s="8" t="str">
        <f>"20200210120"</f>
        <v>20200210120</v>
      </c>
      <c r="B258" s="8" t="s">
        <v>25</v>
      </c>
      <c r="C258" s="8" t="str">
        <f>"王万帅"</f>
        <v>王万帅</v>
      </c>
      <c r="D258" s="8" t="str">
        <f>"男"</f>
        <v>男</v>
      </c>
      <c r="E258" s="8">
        <v>7</v>
      </c>
      <c r="F258" s="8" t="s">
        <v>13</v>
      </c>
      <c r="G258" s="8">
        <v>2</v>
      </c>
      <c r="H258" s="9">
        <v>67.78</v>
      </c>
      <c r="I258" s="10"/>
      <c r="J258" s="9">
        <v>67.78</v>
      </c>
    </row>
    <row r="259" customHeight="1" spans="1:10">
      <c r="A259" s="8" t="str">
        <f>"20200210106"</f>
        <v>20200210106</v>
      </c>
      <c r="B259" s="8" t="s">
        <v>25</v>
      </c>
      <c r="C259" s="8" t="str">
        <f>"张玉"</f>
        <v>张玉</v>
      </c>
      <c r="D259" s="8" t="str">
        <f t="shared" ref="D259:D268" si="15">"女"</f>
        <v>女</v>
      </c>
      <c r="E259" s="8">
        <v>7</v>
      </c>
      <c r="F259" s="8" t="s">
        <v>13</v>
      </c>
      <c r="G259" s="8">
        <v>3</v>
      </c>
      <c r="H259" s="9">
        <v>76.62</v>
      </c>
      <c r="I259" s="10"/>
      <c r="J259" s="9">
        <v>76.62</v>
      </c>
    </row>
    <row r="260" customHeight="1" spans="1:10">
      <c r="A260" s="8" t="str">
        <f>"20202210717"</f>
        <v>20202210717</v>
      </c>
      <c r="B260" s="8" t="s">
        <v>26</v>
      </c>
      <c r="C260" s="8" t="str">
        <f>"毛莉"</f>
        <v>毛莉</v>
      </c>
      <c r="D260" s="8" t="str">
        <f t="shared" si="15"/>
        <v>女</v>
      </c>
      <c r="E260" s="8">
        <v>7</v>
      </c>
      <c r="F260" s="8" t="s">
        <v>13</v>
      </c>
      <c r="G260" s="8">
        <v>4</v>
      </c>
      <c r="H260" s="9">
        <v>85.5</v>
      </c>
      <c r="I260" s="10"/>
      <c r="J260" s="9">
        <v>85.5</v>
      </c>
    </row>
    <row r="261" customHeight="1" spans="1:10">
      <c r="A261" s="8" t="str">
        <f>"20200210102"</f>
        <v>20200210102</v>
      </c>
      <c r="B261" s="8" t="s">
        <v>25</v>
      </c>
      <c r="C261" s="8" t="str">
        <f>"王腾腾"</f>
        <v>王腾腾</v>
      </c>
      <c r="D261" s="8" t="str">
        <f t="shared" si="15"/>
        <v>女</v>
      </c>
      <c r="E261" s="8">
        <v>7</v>
      </c>
      <c r="F261" s="8" t="s">
        <v>13</v>
      </c>
      <c r="G261" s="8">
        <v>5</v>
      </c>
      <c r="H261" s="9">
        <v>79.64</v>
      </c>
      <c r="I261" s="10"/>
      <c r="J261" s="9">
        <v>79.64</v>
      </c>
    </row>
    <row r="262" customHeight="1" spans="1:10">
      <c r="A262" s="8" t="str">
        <f>"20200210116"</f>
        <v>20200210116</v>
      </c>
      <c r="B262" s="8" t="s">
        <v>25</v>
      </c>
      <c r="C262" s="8" t="str">
        <f>"苏柯"</f>
        <v>苏柯</v>
      </c>
      <c r="D262" s="8" t="str">
        <f t="shared" si="15"/>
        <v>女</v>
      </c>
      <c r="E262" s="8">
        <v>7</v>
      </c>
      <c r="F262" s="8" t="s">
        <v>13</v>
      </c>
      <c r="G262" s="8">
        <v>6</v>
      </c>
      <c r="H262" s="9">
        <v>79.92</v>
      </c>
      <c r="I262" s="10"/>
      <c r="J262" s="9">
        <v>79.92</v>
      </c>
    </row>
    <row r="263" customHeight="1" spans="1:10">
      <c r="A263" s="8" t="str">
        <f>"20200210114"</f>
        <v>20200210114</v>
      </c>
      <c r="B263" s="8" t="s">
        <v>25</v>
      </c>
      <c r="C263" s="8" t="str">
        <f>"潘珊珊"</f>
        <v>潘珊珊</v>
      </c>
      <c r="D263" s="8" t="str">
        <f t="shared" si="15"/>
        <v>女</v>
      </c>
      <c r="E263" s="8">
        <v>7</v>
      </c>
      <c r="F263" s="8" t="s">
        <v>13</v>
      </c>
      <c r="G263" s="8">
        <v>7</v>
      </c>
      <c r="H263" s="9">
        <v>73.84</v>
      </c>
      <c r="I263" s="10"/>
      <c r="J263" s="9">
        <v>73.84</v>
      </c>
    </row>
    <row r="264" customHeight="1" spans="1:10">
      <c r="A264" s="8" t="str">
        <f>"20202210715"</f>
        <v>20202210715</v>
      </c>
      <c r="B264" s="8" t="s">
        <v>26</v>
      </c>
      <c r="C264" s="8" t="str">
        <f>"李国松"</f>
        <v>李国松</v>
      </c>
      <c r="D264" s="8" t="str">
        <f t="shared" si="15"/>
        <v>女</v>
      </c>
      <c r="E264" s="8">
        <v>7</v>
      </c>
      <c r="F264" s="8" t="s">
        <v>13</v>
      </c>
      <c r="G264" s="8">
        <v>8</v>
      </c>
      <c r="H264" s="9">
        <v>75.64</v>
      </c>
      <c r="I264" s="10"/>
      <c r="J264" s="9">
        <v>75.64</v>
      </c>
    </row>
    <row r="265" customHeight="1" spans="1:10">
      <c r="A265" s="8" t="str">
        <f>"20202210722"</f>
        <v>20202210722</v>
      </c>
      <c r="B265" s="8" t="s">
        <v>26</v>
      </c>
      <c r="C265" s="8" t="str">
        <f>"张晗青"</f>
        <v>张晗青</v>
      </c>
      <c r="D265" s="8" t="str">
        <f t="shared" si="15"/>
        <v>女</v>
      </c>
      <c r="E265" s="8">
        <v>7</v>
      </c>
      <c r="F265" s="8" t="s">
        <v>13</v>
      </c>
      <c r="G265" s="8">
        <v>9</v>
      </c>
      <c r="H265" s="9">
        <v>79.84</v>
      </c>
      <c r="I265" s="10"/>
      <c r="J265" s="9">
        <v>79.84</v>
      </c>
    </row>
    <row r="266" customHeight="1" spans="1:10">
      <c r="A266" s="8" t="str">
        <f>"20200210119"</f>
        <v>20200210119</v>
      </c>
      <c r="B266" s="8" t="s">
        <v>25</v>
      </c>
      <c r="C266" s="8" t="str">
        <f>"王洋"</f>
        <v>王洋</v>
      </c>
      <c r="D266" s="8" t="str">
        <f t="shared" si="15"/>
        <v>女</v>
      </c>
      <c r="E266" s="8">
        <v>7</v>
      </c>
      <c r="F266" s="8" t="s">
        <v>13</v>
      </c>
      <c r="G266" s="8">
        <v>10</v>
      </c>
      <c r="H266" s="9">
        <v>85.7</v>
      </c>
      <c r="I266" s="10"/>
      <c r="J266" s="9">
        <v>85.7</v>
      </c>
    </row>
    <row r="267" customHeight="1" spans="1:10">
      <c r="A267" s="8" t="str">
        <f>"20200210111"</f>
        <v>20200210111</v>
      </c>
      <c r="B267" s="8" t="s">
        <v>25</v>
      </c>
      <c r="C267" s="8" t="str">
        <f>"李沛"</f>
        <v>李沛</v>
      </c>
      <c r="D267" s="8" t="str">
        <f t="shared" si="15"/>
        <v>女</v>
      </c>
      <c r="E267" s="8">
        <v>7</v>
      </c>
      <c r="F267" s="8" t="s">
        <v>13</v>
      </c>
      <c r="G267" s="8">
        <v>11</v>
      </c>
      <c r="H267" s="9">
        <v>82.64</v>
      </c>
      <c r="I267" s="10"/>
      <c r="J267" s="9">
        <v>82.64</v>
      </c>
    </row>
    <row r="268" customHeight="1" spans="1:10">
      <c r="A268" s="8" t="str">
        <f>"20200210115"</f>
        <v>20200210115</v>
      </c>
      <c r="B268" s="8" t="s">
        <v>25</v>
      </c>
      <c r="C268" s="8" t="str">
        <f>"臧红映"</f>
        <v>臧红映</v>
      </c>
      <c r="D268" s="8" t="str">
        <f t="shared" si="15"/>
        <v>女</v>
      </c>
      <c r="E268" s="8">
        <v>7</v>
      </c>
      <c r="F268" s="8" t="s">
        <v>13</v>
      </c>
      <c r="G268" s="8">
        <v>12</v>
      </c>
      <c r="H268" s="9">
        <v>85.86</v>
      </c>
      <c r="I268" s="10"/>
      <c r="J268" s="9">
        <v>85.86</v>
      </c>
    </row>
    <row r="269" customHeight="1" spans="1:10">
      <c r="A269" s="8" t="str">
        <f>"20200210109"</f>
        <v>20200210109</v>
      </c>
      <c r="B269" s="8" t="s">
        <v>25</v>
      </c>
      <c r="C269" s="8" t="str">
        <f>"刘玺"</f>
        <v>刘玺</v>
      </c>
      <c r="D269" s="8" t="str">
        <f>"男"</f>
        <v>男</v>
      </c>
      <c r="E269" s="8">
        <v>7</v>
      </c>
      <c r="F269" s="8" t="s">
        <v>13</v>
      </c>
      <c r="G269" s="8">
        <v>13</v>
      </c>
      <c r="H269" s="9">
        <v>73.28</v>
      </c>
      <c r="I269" s="10"/>
      <c r="J269" s="9">
        <v>73.28</v>
      </c>
    </row>
    <row r="270" customHeight="1" spans="1:10">
      <c r="A270" s="8" t="str">
        <f>"20202210810"</f>
        <v>20202210810</v>
      </c>
      <c r="B270" s="8" t="s">
        <v>26</v>
      </c>
      <c r="C270" s="8" t="str">
        <f>"李转"</f>
        <v>李转</v>
      </c>
      <c r="D270" s="8" t="str">
        <f t="shared" ref="D270:D298" si="16">"女"</f>
        <v>女</v>
      </c>
      <c r="E270" s="8">
        <v>7</v>
      </c>
      <c r="F270" s="8" t="s">
        <v>13</v>
      </c>
      <c r="G270" s="8">
        <v>14</v>
      </c>
      <c r="H270" s="9">
        <v>83.44</v>
      </c>
      <c r="I270" s="10"/>
      <c r="J270" s="9">
        <v>83.44</v>
      </c>
    </row>
    <row r="271" customHeight="1" spans="1:10">
      <c r="A271" s="8" t="str">
        <f>"20202210804"</f>
        <v>20202210804</v>
      </c>
      <c r="B271" s="8" t="s">
        <v>26</v>
      </c>
      <c r="C271" s="8" t="str">
        <f>"王营"</f>
        <v>王营</v>
      </c>
      <c r="D271" s="8" t="str">
        <f t="shared" si="16"/>
        <v>女</v>
      </c>
      <c r="E271" s="8">
        <v>7</v>
      </c>
      <c r="F271" s="8" t="s">
        <v>13</v>
      </c>
      <c r="G271" s="8">
        <v>15</v>
      </c>
      <c r="H271" s="9">
        <v>84.12</v>
      </c>
      <c r="I271" s="10"/>
      <c r="J271" s="9">
        <v>84.12</v>
      </c>
    </row>
    <row r="272" customHeight="1" spans="1:10">
      <c r="A272" s="8" t="str">
        <f>"20200210110"</f>
        <v>20200210110</v>
      </c>
      <c r="B272" s="8" t="s">
        <v>25</v>
      </c>
      <c r="C272" s="8" t="str">
        <f>"王伟"</f>
        <v>王伟</v>
      </c>
      <c r="D272" s="8" t="str">
        <f t="shared" si="16"/>
        <v>女</v>
      </c>
      <c r="E272" s="8">
        <v>7</v>
      </c>
      <c r="F272" s="8" t="s">
        <v>13</v>
      </c>
      <c r="G272" s="8">
        <v>16</v>
      </c>
      <c r="H272" s="9">
        <v>86.64</v>
      </c>
      <c r="I272" s="10"/>
      <c r="J272" s="9">
        <v>86.64</v>
      </c>
    </row>
    <row r="273" customHeight="1" spans="1:10">
      <c r="A273" s="8" t="str">
        <f>"20200210108"</f>
        <v>20200210108</v>
      </c>
      <c r="B273" s="8" t="s">
        <v>25</v>
      </c>
      <c r="C273" s="8" t="str">
        <f>"刘文静"</f>
        <v>刘文静</v>
      </c>
      <c r="D273" s="8" t="str">
        <f t="shared" si="16"/>
        <v>女</v>
      </c>
      <c r="E273" s="8">
        <v>7</v>
      </c>
      <c r="F273" s="8" t="s">
        <v>13</v>
      </c>
      <c r="G273" s="8">
        <v>17</v>
      </c>
      <c r="H273" s="9">
        <v>77.4</v>
      </c>
      <c r="I273" s="10"/>
      <c r="J273" s="9">
        <v>77.4</v>
      </c>
    </row>
    <row r="274" customHeight="1" spans="1:10">
      <c r="A274" s="8" t="str">
        <f>"20200210121"</f>
        <v>20200210121</v>
      </c>
      <c r="B274" s="8" t="s">
        <v>25</v>
      </c>
      <c r="C274" s="8" t="str">
        <f>"孙宇心"</f>
        <v>孙宇心</v>
      </c>
      <c r="D274" s="8" t="str">
        <f t="shared" si="16"/>
        <v>女</v>
      </c>
      <c r="E274" s="8">
        <v>7</v>
      </c>
      <c r="F274" s="8" t="s">
        <v>13</v>
      </c>
      <c r="G274" s="8">
        <v>18</v>
      </c>
      <c r="H274" s="9">
        <v>78.84</v>
      </c>
      <c r="I274" s="10"/>
      <c r="J274" s="9">
        <v>78.84</v>
      </c>
    </row>
    <row r="275" customHeight="1" spans="1:10">
      <c r="A275" s="8" t="str">
        <f>"20200210112"</f>
        <v>20200210112</v>
      </c>
      <c r="B275" s="8" t="s">
        <v>25</v>
      </c>
      <c r="C275" s="8" t="str">
        <f>"苗育菲"</f>
        <v>苗育菲</v>
      </c>
      <c r="D275" s="8" t="str">
        <f t="shared" si="16"/>
        <v>女</v>
      </c>
      <c r="E275" s="8">
        <v>7</v>
      </c>
      <c r="F275" s="8" t="s">
        <v>13</v>
      </c>
      <c r="G275" s="8">
        <v>19</v>
      </c>
      <c r="H275" s="9">
        <v>69.66</v>
      </c>
      <c r="I275" s="10"/>
      <c r="J275" s="9">
        <v>69.66</v>
      </c>
    </row>
    <row r="276" customHeight="1" spans="1:10">
      <c r="A276" s="8" t="str">
        <f>"20202210711"</f>
        <v>20202210711</v>
      </c>
      <c r="B276" s="8" t="s">
        <v>26</v>
      </c>
      <c r="C276" s="8" t="str">
        <f>"刘攀"</f>
        <v>刘攀</v>
      </c>
      <c r="D276" s="8" t="str">
        <f t="shared" si="16"/>
        <v>女</v>
      </c>
      <c r="E276" s="8">
        <v>7</v>
      </c>
      <c r="F276" s="8" t="s">
        <v>13</v>
      </c>
      <c r="G276" s="8">
        <v>20</v>
      </c>
      <c r="H276" s="9">
        <v>72.7</v>
      </c>
      <c r="I276" s="10"/>
      <c r="J276" s="9">
        <v>72.7</v>
      </c>
    </row>
    <row r="277" customHeight="1" spans="1:10">
      <c r="A277" s="8" t="str">
        <f>"20200210104"</f>
        <v>20200210104</v>
      </c>
      <c r="B277" s="8" t="s">
        <v>25</v>
      </c>
      <c r="C277" s="8" t="str">
        <f>"赵甜甜"</f>
        <v>赵甜甜</v>
      </c>
      <c r="D277" s="8" t="str">
        <f t="shared" si="16"/>
        <v>女</v>
      </c>
      <c r="E277" s="8">
        <v>7</v>
      </c>
      <c r="F277" s="8" t="s">
        <v>13</v>
      </c>
      <c r="G277" s="8">
        <v>21</v>
      </c>
      <c r="H277" s="9">
        <v>74.74</v>
      </c>
      <c r="I277" s="10"/>
      <c r="J277" s="9">
        <v>74.74</v>
      </c>
    </row>
    <row r="278" customHeight="1" spans="1:10">
      <c r="A278" s="8" t="str">
        <f>"20202210727"</f>
        <v>20202210727</v>
      </c>
      <c r="B278" s="8" t="s">
        <v>26</v>
      </c>
      <c r="C278" s="8" t="str">
        <f>"谢肖肖"</f>
        <v>谢肖肖</v>
      </c>
      <c r="D278" s="8" t="str">
        <f t="shared" si="16"/>
        <v>女</v>
      </c>
      <c r="E278" s="8">
        <v>7</v>
      </c>
      <c r="F278" s="8" t="s">
        <v>13</v>
      </c>
      <c r="G278" s="8">
        <v>22</v>
      </c>
      <c r="H278" s="9">
        <v>76.42</v>
      </c>
      <c r="I278" s="10"/>
      <c r="J278" s="9">
        <v>76.42</v>
      </c>
    </row>
    <row r="279" customHeight="1" spans="1:10">
      <c r="A279" s="8" t="str">
        <f>"20202210730"</f>
        <v>20202210730</v>
      </c>
      <c r="B279" s="8" t="s">
        <v>26</v>
      </c>
      <c r="C279" s="8" t="str">
        <f>"常苗苗"</f>
        <v>常苗苗</v>
      </c>
      <c r="D279" s="8" t="str">
        <f t="shared" si="16"/>
        <v>女</v>
      </c>
      <c r="E279" s="8">
        <v>7</v>
      </c>
      <c r="F279" s="8" t="s">
        <v>13</v>
      </c>
      <c r="G279" s="8">
        <v>23</v>
      </c>
      <c r="H279" s="9">
        <v>86.04</v>
      </c>
      <c r="I279" s="10"/>
      <c r="J279" s="9">
        <v>86.04</v>
      </c>
    </row>
    <row r="280" customHeight="1" spans="1:10">
      <c r="A280" s="8" t="str">
        <f>"20205312016"</f>
        <v>20205312016</v>
      </c>
      <c r="B280" s="8" t="s">
        <v>27</v>
      </c>
      <c r="C280" s="8" t="str">
        <f>"张斐"</f>
        <v>张斐</v>
      </c>
      <c r="D280" s="8" t="str">
        <f t="shared" si="16"/>
        <v>女</v>
      </c>
      <c r="E280" s="8">
        <v>8</v>
      </c>
      <c r="F280" s="8" t="s">
        <v>12</v>
      </c>
      <c r="G280" s="8">
        <v>3</v>
      </c>
      <c r="H280" s="9">
        <v>79.52</v>
      </c>
      <c r="I280" s="10"/>
      <c r="J280" s="9">
        <v>79.52</v>
      </c>
    </row>
    <row r="281" customHeight="1" spans="1:10">
      <c r="A281" s="8" t="str">
        <f>"20205312117"</f>
        <v>20205312117</v>
      </c>
      <c r="B281" s="8" t="s">
        <v>27</v>
      </c>
      <c r="C281" s="8" t="str">
        <f>"吴青桐"</f>
        <v>吴青桐</v>
      </c>
      <c r="D281" s="8" t="str">
        <f t="shared" si="16"/>
        <v>女</v>
      </c>
      <c r="E281" s="8">
        <v>8</v>
      </c>
      <c r="F281" s="8" t="s">
        <v>12</v>
      </c>
      <c r="G281" s="8">
        <v>4</v>
      </c>
      <c r="H281" s="9">
        <v>72.44</v>
      </c>
      <c r="I281" s="10"/>
      <c r="J281" s="9">
        <v>72.44</v>
      </c>
    </row>
    <row r="282" customHeight="1" spans="1:10">
      <c r="A282" s="8" t="str">
        <f>"20205312024"</f>
        <v>20205312024</v>
      </c>
      <c r="B282" s="8" t="s">
        <v>27</v>
      </c>
      <c r="C282" s="8" t="str">
        <f>"丁爽"</f>
        <v>丁爽</v>
      </c>
      <c r="D282" s="8" t="str">
        <f t="shared" si="16"/>
        <v>女</v>
      </c>
      <c r="E282" s="8">
        <v>8</v>
      </c>
      <c r="F282" s="8" t="s">
        <v>12</v>
      </c>
      <c r="G282" s="8">
        <v>5</v>
      </c>
      <c r="H282" s="9">
        <v>85.16</v>
      </c>
      <c r="I282" s="10"/>
      <c r="J282" s="9">
        <v>85.16</v>
      </c>
    </row>
    <row r="283" customHeight="1" spans="1:10">
      <c r="A283" s="8" t="str">
        <f>"20205312127"</f>
        <v>20205312127</v>
      </c>
      <c r="B283" s="8" t="s">
        <v>27</v>
      </c>
      <c r="C283" s="8" t="str">
        <f>"牛倩雯"</f>
        <v>牛倩雯</v>
      </c>
      <c r="D283" s="8" t="str">
        <f t="shared" si="16"/>
        <v>女</v>
      </c>
      <c r="E283" s="8">
        <v>8</v>
      </c>
      <c r="F283" s="8" t="s">
        <v>12</v>
      </c>
      <c r="G283" s="8">
        <v>6</v>
      </c>
      <c r="H283" s="9">
        <v>76.16</v>
      </c>
      <c r="I283" s="10"/>
      <c r="J283" s="9">
        <v>76.16</v>
      </c>
    </row>
    <row r="284" customHeight="1" spans="1:10">
      <c r="A284" s="8" t="str">
        <f>"20205312122"</f>
        <v>20205312122</v>
      </c>
      <c r="B284" s="8" t="s">
        <v>27</v>
      </c>
      <c r="C284" s="8" t="str">
        <f>"徐晓旭"</f>
        <v>徐晓旭</v>
      </c>
      <c r="D284" s="8" t="str">
        <f t="shared" si="16"/>
        <v>女</v>
      </c>
      <c r="E284" s="8">
        <v>8</v>
      </c>
      <c r="F284" s="8" t="s">
        <v>12</v>
      </c>
      <c r="G284" s="8">
        <v>7</v>
      </c>
      <c r="H284" s="9">
        <v>81.88</v>
      </c>
      <c r="I284" s="10"/>
      <c r="J284" s="9">
        <v>81.88</v>
      </c>
    </row>
    <row r="285" customHeight="1" spans="1:10">
      <c r="A285" s="8" t="str">
        <f>"20205312017"</f>
        <v>20205312017</v>
      </c>
      <c r="B285" s="8" t="s">
        <v>27</v>
      </c>
      <c r="C285" s="8" t="str">
        <f>"王真"</f>
        <v>王真</v>
      </c>
      <c r="D285" s="8" t="str">
        <f t="shared" si="16"/>
        <v>女</v>
      </c>
      <c r="E285" s="8">
        <v>8</v>
      </c>
      <c r="F285" s="8" t="s">
        <v>12</v>
      </c>
      <c r="G285" s="8">
        <v>8</v>
      </c>
      <c r="H285" s="9">
        <v>70.38</v>
      </c>
      <c r="I285" s="10"/>
      <c r="J285" s="9">
        <v>70.38</v>
      </c>
    </row>
    <row r="286" customHeight="1" spans="1:10">
      <c r="A286" s="8" t="str">
        <f>"20205312021"</f>
        <v>20205312021</v>
      </c>
      <c r="B286" s="8" t="s">
        <v>27</v>
      </c>
      <c r="C286" s="8" t="str">
        <f>"武鑫"</f>
        <v>武鑫</v>
      </c>
      <c r="D286" s="8" t="str">
        <f t="shared" si="16"/>
        <v>女</v>
      </c>
      <c r="E286" s="8">
        <v>8</v>
      </c>
      <c r="F286" s="8" t="s">
        <v>12</v>
      </c>
      <c r="G286" s="8">
        <v>9</v>
      </c>
      <c r="H286" s="9">
        <v>81.58</v>
      </c>
      <c r="I286" s="10"/>
      <c r="J286" s="9">
        <v>81.58</v>
      </c>
    </row>
    <row r="287" customHeight="1" spans="1:10">
      <c r="A287" s="8" t="str">
        <f>"20205312128"</f>
        <v>20205312128</v>
      </c>
      <c r="B287" s="8" t="s">
        <v>27</v>
      </c>
      <c r="C287" s="8" t="str">
        <f>"蒋爽"</f>
        <v>蒋爽</v>
      </c>
      <c r="D287" s="8" t="str">
        <f t="shared" si="16"/>
        <v>女</v>
      </c>
      <c r="E287" s="8">
        <v>8</v>
      </c>
      <c r="F287" s="8" t="s">
        <v>12</v>
      </c>
      <c r="G287" s="8">
        <v>10</v>
      </c>
      <c r="H287" s="9">
        <v>76.82</v>
      </c>
      <c r="I287" s="10"/>
      <c r="J287" s="9">
        <v>76.82</v>
      </c>
    </row>
    <row r="288" customHeight="1" spans="1:10">
      <c r="A288" s="8" t="str">
        <f>"20205312204"</f>
        <v>20205312204</v>
      </c>
      <c r="B288" s="8" t="s">
        <v>27</v>
      </c>
      <c r="C288" s="8" t="str">
        <f>"王原原"</f>
        <v>王原原</v>
      </c>
      <c r="D288" s="8" t="str">
        <f t="shared" si="16"/>
        <v>女</v>
      </c>
      <c r="E288" s="8">
        <v>8</v>
      </c>
      <c r="F288" s="8" t="s">
        <v>12</v>
      </c>
      <c r="G288" s="8">
        <v>11</v>
      </c>
      <c r="H288" s="9">
        <v>80.04</v>
      </c>
      <c r="I288" s="10"/>
      <c r="J288" s="9">
        <v>80.04</v>
      </c>
    </row>
    <row r="289" customHeight="1" spans="1:10">
      <c r="A289" s="8" t="str">
        <f>"20205312105"</f>
        <v>20205312105</v>
      </c>
      <c r="B289" s="8" t="s">
        <v>27</v>
      </c>
      <c r="C289" s="8" t="str">
        <f>"薛金延"</f>
        <v>薛金延</v>
      </c>
      <c r="D289" s="8" t="str">
        <f t="shared" si="16"/>
        <v>女</v>
      </c>
      <c r="E289" s="8">
        <v>8</v>
      </c>
      <c r="F289" s="8" t="s">
        <v>12</v>
      </c>
      <c r="G289" s="8">
        <v>12</v>
      </c>
      <c r="H289" s="9">
        <v>82.46</v>
      </c>
      <c r="I289" s="10"/>
      <c r="J289" s="9">
        <v>82.46</v>
      </c>
    </row>
    <row r="290" customHeight="1" spans="1:10">
      <c r="A290" s="8" t="str">
        <f>"20205312203"</f>
        <v>20205312203</v>
      </c>
      <c r="B290" s="8" t="s">
        <v>27</v>
      </c>
      <c r="C290" s="8" t="str">
        <f>"孙满"</f>
        <v>孙满</v>
      </c>
      <c r="D290" s="8" t="str">
        <f t="shared" si="16"/>
        <v>女</v>
      </c>
      <c r="E290" s="8">
        <v>8</v>
      </c>
      <c r="F290" s="8" t="s">
        <v>12</v>
      </c>
      <c r="G290" s="8">
        <v>13</v>
      </c>
      <c r="H290" s="9">
        <v>74.74</v>
      </c>
      <c r="I290" s="10"/>
      <c r="J290" s="9">
        <v>74.74</v>
      </c>
    </row>
    <row r="291" customHeight="1" spans="1:10">
      <c r="A291" s="8" t="str">
        <f>"20205312202"</f>
        <v>20205312202</v>
      </c>
      <c r="B291" s="8" t="s">
        <v>27</v>
      </c>
      <c r="C291" s="8" t="str">
        <f>"翟悠"</f>
        <v>翟悠</v>
      </c>
      <c r="D291" s="8" t="str">
        <f t="shared" si="16"/>
        <v>女</v>
      </c>
      <c r="E291" s="8">
        <v>8</v>
      </c>
      <c r="F291" s="8" t="s">
        <v>12</v>
      </c>
      <c r="G291" s="8">
        <v>14</v>
      </c>
      <c r="H291" s="9">
        <v>79.78</v>
      </c>
      <c r="I291" s="10"/>
      <c r="J291" s="9">
        <v>79.78</v>
      </c>
    </row>
    <row r="292" customHeight="1" spans="1:10">
      <c r="A292" s="8" t="str">
        <f>"20205312119"</f>
        <v>20205312119</v>
      </c>
      <c r="B292" s="8" t="s">
        <v>27</v>
      </c>
      <c r="C292" s="8" t="str">
        <f>"白景媛"</f>
        <v>白景媛</v>
      </c>
      <c r="D292" s="8" t="str">
        <f t="shared" si="16"/>
        <v>女</v>
      </c>
      <c r="E292" s="8">
        <v>8</v>
      </c>
      <c r="F292" s="8" t="s">
        <v>12</v>
      </c>
      <c r="G292" s="8">
        <v>15</v>
      </c>
      <c r="H292" s="9">
        <v>78.44</v>
      </c>
      <c r="I292" s="10"/>
      <c r="J292" s="9">
        <v>78.44</v>
      </c>
    </row>
    <row r="293" customHeight="1" spans="1:10">
      <c r="A293" s="8" t="str">
        <f>"20205312027"</f>
        <v>20205312027</v>
      </c>
      <c r="B293" s="8" t="s">
        <v>27</v>
      </c>
      <c r="C293" s="8" t="str">
        <f>"孟凡珂"</f>
        <v>孟凡珂</v>
      </c>
      <c r="D293" s="8" t="str">
        <f t="shared" si="16"/>
        <v>女</v>
      </c>
      <c r="E293" s="8">
        <v>8</v>
      </c>
      <c r="F293" s="8" t="s">
        <v>12</v>
      </c>
      <c r="G293" s="8">
        <v>16</v>
      </c>
      <c r="H293" s="9">
        <v>77.08</v>
      </c>
      <c r="I293" s="10"/>
      <c r="J293" s="9">
        <v>77.08</v>
      </c>
    </row>
    <row r="294" customHeight="1" spans="1:10">
      <c r="A294" s="8" t="str">
        <f>"20205312030"</f>
        <v>20205312030</v>
      </c>
      <c r="B294" s="8" t="s">
        <v>27</v>
      </c>
      <c r="C294" s="8" t="str">
        <f>"赵贺"</f>
        <v>赵贺</v>
      </c>
      <c r="D294" s="8" t="str">
        <f t="shared" si="16"/>
        <v>女</v>
      </c>
      <c r="E294" s="8">
        <v>8</v>
      </c>
      <c r="F294" s="8" t="s">
        <v>12</v>
      </c>
      <c r="G294" s="8">
        <v>17</v>
      </c>
      <c r="H294" s="9">
        <v>70.78</v>
      </c>
      <c r="I294" s="10"/>
      <c r="J294" s="9">
        <v>70.78</v>
      </c>
    </row>
    <row r="295" customHeight="1" spans="1:10">
      <c r="A295" s="8" t="str">
        <f>"20205312205"</f>
        <v>20205312205</v>
      </c>
      <c r="B295" s="8" t="s">
        <v>27</v>
      </c>
      <c r="C295" s="8" t="str">
        <f>"王宝丽"</f>
        <v>王宝丽</v>
      </c>
      <c r="D295" s="8" t="str">
        <f t="shared" si="16"/>
        <v>女</v>
      </c>
      <c r="E295" s="8">
        <v>8</v>
      </c>
      <c r="F295" s="8" t="s">
        <v>12</v>
      </c>
      <c r="G295" s="8">
        <v>18</v>
      </c>
      <c r="H295" s="9">
        <v>80.38</v>
      </c>
      <c r="I295" s="10"/>
      <c r="J295" s="9">
        <v>80.38</v>
      </c>
    </row>
    <row r="296" customHeight="1" spans="1:10">
      <c r="A296" s="8" t="str">
        <f>"20205312019"</f>
        <v>20205312019</v>
      </c>
      <c r="B296" s="8" t="s">
        <v>27</v>
      </c>
      <c r="C296" s="8" t="str">
        <f>"张赟"</f>
        <v>张赟</v>
      </c>
      <c r="D296" s="8" t="str">
        <f t="shared" si="16"/>
        <v>女</v>
      </c>
      <c r="E296" s="8">
        <v>8</v>
      </c>
      <c r="F296" s="8" t="s">
        <v>12</v>
      </c>
      <c r="G296" s="8">
        <v>19</v>
      </c>
      <c r="H296" s="9">
        <v>82.2</v>
      </c>
      <c r="I296" s="10"/>
      <c r="J296" s="9">
        <v>82.2</v>
      </c>
    </row>
    <row r="297" customHeight="1" spans="1:10">
      <c r="A297" s="8" t="str">
        <f>"20205312113"</f>
        <v>20205312113</v>
      </c>
      <c r="B297" s="8" t="s">
        <v>27</v>
      </c>
      <c r="C297" s="8" t="str">
        <f>"王雪"</f>
        <v>王雪</v>
      </c>
      <c r="D297" s="8" t="str">
        <f t="shared" si="16"/>
        <v>女</v>
      </c>
      <c r="E297" s="8">
        <v>8</v>
      </c>
      <c r="F297" s="8" t="s">
        <v>12</v>
      </c>
      <c r="G297" s="8">
        <v>20</v>
      </c>
      <c r="H297" s="9">
        <v>78.06</v>
      </c>
      <c r="I297" s="10"/>
      <c r="J297" s="9">
        <v>78.06</v>
      </c>
    </row>
    <row r="298" customHeight="1" spans="1:10">
      <c r="A298" s="8" t="str">
        <f>"20205312107"</f>
        <v>20205312107</v>
      </c>
      <c r="B298" s="8" t="s">
        <v>27</v>
      </c>
      <c r="C298" s="8" t="str">
        <f>"赵洁"</f>
        <v>赵洁</v>
      </c>
      <c r="D298" s="8" t="str">
        <f t="shared" si="16"/>
        <v>女</v>
      </c>
      <c r="E298" s="8">
        <v>8</v>
      </c>
      <c r="F298" s="8" t="s">
        <v>12</v>
      </c>
      <c r="G298" s="8">
        <v>21</v>
      </c>
      <c r="H298" s="9">
        <v>83.4</v>
      </c>
      <c r="I298" s="10"/>
      <c r="J298" s="9">
        <v>83.4</v>
      </c>
    </row>
    <row r="299" customHeight="1" spans="1:10">
      <c r="A299" s="8" t="str">
        <f>"20205312106"</f>
        <v>20205312106</v>
      </c>
      <c r="B299" s="8" t="s">
        <v>27</v>
      </c>
      <c r="C299" s="8" t="str">
        <f>"李天源"</f>
        <v>李天源</v>
      </c>
      <c r="D299" s="8" t="str">
        <f>"男"</f>
        <v>男</v>
      </c>
      <c r="E299" s="8">
        <v>8</v>
      </c>
      <c r="F299" s="8" t="s">
        <v>12</v>
      </c>
      <c r="G299" s="8">
        <v>22</v>
      </c>
      <c r="H299" s="9">
        <v>79.5</v>
      </c>
      <c r="I299" s="10"/>
      <c r="J299" s="9">
        <v>79.5</v>
      </c>
    </row>
    <row r="300" customHeight="1" spans="1:10">
      <c r="A300" s="8" t="str">
        <f>"20205312118"</f>
        <v>20205312118</v>
      </c>
      <c r="B300" s="8" t="s">
        <v>27</v>
      </c>
      <c r="C300" s="8" t="str">
        <f>"尹菊"</f>
        <v>尹菊</v>
      </c>
      <c r="D300" s="8" t="str">
        <f>"女"</f>
        <v>女</v>
      </c>
      <c r="E300" s="8">
        <v>8</v>
      </c>
      <c r="F300" s="8" t="s">
        <v>12</v>
      </c>
      <c r="G300" s="8">
        <v>23</v>
      </c>
      <c r="H300" s="9">
        <v>81.12</v>
      </c>
      <c r="I300" s="10"/>
      <c r="J300" s="9">
        <v>81.12</v>
      </c>
    </row>
    <row r="301" customHeight="1" spans="1:10">
      <c r="A301" s="8" t="str">
        <f>"20205312101"</f>
        <v>20205312101</v>
      </c>
      <c r="B301" s="8" t="s">
        <v>27</v>
      </c>
      <c r="C301" s="8" t="str">
        <f>"唐晨"</f>
        <v>唐晨</v>
      </c>
      <c r="D301" s="8" t="str">
        <f>"女"</f>
        <v>女</v>
      </c>
      <c r="E301" s="8">
        <v>8</v>
      </c>
      <c r="F301" s="8" t="s">
        <v>12</v>
      </c>
      <c r="G301" s="8">
        <v>24</v>
      </c>
      <c r="H301" s="9">
        <v>80.7</v>
      </c>
      <c r="I301" s="10"/>
      <c r="J301" s="9">
        <v>80.7</v>
      </c>
    </row>
    <row r="302" customHeight="1" spans="1:10">
      <c r="A302" s="8" t="str">
        <f>"20205312115"</f>
        <v>20205312115</v>
      </c>
      <c r="B302" s="8" t="s">
        <v>27</v>
      </c>
      <c r="C302" s="8" t="str">
        <f>"张梦"</f>
        <v>张梦</v>
      </c>
      <c r="D302" s="8" t="str">
        <f>"女"</f>
        <v>女</v>
      </c>
      <c r="E302" s="8">
        <v>8</v>
      </c>
      <c r="F302" s="8" t="s">
        <v>12</v>
      </c>
      <c r="G302" s="8">
        <v>25</v>
      </c>
      <c r="H302" s="9">
        <v>73.72</v>
      </c>
      <c r="I302" s="10"/>
      <c r="J302" s="9">
        <v>73.72</v>
      </c>
    </row>
    <row r="303" customHeight="1" spans="1:10">
      <c r="A303" s="8" t="str">
        <f>"20205312104"</f>
        <v>20205312104</v>
      </c>
      <c r="B303" s="8" t="s">
        <v>27</v>
      </c>
      <c r="C303" s="8" t="str">
        <f>"党珂"</f>
        <v>党珂</v>
      </c>
      <c r="D303" s="8" t="str">
        <f>"女"</f>
        <v>女</v>
      </c>
      <c r="E303" s="8">
        <v>8</v>
      </c>
      <c r="F303" s="8" t="s">
        <v>12</v>
      </c>
      <c r="G303" s="8">
        <v>26</v>
      </c>
      <c r="H303" s="9">
        <v>76.1</v>
      </c>
      <c r="I303" s="10"/>
      <c r="J303" s="9">
        <v>76.1</v>
      </c>
    </row>
    <row r="304" customHeight="1" spans="1:10">
      <c r="A304" s="8" t="str">
        <f>"20200310124"</f>
        <v>20200310124</v>
      </c>
      <c r="B304" s="8" t="s">
        <v>28</v>
      </c>
      <c r="C304" s="8" t="str">
        <f>"徐清"</f>
        <v>徐清</v>
      </c>
      <c r="D304" s="8" t="str">
        <f>"女"</f>
        <v>女</v>
      </c>
      <c r="E304" s="8">
        <v>8</v>
      </c>
      <c r="F304" s="8" t="s">
        <v>13</v>
      </c>
      <c r="G304" s="8">
        <v>1</v>
      </c>
      <c r="H304" s="9">
        <v>74.64</v>
      </c>
      <c r="I304" s="10"/>
      <c r="J304" s="9">
        <v>74.64</v>
      </c>
    </row>
    <row r="305" customHeight="1" spans="1:10">
      <c r="A305" s="8" t="str">
        <f>"20200310207"</f>
        <v>20200310207</v>
      </c>
      <c r="B305" s="8" t="s">
        <v>28</v>
      </c>
      <c r="C305" s="8" t="str">
        <f>"刘千钧"</f>
        <v>刘千钧</v>
      </c>
      <c r="D305" s="8" t="str">
        <f>"男"</f>
        <v>男</v>
      </c>
      <c r="E305" s="8">
        <v>8</v>
      </c>
      <c r="F305" s="8" t="s">
        <v>13</v>
      </c>
      <c r="G305" s="8">
        <v>2</v>
      </c>
      <c r="H305" s="9">
        <v>73.1</v>
      </c>
      <c r="I305" s="10"/>
      <c r="J305" s="9">
        <v>73.1</v>
      </c>
    </row>
    <row r="306" customHeight="1" spans="1:10">
      <c r="A306" s="8" t="str">
        <f>"20200310213"</f>
        <v>20200310213</v>
      </c>
      <c r="B306" s="8" t="s">
        <v>28</v>
      </c>
      <c r="C306" s="8" t="str">
        <f>"陈阳璐"</f>
        <v>陈阳璐</v>
      </c>
      <c r="D306" s="8" t="str">
        <f t="shared" ref="D306:D334" si="17">"女"</f>
        <v>女</v>
      </c>
      <c r="E306" s="8">
        <v>8</v>
      </c>
      <c r="F306" s="8" t="s">
        <v>13</v>
      </c>
      <c r="G306" s="8">
        <v>4</v>
      </c>
      <c r="H306" s="9">
        <v>83.1</v>
      </c>
      <c r="I306" s="10"/>
      <c r="J306" s="9">
        <v>83.1</v>
      </c>
    </row>
    <row r="307" customHeight="1" spans="1:10">
      <c r="A307" s="8" t="str">
        <f>"20202310924"</f>
        <v>20202310924</v>
      </c>
      <c r="B307" s="8" t="s">
        <v>29</v>
      </c>
      <c r="C307" s="8" t="str">
        <f>"张安静"</f>
        <v>张安静</v>
      </c>
      <c r="D307" s="8" t="str">
        <f t="shared" si="17"/>
        <v>女</v>
      </c>
      <c r="E307" s="8">
        <v>8</v>
      </c>
      <c r="F307" s="8" t="s">
        <v>13</v>
      </c>
      <c r="G307" s="8">
        <v>5</v>
      </c>
      <c r="H307" s="9">
        <v>71.08</v>
      </c>
      <c r="I307" s="10"/>
      <c r="J307" s="9">
        <v>71.08</v>
      </c>
    </row>
    <row r="308" customHeight="1" spans="1:10">
      <c r="A308" s="8" t="str">
        <f>"20200310130"</f>
        <v>20200310130</v>
      </c>
      <c r="B308" s="8" t="s">
        <v>28</v>
      </c>
      <c r="C308" s="8" t="str">
        <f>"李平"</f>
        <v>李平</v>
      </c>
      <c r="D308" s="8" t="str">
        <f t="shared" si="17"/>
        <v>女</v>
      </c>
      <c r="E308" s="8">
        <v>8</v>
      </c>
      <c r="F308" s="8" t="s">
        <v>13</v>
      </c>
      <c r="G308" s="8">
        <v>6</v>
      </c>
      <c r="H308" s="9">
        <v>84.9</v>
      </c>
      <c r="I308" s="10"/>
      <c r="J308" s="9">
        <v>84.9</v>
      </c>
    </row>
    <row r="309" customHeight="1" spans="1:10">
      <c r="A309" s="8" t="str">
        <f>"20200310208"</f>
        <v>20200310208</v>
      </c>
      <c r="B309" s="8" t="s">
        <v>28</v>
      </c>
      <c r="C309" s="8" t="str">
        <f>"郭萌"</f>
        <v>郭萌</v>
      </c>
      <c r="D309" s="8" t="str">
        <f t="shared" si="17"/>
        <v>女</v>
      </c>
      <c r="E309" s="8">
        <v>8</v>
      </c>
      <c r="F309" s="8" t="s">
        <v>13</v>
      </c>
      <c r="G309" s="8">
        <v>7</v>
      </c>
      <c r="H309" s="9">
        <v>83.74</v>
      </c>
      <c r="I309" s="10"/>
      <c r="J309" s="9">
        <v>83.74</v>
      </c>
    </row>
    <row r="310" customHeight="1" spans="1:10">
      <c r="A310" s="8" t="str">
        <f>"20200310123"</f>
        <v>20200310123</v>
      </c>
      <c r="B310" s="8" t="s">
        <v>28</v>
      </c>
      <c r="C310" s="8" t="str">
        <f>"彭仙"</f>
        <v>彭仙</v>
      </c>
      <c r="D310" s="8" t="str">
        <f t="shared" si="17"/>
        <v>女</v>
      </c>
      <c r="E310" s="8">
        <v>8</v>
      </c>
      <c r="F310" s="8" t="s">
        <v>13</v>
      </c>
      <c r="G310" s="8">
        <v>8</v>
      </c>
      <c r="H310" s="9">
        <v>82.4</v>
      </c>
      <c r="I310" s="10"/>
      <c r="J310" s="9">
        <v>82.4</v>
      </c>
    </row>
    <row r="311" customHeight="1" spans="1:10">
      <c r="A311" s="8" t="str">
        <f>"20200310211"</f>
        <v>20200310211</v>
      </c>
      <c r="B311" s="8" t="s">
        <v>28</v>
      </c>
      <c r="C311" s="8" t="str">
        <f>"崔璨"</f>
        <v>崔璨</v>
      </c>
      <c r="D311" s="8" t="str">
        <f t="shared" si="17"/>
        <v>女</v>
      </c>
      <c r="E311" s="8">
        <v>8</v>
      </c>
      <c r="F311" s="8" t="s">
        <v>13</v>
      </c>
      <c r="G311" s="8">
        <v>9</v>
      </c>
      <c r="H311" s="9">
        <v>80.76</v>
      </c>
      <c r="I311" s="10"/>
      <c r="J311" s="9">
        <v>80.76</v>
      </c>
    </row>
    <row r="312" customHeight="1" spans="1:10">
      <c r="A312" s="8" t="str">
        <f>"20200310126"</f>
        <v>20200310126</v>
      </c>
      <c r="B312" s="8" t="s">
        <v>28</v>
      </c>
      <c r="C312" s="8" t="str">
        <f>"张雅捷"</f>
        <v>张雅捷</v>
      </c>
      <c r="D312" s="8" t="str">
        <f t="shared" si="17"/>
        <v>女</v>
      </c>
      <c r="E312" s="8">
        <v>8</v>
      </c>
      <c r="F312" s="8" t="s">
        <v>13</v>
      </c>
      <c r="G312" s="8">
        <v>10</v>
      </c>
      <c r="H312" s="9">
        <v>80.84</v>
      </c>
      <c r="I312" s="10"/>
      <c r="J312" s="9">
        <v>80.84</v>
      </c>
    </row>
    <row r="313" customHeight="1" spans="1:10">
      <c r="A313" s="8" t="str">
        <f>"20202310830"</f>
        <v>20202310830</v>
      </c>
      <c r="B313" s="8" t="s">
        <v>29</v>
      </c>
      <c r="C313" s="8" t="str">
        <f>"景飒"</f>
        <v>景飒</v>
      </c>
      <c r="D313" s="8" t="str">
        <f t="shared" si="17"/>
        <v>女</v>
      </c>
      <c r="E313" s="8">
        <v>8</v>
      </c>
      <c r="F313" s="8" t="s">
        <v>13</v>
      </c>
      <c r="G313" s="8">
        <v>11</v>
      </c>
      <c r="H313" s="9">
        <v>79.78</v>
      </c>
      <c r="I313" s="10"/>
      <c r="J313" s="9">
        <v>79.78</v>
      </c>
    </row>
    <row r="314" customHeight="1" spans="1:10">
      <c r="A314" s="8" t="str">
        <f>"20200310205"</f>
        <v>20200310205</v>
      </c>
      <c r="B314" s="8" t="s">
        <v>28</v>
      </c>
      <c r="C314" s="8" t="str">
        <f>"齐艳好"</f>
        <v>齐艳好</v>
      </c>
      <c r="D314" s="8" t="str">
        <f t="shared" si="17"/>
        <v>女</v>
      </c>
      <c r="E314" s="8">
        <v>8</v>
      </c>
      <c r="F314" s="8" t="s">
        <v>13</v>
      </c>
      <c r="G314" s="8">
        <v>12</v>
      </c>
      <c r="H314" s="9">
        <v>83.02</v>
      </c>
      <c r="I314" s="10"/>
      <c r="J314" s="9">
        <v>83.02</v>
      </c>
    </row>
    <row r="315" customHeight="1" spans="1:10">
      <c r="A315" s="8" t="str">
        <f>"20200310122"</f>
        <v>20200310122</v>
      </c>
      <c r="B315" s="8" t="s">
        <v>28</v>
      </c>
      <c r="C315" s="8" t="str">
        <f>"马孟秋"</f>
        <v>马孟秋</v>
      </c>
      <c r="D315" s="8" t="str">
        <f t="shared" si="17"/>
        <v>女</v>
      </c>
      <c r="E315" s="8">
        <v>8</v>
      </c>
      <c r="F315" s="8" t="s">
        <v>13</v>
      </c>
      <c r="G315" s="8">
        <v>13</v>
      </c>
      <c r="H315" s="9">
        <v>82.96</v>
      </c>
      <c r="I315" s="10"/>
      <c r="J315" s="9">
        <v>82.96</v>
      </c>
    </row>
    <row r="316" customHeight="1" spans="1:10">
      <c r="A316" s="8" t="str">
        <f>"20202310903"</f>
        <v>20202310903</v>
      </c>
      <c r="B316" s="8" t="s">
        <v>29</v>
      </c>
      <c r="C316" s="8" t="str">
        <f>"朱峰"</f>
        <v>朱峰</v>
      </c>
      <c r="D316" s="8" t="str">
        <f t="shared" si="17"/>
        <v>女</v>
      </c>
      <c r="E316" s="8">
        <v>8</v>
      </c>
      <c r="F316" s="8" t="s">
        <v>13</v>
      </c>
      <c r="G316" s="8">
        <v>14</v>
      </c>
      <c r="H316" s="9">
        <v>81.52</v>
      </c>
      <c r="I316" s="10"/>
      <c r="J316" s="9">
        <v>81.52</v>
      </c>
    </row>
    <row r="317" customHeight="1" spans="1:10">
      <c r="A317" s="8" t="str">
        <f>"20200310204"</f>
        <v>20200310204</v>
      </c>
      <c r="B317" s="8" t="s">
        <v>28</v>
      </c>
      <c r="C317" s="8" t="str">
        <f>"邢明月"</f>
        <v>邢明月</v>
      </c>
      <c r="D317" s="8" t="str">
        <f t="shared" si="17"/>
        <v>女</v>
      </c>
      <c r="E317" s="8">
        <v>8</v>
      </c>
      <c r="F317" s="8" t="s">
        <v>13</v>
      </c>
      <c r="G317" s="8">
        <v>15</v>
      </c>
      <c r="H317" s="9">
        <v>82.88</v>
      </c>
      <c r="I317" s="10"/>
      <c r="J317" s="9">
        <v>82.88</v>
      </c>
    </row>
    <row r="318" customHeight="1" spans="1:10">
      <c r="A318" s="8" t="str">
        <f>"20209326202"</f>
        <v>20209326202</v>
      </c>
      <c r="B318" s="8" t="s">
        <v>30</v>
      </c>
      <c r="C318" s="8" t="str">
        <f>"方茁"</f>
        <v>方茁</v>
      </c>
      <c r="D318" s="8" t="str">
        <f t="shared" si="17"/>
        <v>女</v>
      </c>
      <c r="E318" s="8">
        <v>8</v>
      </c>
      <c r="F318" s="8" t="s">
        <v>13</v>
      </c>
      <c r="G318" s="8">
        <v>17</v>
      </c>
      <c r="H318" s="9">
        <v>80.2</v>
      </c>
      <c r="I318" s="10"/>
      <c r="J318" s="9">
        <v>80.2</v>
      </c>
    </row>
    <row r="319" customHeight="1" spans="1:10">
      <c r="A319" s="8" t="str">
        <f>"20209326130"</f>
        <v>20209326130</v>
      </c>
      <c r="B319" s="8" t="s">
        <v>30</v>
      </c>
      <c r="C319" s="8" t="str">
        <f>"汪敏"</f>
        <v>汪敏</v>
      </c>
      <c r="D319" s="8" t="str">
        <f t="shared" si="17"/>
        <v>女</v>
      </c>
      <c r="E319" s="8">
        <v>8</v>
      </c>
      <c r="F319" s="8" t="s">
        <v>13</v>
      </c>
      <c r="G319" s="8">
        <v>19</v>
      </c>
      <c r="H319" s="9">
        <v>82.98</v>
      </c>
      <c r="I319" s="10"/>
      <c r="J319" s="9">
        <v>82.98</v>
      </c>
    </row>
    <row r="320" customHeight="1" spans="1:10">
      <c r="A320" s="8" t="str">
        <f>"20209326206"</f>
        <v>20209326206</v>
      </c>
      <c r="B320" s="8" t="s">
        <v>30</v>
      </c>
      <c r="C320" s="8" t="str">
        <f>"李晓"</f>
        <v>李晓</v>
      </c>
      <c r="D320" s="8" t="str">
        <f t="shared" si="17"/>
        <v>女</v>
      </c>
      <c r="E320" s="8">
        <v>8</v>
      </c>
      <c r="F320" s="8" t="s">
        <v>13</v>
      </c>
      <c r="G320" s="8">
        <v>20</v>
      </c>
      <c r="H320" s="9">
        <v>73.08</v>
      </c>
      <c r="I320" s="10"/>
      <c r="J320" s="9">
        <v>73.08</v>
      </c>
    </row>
    <row r="321" customHeight="1" spans="1:10">
      <c r="A321" s="8" t="str">
        <f>"20206323904"</f>
        <v>20206323904</v>
      </c>
      <c r="B321" s="8" t="s">
        <v>31</v>
      </c>
      <c r="C321" s="8" t="str">
        <f>"张丹丹"</f>
        <v>张丹丹</v>
      </c>
      <c r="D321" s="8" t="str">
        <f t="shared" si="17"/>
        <v>女</v>
      </c>
      <c r="E321" s="8">
        <v>9</v>
      </c>
      <c r="F321" s="8" t="s">
        <v>12</v>
      </c>
      <c r="G321" s="8">
        <v>1</v>
      </c>
      <c r="H321" s="9">
        <v>73.64</v>
      </c>
      <c r="I321" s="10"/>
      <c r="J321" s="9">
        <v>73.64</v>
      </c>
    </row>
    <row r="322" customHeight="1" spans="1:10">
      <c r="A322" s="8" t="str">
        <f>"20206324105"</f>
        <v>20206324105</v>
      </c>
      <c r="B322" s="8" t="s">
        <v>31</v>
      </c>
      <c r="C322" s="8" t="str">
        <f>"宋金阳"</f>
        <v>宋金阳</v>
      </c>
      <c r="D322" s="8" t="str">
        <f t="shared" si="17"/>
        <v>女</v>
      </c>
      <c r="E322" s="8">
        <v>9</v>
      </c>
      <c r="F322" s="8" t="s">
        <v>12</v>
      </c>
      <c r="G322" s="8">
        <v>2</v>
      </c>
      <c r="H322" s="9">
        <v>78.24</v>
      </c>
      <c r="I322" s="10"/>
      <c r="J322" s="9">
        <v>78.24</v>
      </c>
    </row>
    <row r="323" customHeight="1" spans="1:10">
      <c r="A323" s="8" t="str">
        <f>"20206324023"</f>
        <v>20206324023</v>
      </c>
      <c r="B323" s="8" t="s">
        <v>31</v>
      </c>
      <c r="C323" s="8" t="str">
        <f>"沈梦丹"</f>
        <v>沈梦丹</v>
      </c>
      <c r="D323" s="8" t="str">
        <f t="shared" si="17"/>
        <v>女</v>
      </c>
      <c r="E323" s="8">
        <v>9</v>
      </c>
      <c r="F323" s="8" t="s">
        <v>12</v>
      </c>
      <c r="G323" s="8">
        <v>3</v>
      </c>
      <c r="H323" s="9">
        <v>87.88</v>
      </c>
      <c r="I323" s="10"/>
      <c r="J323" s="9">
        <v>87.88</v>
      </c>
    </row>
    <row r="324" customHeight="1" spans="1:10">
      <c r="A324" s="8" t="str">
        <f>"20206324011"</f>
        <v>20206324011</v>
      </c>
      <c r="B324" s="8" t="s">
        <v>31</v>
      </c>
      <c r="C324" s="8" t="str">
        <f>"曹丽"</f>
        <v>曹丽</v>
      </c>
      <c r="D324" s="8" t="str">
        <f t="shared" si="17"/>
        <v>女</v>
      </c>
      <c r="E324" s="8">
        <v>9</v>
      </c>
      <c r="F324" s="8" t="s">
        <v>12</v>
      </c>
      <c r="G324" s="8">
        <v>4</v>
      </c>
      <c r="H324" s="9">
        <v>78.62</v>
      </c>
      <c r="I324" s="10"/>
      <c r="J324" s="9">
        <v>78.62</v>
      </c>
    </row>
    <row r="325" customHeight="1" spans="1:10">
      <c r="A325" s="8" t="str">
        <f>"20206324026"</f>
        <v>20206324026</v>
      </c>
      <c r="B325" s="8" t="s">
        <v>31</v>
      </c>
      <c r="C325" s="8" t="str">
        <f>"曹钰"</f>
        <v>曹钰</v>
      </c>
      <c r="D325" s="8" t="str">
        <f t="shared" si="17"/>
        <v>女</v>
      </c>
      <c r="E325" s="8">
        <v>9</v>
      </c>
      <c r="F325" s="8" t="s">
        <v>12</v>
      </c>
      <c r="G325" s="8">
        <v>5</v>
      </c>
      <c r="H325" s="9">
        <v>87.42</v>
      </c>
      <c r="I325" s="10"/>
      <c r="J325" s="9">
        <v>87.42</v>
      </c>
    </row>
    <row r="326" customHeight="1" spans="1:10">
      <c r="A326" s="8" t="str">
        <f>"20206323915"</f>
        <v>20206323915</v>
      </c>
      <c r="B326" s="8" t="s">
        <v>31</v>
      </c>
      <c r="C326" s="8" t="str">
        <f>"王喜燕"</f>
        <v>王喜燕</v>
      </c>
      <c r="D326" s="8" t="str">
        <f t="shared" si="17"/>
        <v>女</v>
      </c>
      <c r="E326" s="8">
        <v>9</v>
      </c>
      <c r="F326" s="8" t="s">
        <v>12</v>
      </c>
      <c r="G326" s="8">
        <v>6</v>
      </c>
      <c r="H326" s="9">
        <v>78.12</v>
      </c>
      <c r="I326" s="10"/>
      <c r="J326" s="9">
        <v>78.12</v>
      </c>
    </row>
    <row r="327" customHeight="1" spans="1:10">
      <c r="A327" s="8" t="str">
        <f>"20206324017"</f>
        <v>20206324017</v>
      </c>
      <c r="B327" s="8" t="s">
        <v>31</v>
      </c>
      <c r="C327" s="8" t="str">
        <f>"丛瑶瑶"</f>
        <v>丛瑶瑶</v>
      </c>
      <c r="D327" s="8" t="str">
        <f t="shared" si="17"/>
        <v>女</v>
      </c>
      <c r="E327" s="8">
        <v>9</v>
      </c>
      <c r="F327" s="8" t="s">
        <v>12</v>
      </c>
      <c r="G327" s="8">
        <v>7</v>
      </c>
      <c r="H327" s="9">
        <v>88.48</v>
      </c>
      <c r="I327" s="10"/>
      <c r="J327" s="9">
        <v>88.48</v>
      </c>
    </row>
    <row r="328" customHeight="1" spans="1:10">
      <c r="A328" s="8" t="str">
        <f>"20206323916"</f>
        <v>20206323916</v>
      </c>
      <c r="B328" s="8" t="s">
        <v>31</v>
      </c>
      <c r="C328" s="8" t="str">
        <f>"赵雪妍"</f>
        <v>赵雪妍</v>
      </c>
      <c r="D328" s="8" t="str">
        <f t="shared" si="17"/>
        <v>女</v>
      </c>
      <c r="E328" s="8">
        <v>9</v>
      </c>
      <c r="F328" s="8" t="s">
        <v>12</v>
      </c>
      <c r="G328" s="8">
        <v>8</v>
      </c>
      <c r="H328" s="9">
        <v>82.9</v>
      </c>
      <c r="I328" s="10"/>
      <c r="J328" s="9">
        <v>82.9</v>
      </c>
    </row>
    <row r="329" customHeight="1" spans="1:10">
      <c r="A329" s="8" t="str">
        <f>"20206324116"</f>
        <v>20206324116</v>
      </c>
      <c r="B329" s="8" t="s">
        <v>31</v>
      </c>
      <c r="C329" s="8" t="str">
        <f>"司亚楠"</f>
        <v>司亚楠</v>
      </c>
      <c r="D329" s="8" t="str">
        <f t="shared" si="17"/>
        <v>女</v>
      </c>
      <c r="E329" s="8">
        <v>9</v>
      </c>
      <c r="F329" s="8" t="s">
        <v>12</v>
      </c>
      <c r="G329" s="8">
        <v>9</v>
      </c>
      <c r="H329" s="9">
        <v>69.76</v>
      </c>
      <c r="I329" s="10"/>
      <c r="J329" s="9">
        <v>69.76</v>
      </c>
    </row>
    <row r="330" customHeight="1" spans="1:10">
      <c r="A330" s="8" t="str">
        <f>"20206323922"</f>
        <v>20206323922</v>
      </c>
      <c r="B330" s="8" t="s">
        <v>31</v>
      </c>
      <c r="C330" s="8" t="str">
        <f>"刘妍"</f>
        <v>刘妍</v>
      </c>
      <c r="D330" s="8" t="str">
        <f t="shared" si="17"/>
        <v>女</v>
      </c>
      <c r="E330" s="8">
        <v>9</v>
      </c>
      <c r="F330" s="8" t="s">
        <v>12</v>
      </c>
      <c r="G330" s="8">
        <v>10</v>
      </c>
      <c r="H330" s="9">
        <v>84.52</v>
      </c>
      <c r="I330" s="10"/>
      <c r="J330" s="9">
        <v>84.52</v>
      </c>
    </row>
    <row r="331" customHeight="1" spans="1:10">
      <c r="A331" s="8" t="str">
        <f>"20206323914"</f>
        <v>20206323914</v>
      </c>
      <c r="B331" s="8" t="s">
        <v>31</v>
      </c>
      <c r="C331" s="8" t="str">
        <f>"黄瑶"</f>
        <v>黄瑶</v>
      </c>
      <c r="D331" s="8" t="str">
        <f t="shared" si="17"/>
        <v>女</v>
      </c>
      <c r="E331" s="8">
        <v>9</v>
      </c>
      <c r="F331" s="8" t="s">
        <v>12</v>
      </c>
      <c r="G331" s="8">
        <v>11</v>
      </c>
      <c r="H331" s="9">
        <v>76.86</v>
      </c>
      <c r="I331" s="10"/>
      <c r="J331" s="9">
        <v>76.86</v>
      </c>
    </row>
    <row r="332" customHeight="1" spans="1:10">
      <c r="A332" s="8" t="str">
        <f>"20206323910"</f>
        <v>20206323910</v>
      </c>
      <c r="B332" s="8" t="s">
        <v>31</v>
      </c>
      <c r="C332" s="8" t="str">
        <f>"王天彩"</f>
        <v>王天彩</v>
      </c>
      <c r="D332" s="8" t="str">
        <f t="shared" si="17"/>
        <v>女</v>
      </c>
      <c r="E332" s="8">
        <v>9</v>
      </c>
      <c r="F332" s="8" t="s">
        <v>12</v>
      </c>
      <c r="G332" s="8">
        <v>12</v>
      </c>
      <c r="H332" s="9">
        <v>79.32</v>
      </c>
      <c r="I332" s="10"/>
      <c r="J332" s="9">
        <v>79.32</v>
      </c>
    </row>
    <row r="333" customHeight="1" spans="1:10">
      <c r="A333" s="8" t="str">
        <f>"20206323917"</f>
        <v>20206323917</v>
      </c>
      <c r="B333" s="8" t="s">
        <v>31</v>
      </c>
      <c r="C333" s="8" t="str">
        <f>"张玉庚"</f>
        <v>张玉庚</v>
      </c>
      <c r="D333" s="8" t="str">
        <f t="shared" si="17"/>
        <v>女</v>
      </c>
      <c r="E333" s="8">
        <v>9</v>
      </c>
      <c r="F333" s="8" t="s">
        <v>12</v>
      </c>
      <c r="G333" s="8">
        <v>13</v>
      </c>
      <c r="H333" s="9">
        <v>83.28</v>
      </c>
      <c r="I333" s="10"/>
      <c r="J333" s="9">
        <v>83.28</v>
      </c>
    </row>
    <row r="334" customHeight="1" spans="1:10">
      <c r="A334" s="8" t="str">
        <f>"20206324114"</f>
        <v>20206324114</v>
      </c>
      <c r="B334" s="8" t="s">
        <v>31</v>
      </c>
      <c r="C334" s="8" t="str">
        <f>"王琳琳"</f>
        <v>王琳琳</v>
      </c>
      <c r="D334" s="8" t="str">
        <f t="shared" si="17"/>
        <v>女</v>
      </c>
      <c r="E334" s="8">
        <v>9</v>
      </c>
      <c r="F334" s="8" t="s">
        <v>12</v>
      </c>
      <c r="G334" s="8">
        <v>14</v>
      </c>
      <c r="H334" s="9">
        <v>85.68</v>
      </c>
      <c r="I334" s="10"/>
      <c r="J334" s="9">
        <v>85.68</v>
      </c>
    </row>
    <row r="335" customHeight="1" spans="1:10">
      <c r="A335" s="8" t="str">
        <f>"20206324018"</f>
        <v>20206324018</v>
      </c>
      <c r="B335" s="8" t="s">
        <v>31</v>
      </c>
      <c r="C335" s="8" t="str">
        <f>"陈家康"</f>
        <v>陈家康</v>
      </c>
      <c r="D335" s="8" t="str">
        <f>"男"</f>
        <v>男</v>
      </c>
      <c r="E335" s="8">
        <v>9</v>
      </c>
      <c r="F335" s="8" t="s">
        <v>12</v>
      </c>
      <c r="G335" s="8">
        <v>15</v>
      </c>
      <c r="H335" s="9">
        <v>84.52</v>
      </c>
      <c r="I335" s="10"/>
      <c r="J335" s="9">
        <v>84.52</v>
      </c>
    </row>
    <row r="336" customHeight="1" spans="1:10">
      <c r="A336" s="8" t="str">
        <f>"20206323907"</f>
        <v>20206323907</v>
      </c>
      <c r="B336" s="8" t="s">
        <v>31</v>
      </c>
      <c r="C336" s="8" t="str">
        <f>"孟璠"</f>
        <v>孟璠</v>
      </c>
      <c r="D336" s="8" t="str">
        <f t="shared" ref="D336:D355" si="18">"女"</f>
        <v>女</v>
      </c>
      <c r="E336" s="8">
        <v>9</v>
      </c>
      <c r="F336" s="8" t="s">
        <v>12</v>
      </c>
      <c r="G336" s="8">
        <v>16</v>
      </c>
      <c r="H336" s="9">
        <v>85.26</v>
      </c>
      <c r="I336" s="10"/>
      <c r="J336" s="9">
        <v>85.26</v>
      </c>
    </row>
    <row r="337" customHeight="1" spans="1:10">
      <c r="A337" s="8" t="str">
        <f>"20206324027"</f>
        <v>20206324027</v>
      </c>
      <c r="B337" s="8" t="s">
        <v>31</v>
      </c>
      <c r="C337" s="8" t="str">
        <f>"杨硕"</f>
        <v>杨硕</v>
      </c>
      <c r="D337" s="8" t="str">
        <f t="shared" si="18"/>
        <v>女</v>
      </c>
      <c r="E337" s="8">
        <v>9</v>
      </c>
      <c r="F337" s="8" t="s">
        <v>12</v>
      </c>
      <c r="G337" s="8">
        <v>17</v>
      </c>
      <c r="H337" s="9">
        <v>85.36</v>
      </c>
      <c r="I337" s="10"/>
      <c r="J337" s="9">
        <v>85.36</v>
      </c>
    </row>
    <row r="338" customHeight="1" spans="1:10">
      <c r="A338" s="8" t="str">
        <f>"20206324028"</f>
        <v>20206324028</v>
      </c>
      <c r="B338" s="8" t="s">
        <v>31</v>
      </c>
      <c r="C338" s="8" t="str">
        <f>"邱琪琳"</f>
        <v>邱琪琳</v>
      </c>
      <c r="D338" s="8" t="str">
        <f t="shared" si="18"/>
        <v>女</v>
      </c>
      <c r="E338" s="8">
        <v>9</v>
      </c>
      <c r="F338" s="8" t="s">
        <v>12</v>
      </c>
      <c r="G338" s="8">
        <v>18</v>
      </c>
      <c r="H338" s="9">
        <v>80.4</v>
      </c>
      <c r="I338" s="10"/>
      <c r="J338" s="9">
        <v>80.4</v>
      </c>
    </row>
    <row r="339" customHeight="1" spans="1:10">
      <c r="A339" s="8" t="str">
        <f>"20206323911"</f>
        <v>20206323911</v>
      </c>
      <c r="B339" s="8" t="s">
        <v>31</v>
      </c>
      <c r="C339" s="8" t="str">
        <f>"岳萌"</f>
        <v>岳萌</v>
      </c>
      <c r="D339" s="8" t="str">
        <f t="shared" si="18"/>
        <v>女</v>
      </c>
      <c r="E339" s="8">
        <v>9</v>
      </c>
      <c r="F339" s="8" t="s">
        <v>12</v>
      </c>
      <c r="G339" s="8">
        <v>19</v>
      </c>
      <c r="H339" s="9">
        <v>82.36</v>
      </c>
      <c r="I339" s="10"/>
      <c r="J339" s="9">
        <v>82.36</v>
      </c>
    </row>
    <row r="340" customHeight="1" spans="1:10">
      <c r="A340" s="8" t="str">
        <f>"20206324030"</f>
        <v>20206324030</v>
      </c>
      <c r="B340" s="8" t="s">
        <v>31</v>
      </c>
      <c r="C340" s="8" t="str">
        <f>"苏艳艳"</f>
        <v>苏艳艳</v>
      </c>
      <c r="D340" s="8" t="str">
        <f t="shared" si="18"/>
        <v>女</v>
      </c>
      <c r="E340" s="8">
        <v>9</v>
      </c>
      <c r="F340" s="8" t="s">
        <v>12</v>
      </c>
      <c r="G340" s="8">
        <v>20</v>
      </c>
      <c r="H340" s="9">
        <v>80.44</v>
      </c>
      <c r="I340" s="10"/>
      <c r="J340" s="9">
        <v>80.44</v>
      </c>
    </row>
    <row r="341" customHeight="1" spans="1:10">
      <c r="A341" s="8" t="str">
        <f>"20206324025"</f>
        <v>20206324025</v>
      </c>
      <c r="B341" s="8" t="s">
        <v>31</v>
      </c>
      <c r="C341" s="8" t="str">
        <f>"张涵"</f>
        <v>张涵</v>
      </c>
      <c r="D341" s="8" t="str">
        <f t="shared" si="18"/>
        <v>女</v>
      </c>
      <c r="E341" s="8">
        <v>9</v>
      </c>
      <c r="F341" s="8" t="s">
        <v>12</v>
      </c>
      <c r="G341" s="8">
        <v>21</v>
      </c>
      <c r="H341" s="9">
        <v>82.16</v>
      </c>
      <c r="I341" s="10"/>
      <c r="J341" s="9">
        <v>82.16</v>
      </c>
    </row>
    <row r="342" customHeight="1" spans="1:10">
      <c r="A342" s="8" t="str">
        <f>"20206324010"</f>
        <v>20206324010</v>
      </c>
      <c r="B342" s="8" t="s">
        <v>31</v>
      </c>
      <c r="C342" s="8" t="str">
        <f>"崔月阳"</f>
        <v>崔月阳</v>
      </c>
      <c r="D342" s="8" t="str">
        <f t="shared" si="18"/>
        <v>女</v>
      </c>
      <c r="E342" s="8">
        <v>9</v>
      </c>
      <c r="F342" s="8" t="s">
        <v>12</v>
      </c>
      <c r="G342" s="8">
        <v>22</v>
      </c>
      <c r="H342" s="9">
        <v>82.16</v>
      </c>
      <c r="I342" s="10"/>
      <c r="J342" s="9">
        <v>82.16</v>
      </c>
    </row>
    <row r="343" customHeight="1" spans="1:10">
      <c r="A343" s="8" t="str">
        <f>"20206323924"</f>
        <v>20206323924</v>
      </c>
      <c r="B343" s="8" t="s">
        <v>31</v>
      </c>
      <c r="C343" s="8" t="str">
        <f>"王羽蓉"</f>
        <v>王羽蓉</v>
      </c>
      <c r="D343" s="8" t="str">
        <f t="shared" si="18"/>
        <v>女</v>
      </c>
      <c r="E343" s="8">
        <v>9</v>
      </c>
      <c r="F343" s="8" t="s">
        <v>12</v>
      </c>
      <c r="G343" s="8">
        <v>23</v>
      </c>
      <c r="H343" s="9">
        <v>79.2</v>
      </c>
      <c r="I343" s="10"/>
      <c r="J343" s="9">
        <v>79.2</v>
      </c>
    </row>
    <row r="344" customHeight="1" spans="1:10">
      <c r="A344" s="8" t="str">
        <f>"20206324101"</f>
        <v>20206324101</v>
      </c>
      <c r="B344" s="8" t="s">
        <v>31</v>
      </c>
      <c r="C344" s="8" t="str">
        <f>"崔静"</f>
        <v>崔静</v>
      </c>
      <c r="D344" s="8" t="str">
        <f t="shared" si="18"/>
        <v>女</v>
      </c>
      <c r="E344" s="8">
        <v>9</v>
      </c>
      <c r="F344" s="8" t="s">
        <v>12</v>
      </c>
      <c r="G344" s="8">
        <v>24</v>
      </c>
      <c r="H344" s="9">
        <v>76.32</v>
      </c>
      <c r="I344" s="10"/>
      <c r="J344" s="9">
        <v>76.32</v>
      </c>
    </row>
    <row r="345" customHeight="1" spans="1:10">
      <c r="A345" s="8" t="str">
        <f>"20206324104"</f>
        <v>20206324104</v>
      </c>
      <c r="B345" s="8" t="s">
        <v>31</v>
      </c>
      <c r="C345" s="8" t="str">
        <f>"任黎明"</f>
        <v>任黎明</v>
      </c>
      <c r="D345" s="8" t="str">
        <f t="shared" si="18"/>
        <v>女</v>
      </c>
      <c r="E345" s="8">
        <v>9</v>
      </c>
      <c r="F345" s="8" t="s">
        <v>13</v>
      </c>
      <c r="G345" s="8">
        <v>1</v>
      </c>
      <c r="H345" s="9">
        <v>84.72</v>
      </c>
      <c r="I345" s="10"/>
      <c r="J345" s="9">
        <v>84.72</v>
      </c>
    </row>
    <row r="346" customHeight="1" spans="1:10">
      <c r="A346" s="8" t="str">
        <f>"20206324012"</f>
        <v>20206324012</v>
      </c>
      <c r="B346" s="8" t="s">
        <v>31</v>
      </c>
      <c r="C346" s="8" t="str">
        <f>"姜禹"</f>
        <v>姜禹</v>
      </c>
      <c r="D346" s="8" t="str">
        <f t="shared" si="18"/>
        <v>女</v>
      </c>
      <c r="E346" s="8">
        <v>9</v>
      </c>
      <c r="F346" s="8" t="s">
        <v>13</v>
      </c>
      <c r="G346" s="8">
        <v>2</v>
      </c>
      <c r="H346" s="9">
        <v>79.98</v>
      </c>
      <c r="I346" s="10"/>
      <c r="J346" s="9">
        <v>79.98</v>
      </c>
    </row>
    <row r="347" customHeight="1" spans="1:10">
      <c r="A347" s="8" t="str">
        <f>"20206324014"</f>
        <v>20206324014</v>
      </c>
      <c r="B347" s="8" t="s">
        <v>31</v>
      </c>
      <c r="C347" s="8" t="str">
        <f>"杨思贤"</f>
        <v>杨思贤</v>
      </c>
      <c r="D347" s="8" t="str">
        <f t="shared" si="18"/>
        <v>女</v>
      </c>
      <c r="E347" s="8">
        <v>9</v>
      </c>
      <c r="F347" s="8" t="s">
        <v>13</v>
      </c>
      <c r="G347" s="8">
        <v>3</v>
      </c>
      <c r="H347" s="9">
        <v>75.5</v>
      </c>
      <c r="I347" s="10"/>
      <c r="J347" s="9">
        <v>75.5</v>
      </c>
    </row>
    <row r="348" customHeight="1" spans="1:10">
      <c r="A348" s="8" t="str">
        <f>"20206324007"</f>
        <v>20206324007</v>
      </c>
      <c r="B348" s="8" t="s">
        <v>31</v>
      </c>
      <c r="C348" s="8" t="str">
        <f>"郑雨"</f>
        <v>郑雨</v>
      </c>
      <c r="D348" s="8" t="str">
        <f t="shared" si="18"/>
        <v>女</v>
      </c>
      <c r="E348" s="8">
        <v>9</v>
      </c>
      <c r="F348" s="8" t="s">
        <v>13</v>
      </c>
      <c r="G348" s="8">
        <v>4</v>
      </c>
      <c r="H348" s="9">
        <v>80.48</v>
      </c>
      <c r="I348" s="10"/>
      <c r="J348" s="9">
        <v>80.48</v>
      </c>
    </row>
    <row r="349" customHeight="1" spans="1:10">
      <c r="A349" s="8" t="str">
        <f>"20206323925"</f>
        <v>20206323925</v>
      </c>
      <c r="B349" s="8" t="s">
        <v>31</v>
      </c>
      <c r="C349" s="8" t="str">
        <f>"许晴"</f>
        <v>许晴</v>
      </c>
      <c r="D349" s="8" t="str">
        <f t="shared" si="18"/>
        <v>女</v>
      </c>
      <c r="E349" s="8">
        <v>9</v>
      </c>
      <c r="F349" s="8" t="s">
        <v>13</v>
      </c>
      <c r="G349" s="8">
        <v>5</v>
      </c>
      <c r="H349" s="9">
        <v>78.32</v>
      </c>
      <c r="I349" s="10"/>
      <c r="J349" s="9">
        <v>78.32</v>
      </c>
    </row>
    <row r="350" customHeight="1" spans="1:10">
      <c r="A350" s="8" t="str">
        <f>"20206323913"</f>
        <v>20206323913</v>
      </c>
      <c r="B350" s="8" t="s">
        <v>31</v>
      </c>
      <c r="C350" s="8" t="str">
        <f>"高凌晨"</f>
        <v>高凌晨</v>
      </c>
      <c r="D350" s="8" t="str">
        <f t="shared" si="18"/>
        <v>女</v>
      </c>
      <c r="E350" s="8">
        <v>9</v>
      </c>
      <c r="F350" s="8" t="s">
        <v>13</v>
      </c>
      <c r="G350" s="8">
        <v>6</v>
      </c>
      <c r="H350" s="9">
        <v>76.34</v>
      </c>
      <c r="I350" s="10"/>
      <c r="J350" s="9">
        <v>76.34</v>
      </c>
    </row>
    <row r="351" customHeight="1" spans="1:10">
      <c r="A351" s="8" t="str">
        <f>"20206323912"</f>
        <v>20206323912</v>
      </c>
      <c r="B351" s="8" t="s">
        <v>31</v>
      </c>
      <c r="C351" s="8" t="str">
        <f>"尹俊梅"</f>
        <v>尹俊梅</v>
      </c>
      <c r="D351" s="8" t="str">
        <f t="shared" si="18"/>
        <v>女</v>
      </c>
      <c r="E351" s="8">
        <v>9</v>
      </c>
      <c r="F351" s="8" t="s">
        <v>13</v>
      </c>
      <c r="G351" s="8">
        <v>7</v>
      </c>
      <c r="H351" s="9">
        <v>80.46</v>
      </c>
      <c r="I351" s="10"/>
      <c r="J351" s="9">
        <v>80.46</v>
      </c>
    </row>
    <row r="352" customHeight="1" spans="1:10">
      <c r="A352" s="8" t="str">
        <f>"20206324004"</f>
        <v>20206324004</v>
      </c>
      <c r="B352" s="8" t="s">
        <v>31</v>
      </c>
      <c r="C352" s="8" t="str">
        <f>"刘伟业"</f>
        <v>刘伟业</v>
      </c>
      <c r="D352" s="8" t="str">
        <f t="shared" si="18"/>
        <v>女</v>
      </c>
      <c r="E352" s="8">
        <v>9</v>
      </c>
      <c r="F352" s="8" t="s">
        <v>13</v>
      </c>
      <c r="G352" s="8">
        <v>9</v>
      </c>
      <c r="H352" s="9">
        <v>81.56</v>
      </c>
      <c r="I352" s="10"/>
      <c r="J352" s="9">
        <v>81.56</v>
      </c>
    </row>
    <row r="353" customHeight="1" spans="1:10">
      <c r="A353" s="8" t="str">
        <f>"20206324115"</f>
        <v>20206324115</v>
      </c>
      <c r="B353" s="8" t="s">
        <v>31</v>
      </c>
      <c r="C353" s="8" t="str">
        <f>"王晓征"</f>
        <v>王晓征</v>
      </c>
      <c r="D353" s="8" t="str">
        <f t="shared" si="18"/>
        <v>女</v>
      </c>
      <c r="E353" s="8">
        <v>9</v>
      </c>
      <c r="F353" s="8" t="s">
        <v>13</v>
      </c>
      <c r="G353" s="8">
        <v>11</v>
      </c>
      <c r="H353" s="9">
        <v>85.88</v>
      </c>
      <c r="I353" s="10"/>
      <c r="J353" s="9">
        <v>85.88</v>
      </c>
    </row>
    <row r="354" customHeight="1" spans="1:10">
      <c r="A354" s="8" t="str">
        <f>"20206324024"</f>
        <v>20206324024</v>
      </c>
      <c r="B354" s="8" t="s">
        <v>31</v>
      </c>
      <c r="C354" s="8" t="str">
        <f>"王娟"</f>
        <v>王娟</v>
      </c>
      <c r="D354" s="8" t="str">
        <f t="shared" si="18"/>
        <v>女</v>
      </c>
      <c r="E354" s="8">
        <v>9</v>
      </c>
      <c r="F354" s="8" t="s">
        <v>13</v>
      </c>
      <c r="G354" s="8">
        <v>12</v>
      </c>
      <c r="H354" s="9">
        <v>81.4</v>
      </c>
      <c r="I354" s="10"/>
      <c r="J354" s="9">
        <v>81.4</v>
      </c>
    </row>
    <row r="355" customHeight="1" spans="1:10">
      <c r="A355" s="8" t="str">
        <f>"20206323927"</f>
        <v>20206323927</v>
      </c>
      <c r="B355" s="8" t="s">
        <v>31</v>
      </c>
      <c r="C355" s="8" t="str">
        <f>"褚泉冰"</f>
        <v>褚泉冰</v>
      </c>
      <c r="D355" s="8" t="str">
        <f t="shared" si="18"/>
        <v>女</v>
      </c>
      <c r="E355" s="8">
        <v>9</v>
      </c>
      <c r="F355" s="8" t="s">
        <v>13</v>
      </c>
      <c r="G355" s="8">
        <v>13</v>
      </c>
      <c r="H355" s="9">
        <v>85.08</v>
      </c>
      <c r="I355" s="10"/>
      <c r="J355" s="9">
        <v>85.08</v>
      </c>
    </row>
    <row r="356" customHeight="1" spans="1:10">
      <c r="A356" s="8" t="s">
        <v>32</v>
      </c>
      <c r="B356" s="8" t="s">
        <v>30</v>
      </c>
      <c r="C356" s="8" t="s">
        <v>33</v>
      </c>
      <c r="D356" s="8" t="s">
        <v>34</v>
      </c>
      <c r="E356" s="8">
        <v>9</v>
      </c>
      <c r="F356" s="8" t="s">
        <v>13</v>
      </c>
      <c r="G356" s="8">
        <v>14</v>
      </c>
      <c r="H356" s="9">
        <v>77.08</v>
      </c>
      <c r="I356" s="10"/>
      <c r="J356" s="9">
        <v>77.08</v>
      </c>
    </row>
    <row r="357" customHeight="1" spans="1:10">
      <c r="A357" s="8" t="str">
        <f>"20206323919"</f>
        <v>20206323919</v>
      </c>
      <c r="B357" s="8" t="s">
        <v>31</v>
      </c>
      <c r="C357" s="8" t="str">
        <f>"白君兰"</f>
        <v>白君兰</v>
      </c>
      <c r="D357" s="8" t="str">
        <f t="shared" ref="D357:D362" si="19">"女"</f>
        <v>女</v>
      </c>
      <c r="E357" s="8">
        <v>9</v>
      </c>
      <c r="F357" s="8" t="s">
        <v>13</v>
      </c>
      <c r="G357" s="8">
        <v>15</v>
      </c>
      <c r="H357" s="9">
        <v>77.96</v>
      </c>
      <c r="I357" s="10"/>
      <c r="J357" s="9">
        <v>77.96</v>
      </c>
    </row>
    <row r="358" customHeight="1" spans="1:10">
      <c r="A358" s="8" t="str">
        <f>"20206324113"</f>
        <v>20206324113</v>
      </c>
      <c r="B358" s="8" t="s">
        <v>31</v>
      </c>
      <c r="C358" s="8" t="str">
        <f>"殷雅婷"</f>
        <v>殷雅婷</v>
      </c>
      <c r="D358" s="8" t="str">
        <f t="shared" si="19"/>
        <v>女</v>
      </c>
      <c r="E358" s="8">
        <v>9</v>
      </c>
      <c r="F358" s="8" t="s">
        <v>13</v>
      </c>
      <c r="G358" s="8">
        <v>16</v>
      </c>
      <c r="H358" s="9">
        <v>83.54</v>
      </c>
      <c r="I358" s="10"/>
      <c r="J358" s="9">
        <v>83.54</v>
      </c>
    </row>
    <row r="359" customHeight="1" spans="1:10">
      <c r="A359" s="8" t="str">
        <f>"20206324111"</f>
        <v>20206324111</v>
      </c>
      <c r="B359" s="8" t="s">
        <v>31</v>
      </c>
      <c r="C359" s="8" t="str">
        <f>"杜晓旭"</f>
        <v>杜晓旭</v>
      </c>
      <c r="D359" s="8" t="str">
        <f t="shared" si="19"/>
        <v>女</v>
      </c>
      <c r="E359" s="8">
        <v>9</v>
      </c>
      <c r="F359" s="8" t="s">
        <v>13</v>
      </c>
      <c r="G359" s="8">
        <v>17</v>
      </c>
      <c r="H359" s="9">
        <v>82.52</v>
      </c>
      <c r="I359" s="10"/>
      <c r="J359" s="9">
        <v>82.52</v>
      </c>
    </row>
    <row r="360" customHeight="1" spans="1:10">
      <c r="A360" s="8" t="str">
        <f>"20206324001"</f>
        <v>20206324001</v>
      </c>
      <c r="B360" s="8" t="s">
        <v>31</v>
      </c>
      <c r="C360" s="8" t="str">
        <f>"葛宇华"</f>
        <v>葛宇华</v>
      </c>
      <c r="D360" s="8" t="str">
        <f t="shared" si="19"/>
        <v>女</v>
      </c>
      <c r="E360" s="8">
        <v>9</v>
      </c>
      <c r="F360" s="8" t="s">
        <v>13</v>
      </c>
      <c r="G360" s="8">
        <v>18</v>
      </c>
      <c r="H360" s="9">
        <v>86.4</v>
      </c>
      <c r="I360" s="10"/>
      <c r="J360" s="9">
        <v>86.4</v>
      </c>
    </row>
    <row r="361" customHeight="1" spans="1:10">
      <c r="A361" s="8" t="str">
        <f>"20206323906"</f>
        <v>20206323906</v>
      </c>
      <c r="B361" s="8" t="s">
        <v>31</v>
      </c>
      <c r="C361" s="8" t="str">
        <f>"毛欣"</f>
        <v>毛欣</v>
      </c>
      <c r="D361" s="8" t="str">
        <f t="shared" si="19"/>
        <v>女</v>
      </c>
      <c r="E361" s="8">
        <v>9</v>
      </c>
      <c r="F361" s="8" t="s">
        <v>13</v>
      </c>
      <c r="G361" s="8">
        <v>19</v>
      </c>
      <c r="H361" s="9">
        <v>79.94</v>
      </c>
      <c r="I361" s="10"/>
      <c r="J361" s="9">
        <v>79.94</v>
      </c>
    </row>
    <row r="362" customHeight="1" spans="1:10">
      <c r="A362" s="8" t="str">
        <f>"20206324019"</f>
        <v>20206324019</v>
      </c>
      <c r="B362" s="8" t="s">
        <v>31</v>
      </c>
      <c r="C362" s="8" t="str">
        <f>"左新园"</f>
        <v>左新园</v>
      </c>
      <c r="D362" s="8" t="str">
        <f t="shared" si="19"/>
        <v>女</v>
      </c>
      <c r="E362" s="8">
        <v>9</v>
      </c>
      <c r="F362" s="8" t="s">
        <v>13</v>
      </c>
      <c r="G362" s="8">
        <v>20</v>
      </c>
      <c r="H362" s="9">
        <v>86.06</v>
      </c>
      <c r="I362" s="10"/>
      <c r="J362" s="9">
        <v>86.06</v>
      </c>
    </row>
    <row r="363" customHeight="1" spans="1:10">
      <c r="A363" s="8" t="s">
        <v>35</v>
      </c>
      <c r="B363" s="8" t="s">
        <v>30</v>
      </c>
      <c r="C363" s="8" t="s">
        <v>36</v>
      </c>
      <c r="D363" s="8" t="s">
        <v>34</v>
      </c>
      <c r="E363" s="8">
        <v>9</v>
      </c>
      <c r="F363" s="8" t="s">
        <v>13</v>
      </c>
      <c r="G363" s="8">
        <v>21</v>
      </c>
      <c r="H363" s="9">
        <v>87.44</v>
      </c>
      <c r="I363" s="10"/>
      <c r="J363" s="9">
        <v>87.44</v>
      </c>
    </row>
    <row r="364" customHeight="1" spans="1:10">
      <c r="A364" s="8" t="str">
        <f>"20206324118"</f>
        <v>20206324118</v>
      </c>
      <c r="B364" s="8" t="s">
        <v>31</v>
      </c>
      <c r="C364" s="8" t="str">
        <f>"秦立杰"</f>
        <v>秦立杰</v>
      </c>
      <c r="D364" s="8" t="str">
        <f t="shared" ref="D364:D381" si="20">"女"</f>
        <v>女</v>
      </c>
      <c r="E364" s="8">
        <v>9</v>
      </c>
      <c r="F364" s="8" t="s">
        <v>13</v>
      </c>
      <c r="G364" s="8">
        <v>22</v>
      </c>
      <c r="H364" s="9">
        <v>83.72</v>
      </c>
      <c r="I364" s="10"/>
      <c r="J364" s="9">
        <v>83.72</v>
      </c>
    </row>
    <row r="365" customHeight="1" spans="1:10">
      <c r="A365" s="8" t="str">
        <f>"20206323921"</f>
        <v>20206323921</v>
      </c>
      <c r="B365" s="8" t="s">
        <v>31</v>
      </c>
      <c r="C365" s="8" t="str">
        <f>"彭艳"</f>
        <v>彭艳</v>
      </c>
      <c r="D365" s="8" t="str">
        <f t="shared" si="20"/>
        <v>女</v>
      </c>
      <c r="E365" s="8">
        <v>9</v>
      </c>
      <c r="F365" s="8" t="s">
        <v>13</v>
      </c>
      <c r="G365" s="8">
        <v>23</v>
      </c>
      <c r="H365" s="9">
        <v>84.22</v>
      </c>
      <c r="I365" s="10"/>
      <c r="J365" s="9">
        <v>84.22</v>
      </c>
    </row>
    <row r="366" customHeight="1" spans="1:10">
      <c r="A366" s="8" t="str">
        <f>"20202411009"</f>
        <v>20202411009</v>
      </c>
      <c r="B366" s="8" t="s">
        <v>37</v>
      </c>
      <c r="C366" s="8" t="str">
        <f>"马媛"</f>
        <v>马媛</v>
      </c>
      <c r="D366" s="8" t="str">
        <f t="shared" si="20"/>
        <v>女</v>
      </c>
      <c r="E366" s="8">
        <v>10</v>
      </c>
      <c r="F366" s="8" t="s">
        <v>12</v>
      </c>
      <c r="G366" s="8">
        <v>1</v>
      </c>
      <c r="H366" s="9">
        <v>74.64</v>
      </c>
      <c r="I366" s="10"/>
      <c r="J366" s="9">
        <v>74.64</v>
      </c>
    </row>
    <row r="367" customHeight="1" spans="1:10">
      <c r="A367" s="8" t="str">
        <f>"20205412217"</f>
        <v>20205412217</v>
      </c>
      <c r="B367" s="8" t="s">
        <v>38</v>
      </c>
      <c r="C367" s="8" t="str">
        <f>"李烁"</f>
        <v>李烁</v>
      </c>
      <c r="D367" s="8" t="str">
        <f t="shared" si="20"/>
        <v>女</v>
      </c>
      <c r="E367" s="8">
        <v>10</v>
      </c>
      <c r="F367" s="8" t="s">
        <v>12</v>
      </c>
      <c r="G367" s="8">
        <v>2</v>
      </c>
      <c r="H367" s="9">
        <v>84.24</v>
      </c>
      <c r="I367" s="10"/>
      <c r="J367" s="9">
        <v>84.24</v>
      </c>
    </row>
    <row r="368" customHeight="1" spans="1:10">
      <c r="A368" s="8" t="str">
        <f>"20200410225"</f>
        <v>20200410225</v>
      </c>
      <c r="B368" s="8" t="s">
        <v>39</v>
      </c>
      <c r="C368" s="8" t="str">
        <f>"范清勉"</f>
        <v>范清勉</v>
      </c>
      <c r="D368" s="8" t="str">
        <f t="shared" si="20"/>
        <v>女</v>
      </c>
      <c r="E368" s="8">
        <v>10</v>
      </c>
      <c r="F368" s="8" t="s">
        <v>12</v>
      </c>
      <c r="G368" s="8">
        <v>3</v>
      </c>
      <c r="H368" s="9">
        <v>81.88</v>
      </c>
      <c r="I368" s="10"/>
      <c r="J368" s="9">
        <v>81.88</v>
      </c>
    </row>
    <row r="369" customHeight="1" spans="1:10">
      <c r="A369" s="8" t="str">
        <f>"20205412227"</f>
        <v>20205412227</v>
      </c>
      <c r="B369" s="8" t="s">
        <v>38</v>
      </c>
      <c r="C369" s="8" t="str">
        <f>"付双"</f>
        <v>付双</v>
      </c>
      <c r="D369" s="8" t="str">
        <f t="shared" si="20"/>
        <v>女</v>
      </c>
      <c r="E369" s="8">
        <v>10</v>
      </c>
      <c r="F369" s="8" t="s">
        <v>12</v>
      </c>
      <c r="G369" s="8">
        <v>4</v>
      </c>
      <c r="H369" s="9">
        <v>75</v>
      </c>
      <c r="I369" s="10"/>
      <c r="J369" s="9">
        <v>75</v>
      </c>
    </row>
    <row r="370" customHeight="1" spans="1:10">
      <c r="A370" s="8" t="str">
        <f>"20200410226"</f>
        <v>20200410226</v>
      </c>
      <c r="B370" s="8" t="s">
        <v>39</v>
      </c>
      <c r="C370" s="8" t="str">
        <f>"宋荣荣"</f>
        <v>宋荣荣</v>
      </c>
      <c r="D370" s="8" t="str">
        <f t="shared" si="20"/>
        <v>女</v>
      </c>
      <c r="E370" s="8">
        <v>10</v>
      </c>
      <c r="F370" s="8" t="s">
        <v>12</v>
      </c>
      <c r="G370" s="8">
        <v>5</v>
      </c>
      <c r="H370" s="9">
        <v>85.98</v>
      </c>
      <c r="I370" s="10"/>
      <c r="J370" s="9">
        <v>85.98</v>
      </c>
    </row>
    <row r="371" customHeight="1" spans="1:10">
      <c r="A371" s="8" t="str">
        <f>"20205412216"</f>
        <v>20205412216</v>
      </c>
      <c r="B371" s="8" t="s">
        <v>38</v>
      </c>
      <c r="C371" s="8" t="str">
        <f>"徐晶"</f>
        <v>徐晶</v>
      </c>
      <c r="D371" s="8" t="str">
        <f t="shared" si="20"/>
        <v>女</v>
      </c>
      <c r="E371" s="8">
        <v>10</v>
      </c>
      <c r="F371" s="8" t="s">
        <v>12</v>
      </c>
      <c r="G371" s="8">
        <v>6</v>
      </c>
      <c r="H371" s="9">
        <v>82.82</v>
      </c>
      <c r="I371" s="10"/>
      <c r="J371" s="9">
        <v>82.82</v>
      </c>
    </row>
    <row r="372" s="3" customFormat="1" customHeight="1" spans="1:10">
      <c r="A372" s="11" t="str">
        <f>"20200410217"</f>
        <v>20200410217</v>
      </c>
      <c r="B372" s="11" t="s">
        <v>39</v>
      </c>
      <c r="C372" s="11" t="str">
        <f>"禹梦"</f>
        <v>禹梦</v>
      </c>
      <c r="D372" s="11" t="str">
        <f t="shared" si="20"/>
        <v>女</v>
      </c>
      <c r="E372" s="11">
        <v>10</v>
      </c>
      <c r="F372" s="11" t="s">
        <v>12</v>
      </c>
      <c r="G372" s="11">
        <v>7</v>
      </c>
      <c r="H372" s="12"/>
      <c r="I372" s="13"/>
      <c r="J372" s="12" t="s">
        <v>14</v>
      </c>
    </row>
    <row r="373" customHeight="1" spans="1:10">
      <c r="A373" s="8" t="str">
        <f>"20202411006"</f>
        <v>20202411006</v>
      </c>
      <c r="B373" s="8" t="s">
        <v>37</v>
      </c>
      <c r="C373" s="8" t="str">
        <f>"尤亚丹"</f>
        <v>尤亚丹</v>
      </c>
      <c r="D373" s="8" t="str">
        <f t="shared" si="20"/>
        <v>女</v>
      </c>
      <c r="E373" s="8">
        <v>10</v>
      </c>
      <c r="F373" s="8" t="s">
        <v>12</v>
      </c>
      <c r="G373" s="8">
        <v>8</v>
      </c>
      <c r="H373" s="9">
        <v>69.22</v>
      </c>
      <c r="I373" s="10"/>
      <c r="J373" s="9">
        <v>69.22</v>
      </c>
    </row>
    <row r="374" customHeight="1" spans="1:10">
      <c r="A374" s="8" t="str">
        <f>"20205412225"</f>
        <v>20205412225</v>
      </c>
      <c r="B374" s="8" t="s">
        <v>38</v>
      </c>
      <c r="C374" s="8" t="str">
        <f>"李任晓"</f>
        <v>李任晓</v>
      </c>
      <c r="D374" s="8" t="str">
        <f t="shared" si="20"/>
        <v>女</v>
      </c>
      <c r="E374" s="8">
        <v>10</v>
      </c>
      <c r="F374" s="8" t="s">
        <v>12</v>
      </c>
      <c r="G374" s="8">
        <v>9</v>
      </c>
      <c r="H374" s="9">
        <v>83.22</v>
      </c>
      <c r="I374" s="10"/>
      <c r="J374" s="9">
        <v>83.22</v>
      </c>
    </row>
    <row r="375" customHeight="1" spans="1:10">
      <c r="A375" s="8" t="str">
        <f>"20205412221"</f>
        <v>20205412221</v>
      </c>
      <c r="B375" s="8" t="s">
        <v>38</v>
      </c>
      <c r="C375" s="8" t="str">
        <f>"崔春苗"</f>
        <v>崔春苗</v>
      </c>
      <c r="D375" s="8" t="str">
        <f t="shared" si="20"/>
        <v>女</v>
      </c>
      <c r="E375" s="8">
        <v>10</v>
      </c>
      <c r="F375" s="8" t="s">
        <v>12</v>
      </c>
      <c r="G375" s="8">
        <v>10</v>
      </c>
      <c r="H375" s="9">
        <v>79.18</v>
      </c>
      <c r="I375" s="10"/>
      <c r="J375" s="9">
        <v>79.18</v>
      </c>
    </row>
    <row r="376" customHeight="1" spans="1:10">
      <c r="A376" s="8" t="str">
        <f>"20200410220"</f>
        <v>20200410220</v>
      </c>
      <c r="B376" s="8" t="s">
        <v>39</v>
      </c>
      <c r="C376" s="8" t="str">
        <f>"冯雪"</f>
        <v>冯雪</v>
      </c>
      <c r="D376" s="8" t="str">
        <f t="shared" si="20"/>
        <v>女</v>
      </c>
      <c r="E376" s="8">
        <v>10</v>
      </c>
      <c r="F376" s="8" t="s">
        <v>12</v>
      </c>
      <c r="G376" s="8">
        <v>11</v>
      </c>
      <c r="H376" s="9">
        <v>81.5</v>
      </c>
      <c r="I376" s="10"/>
      <c r="J376" s="9">
        <v>81.5</v>
      </c>
    </row>
    <row r="377" customHeight="1" spans="1:10">
      <c r="A377" s="8" t="str">
        <f>"20202411005"</f>
        <v>20202411005</v>
      </c>
      <c r="B377" s="8" t="s">
        <v>37</v>
      </c>
      <c r="C377" s="8" t="str">
        <f>"王敏"</f>
        <v>王敏</v>
      </c>
      <c r="D377" s="8" t="str">
        <f t="shared" si="20"/>
        <v>女</v>
      </c>
      <c r="E377" s="8">
        <v>10</v>
      </c>
      <c r="F377" s="8" t="s">
        <v>12</v>
      </c>
      <c r="G377" s="8">
        <v>12</v>
      </c>
      <c r="H377" s="9">
        <v>83.54</v>
      </c>
      <c r="I377" s="10"/>
      <c r="J377" s="9">
        <v>83.54</v>
      </c>
    </row>
    <row r="378" customHeight="1" spans="1:10">
      <c r="A378" s="8" t="str">
        <f>"20205412226"</f>
        <v>20205412226</v>
      </c>
      <c r="B378" s="8" t="s">
        <v>38</v>
      </c>
      <c r="C378" s="8" t="str">
        <f>"刘宛"</f>
        <v>刘宛</v>
      </c>
      <c r="D378" s="8" t="str">
        <f t="shared" si="20"/>
        <v>女</v>
      </c>
      <c r="E378" s="8">
        <v>10</v>
      </c>
      <c r="F378" s="8" t="s">
        <v>12</v>
      </c>
      <c r="G378" s="8">
        <v>13</v>
      </c>
      <c r="H378" s="9">
        <v>85.4</v>
      </c>
      <c r="I378" s="10"/>
      <c r="J378" s="9">
        <v>85.4</v>
      </c>
    </row>
    <row r="379" customHeight="1" spans="1:10">
      <c r="A379" s="8" t="str">
        <f>"20205412220"</f>
        <v>20205412220</v>
      </c>
      <c r="B379" s="8" t="s">
        <v>38</v>
      </c>
      <c r="C379" s="8" t="str">
        <f>"赵旭"</f>
        <v>赵旭</v>
      </c>
      <c r="D379" s="8" t="str">
        <f t="shared" si="20"/>
        <v>女</v>
      </c>
      <c r="E379" s="8">
        <v>10</v>
      </c>
      <c r="F379" s="8" t="s">
        <v>12</v>
      </c>
      <c r="G379" s="8">
        <v>14</v>
      </c>
      <c r="H379" s="9">
        <v>81.6</v>
      </c>
      <c r="I379" s="10"/>
      <c r="J379" s="9">
        <v>81.6</v>
      </c>
    </row>
    <row r="380" customHeight="1" spans="1:10">
      <c r="A380" s="8" t="str">
        <f>"20200410221"</f>
        <v>20200410221</v>
      </c>
      <c r="B380" s="8" t="s">
        <v>39</v>
      </c>
      <c r="C380" s="8" t="str">
        <f>" 马文"</f>
        <v> 马文</v>
      </c>
      <c r="D380" s="8" t="str">
        <f t="shared" si="20"/>
        <v>女</v>
      </c>
      <c r="E380" s="8">
        <v>10</v>
      </c>
      <c r="F380" s="8" t="s">
        <v>12</v>
      </c>
      <c r="G380" s="8">
        <v>15</v>
      </c>
      <c r="H380" s="9">
        <v>81.66</v>
      </c>
      <c r="I380" s="10"/>
      <c r="J380" s="9">
        <v>81.66</v>
      </c>
    </row>
    <row r="381" customHeight="1" spans="1:10">
      <c r="A381" s="8" t="str">
        <f>"20202411012"</f>
        <v>20202411012</v>
      </c>
      <c r="B381" s="8" t="s">
        <v>37</v>
      </c>
      <c r="C381" s="8" t="str">
        <f>"霍云平"</f>
        <v>霍云平</v>
      </c>
      <c r="D381" s="8" t="str">
        <f t="shared" si="20"/>
        <v>女</v>
      </c>
      <c r="E381" s="8">
        <v>10</v>
      </c>
      <c r="F381" s="8" t="s">
        <v>12</v>
      </c>
      <c r="G381" s="8">
        <v>16</v>
      </c>
      <c r="H381" s="9">
        <v>80.54</v>
      </c>
      <c r="I381" s="10"/>
      <c r="J381" s="9">
        <v>80.54</v>
      </c>
    </row>
    <row r="382" customHeight="1" spans="1:10">
      <c r="A382" s="8" t="str">
        <f>"20200410218"</f>
        <v>20200410218</v>
      </c>
      <c r="B382" s="8" t="s">
        <v>39</v>
      </c>
      <c r="C382" s="8" t="str">
        <f>"韩旭"</f>
        <v>韩旭</v>
      </c>
      <c r="D382" s="8" t="str">
        <f>"男"</f>
        <v>男</v>
      </c>
      <c r="E382" s="8">
        <v>10</v>
      </c>
      <c r="F382" s="8" t="s">
        <v>12</v>
      </c>
      <c r="G382" s="8">
        <v>17</v>
      </c>
      <c r="H382" s="9">
        <v>81.62</v>
      </c>
      <c r="I382" s="10"/>
      <c r="J382" s="9">
        <v>81.62</v>
      </c>
    </row>
    <row r="383" customHeight="1" spans="1:10">
      <c r="A383" s="8" t="str">
        <f>"20205412222"</f>
        <v>20205412222</v>
      </c>
      <c r="B383" s="8" t="s">
        <v>38</v>
      </c>
      <c r="C383" s="8" t="str">
        <f>"吕慧慧"</f>
        <v>吕慧慧</v>
      </c>
      <c r="D383" s="8" t="str">
        <f>"女"</f>
        <v>女</v>
      </c>
      <c r="E383" s="8">
        <v>10</v>
      </c>
      <c r="F383" s="8" t="s">
        <v>12</v>
      </c>
      <c r="G383" s="8">
        <v>18</v>
      </c>
      <c r="H383" s="9">
        <v>80.08</v>
      </c>
      <c r="I383" s="10"/>
      <c r="J383" s="9">
        <v>80.08</v>
      </c>
    </row>
    <row r="384" customHeight="1" spans="1:10">
      <c r="A384" s="8">
        <v>20200216531</v>
      </c>
      <c r="B384" s="8" t="s">
        <v>40</v>
      </c>
      <c r="C384" s="8" t="s">
        <v>41</v>
      </c>
      <c r="D384" s="8" t="s">
        <v>42</v>
      </c>
      <c r="E384" s="8">
        <v>10</v>
      </c>
      <c r="F384" s="8" t="s">
        <v>13</v>
      </c>
      <c r="G384" s="8">
        <v>1</v>
      </c>
      <c r="H384" s="9">
        <v>84</v>
      </c>
      <c r="I384" s="10"/>
      <c r="J384" s="9">
        <v>84</v>
      </c>
    </row>
    <row r="385" customHeight="1" spans="1:10">
      <c r="A385" s="8">
        <v>20200216527</v>
      </c>
      <c r="B385" s="8" t="s">
        <v>40</v>
      </c>
      <c r="C385" s="8" t="s">
        <v>43</v>
      </c>
      <c r="D385" s="8" t="s">
        <v>42</v>
      </c>
      <c r="E385" s="8">
        <v>10</v>
      </c>
      <c r="F385" s="8" t="s">
        <v>13</v>
      </c>
      <c r="G385" s="8">
        <v>4</v>
      </c>
      <c r="H385" s="9">
        <v>80</v>
      </c>
      <c r="I385" s="10"/>
      <c r="J385" s="9">
        <v>80</v>
      </c>
    </row>
    <row r="386" customHeight="1" spans="1:10">
      <c r="A386" s="8" t="str">
        <f>"20205612316"</f>
        <v>20205612316</v>
      </c>
      <c r="B386" s="8" t="s">
        <v>44</v>
      </c>
      <c r="C386" s="8" t="str">
        <f>"李林源"</f>
        <v>李林源</v>
      </c>
      <c r="D386" s="8" t="str">
        <f>"男"</f>
        <v>男</v>
      </c>
      <c r="E386" s="8">
        <v>10</v>
      </c>
      <c r="F386" s="8" t="s">
        <v>13</v>
      </c>
      <c r="G386" s="8">
        <v>5</v>
      </c>
      <c r="H386" s="9">
        <v>81.38</v>
      </c>
      <c r="I386" s="10"/>
      <c r="J386" s="9">
        <v>81.38</v>
      </c>
    </row>
    <row r="387" customHeight="1" spans="1:10">
      <c r="A387" s="8" t="str">
        <f>"20202611026"</f>
        <v>20202611026</v>
      </c>
      <c r="B387" s="8" t="s">
        <v>45</v>
      </c>
      <c r="C387" s="8" t="str">
        <f>"张亚婷"</f>
        <v>张亚婷</v>
      </c>
      <c r="D387" s="8" t="str">
        <f>"女"</f>
        <v>女</v>
      </c>
      <c r="E387" s="8">
        <v>10</v>
      </c>
      <c r="F387" s="8" t="s">
        <v>13</v>
      </c>
      <c r="G387" s="8">
        <v>7</v>
      </c>
      <c r="H387" s="9">
        <v>84.04</v>
      </c>
      <c r="I387" s="10"/>
      <c r="J387" s="9">
        <v>84.04</v>
      </c>
    </row>
    <row r="388" customHeight="1" spans="1:10">
      <c r="A388" s="8" t="str">
        <f>"20202611025"</f>
        <v>20202611025</v>
      </c>
      <c r="B388" s="8" t="s">
        <v>45</v>
      </c>
      <c r="C388" s="8" t="str">
        <f>"王德正"</f>
        <v>王德正</v>
      </c>
      <c r="D388" s="8" t="str">
        <f>"男"</f>
        <v>男</v>
      </c>
      <c r="E388" s="8">
        <v>10</v>
      </c>
      <c r="F388" s="8" t="s">
        <v>13</v>
      </c>
      <c r="G388" s="8">
        <v>8</v>
      </c>
      <c r="H388" s="9">
        <v>82.8</v>
      </c>
      <c r="I388" s="10"/>
      <c r="J388" s="9">
        <v>82.8</v>
      </c>
    </row>
    <row r="389" customHeight="1" spans="1:10">
      <c r="A389" s="8" t="str">
        <f>"20205612314"</f>
        <v>20205612314</v>
      </c>
      <c r="B389" s="8" t="s">
        <v>44</v>
      </c>
      <c r="C389" s="8" t="str">
        <f>"王贺"</f>
        <v>王贺</v>
      </c>
      <c r="D389" s="8" t="str">
        <f>"女"</f>
        <v>女</v>
      </c>
      <c r="E389" s="8">
        <v>10</v>
      </c>
      <c r="F389" s="8" t="s">
        <v>13</v>
      </c>
      <c r="G389" s="8">
        <v>9</v>
      </c>
      <c r="H389" s="9">
        <v>84.34</v>
      </c>
      <c r="I389" s="10"/>
      <c r="J389" s="9">
        <v>84.34</v>
      </c>
    </row>
    <row r="390" customHeight="1" spans="1:10">
      <c r="A390" s="8" t="str">
        <f>"20202611023"</f>
        <v>20202611023</v>
      </c>
      <c r="B390" s="8" t="s">
        <v>45</v>
      </c>
      <c r="C390" s="8" t="str">
        <f>"杜莹莹"</f>
        <v>杜莹莹</v>
      </c>
      <c r="D390" s="8" t="str">
        <f>"女"</f>
        <v>女</v>
      </c>
      <c r="E390" s="8">
        <v>10</v>
      </c>
      <c r="F390" s="8" t="s">
        <v>13</v>
      </c>
      <c r="G390" s="8">
        <v>10</v>
      </c>
      <c r="H390" s="9">
        <v>85.12</v>
      </c>
      <c r="I390" s="10"/>
      <c r="J390" s="9">
        <v>85.12</v>
      </c>
    </row>
    <row r="391" customHeight="1" spans="1:10">
      <c r="A391" s="8" t="str">
        <f>"20202611029"</f>
        <v>20202611029</v>
      </c>
      <c r="B391" s="8" t="s">
        <v>45</v>
      </c>
      <c r="C391" s="8" t="str">
        <f>"王梦阳"</f>
        <v>王梦阳</v>
      </c>
      <c r="D391" s="8" t="str">
        <f>"女"</f>
        <v>女</v>
      </c>
      <c r="E391" s="8">
        <v>10</v>
      </c>
      <c r="F391" s="8" t="s">
        <v>13</v>
      </c>
      <c r="G391" s="8">
        <v>11</v>
      </c>
      <c r="H391" s="9">
        <v>84.76</v>
      </c>
      <c r="I391" s="10"/>
      <c r="J391" s="9">
        <v>84.76</v>
      </c>
    </row>
    <row r="392" customHeight="1" spans="1:10">
      <c r="A392" s="8" t="str">
        <f>"20202611024"</f>
        <v>20202611024</v>
      </c>
      <c r="B392" s="8" t="s">
        <v>45</v>
      </c>
      <c r="C392" s="8" t="str">
        <f>"薛君"</f>
        <v>薛君</v>
      </c>
      <c r="D392" s="8" t="str">
        <f>"男"</f>
        <v>男</v>
      </c>
      <c r="E392" s="8">
        <v>10</v>
      </c>
      <c r="F392" s="8" t="s">
        <v>13</v>
      </c>
      <c r="G392" s="8">
        <v>12</v>
      </c>
      <c r="H392" s="9">
        <v>77.86</v>
      </c>
      <c r="I392" s="10"/>
      <c r="J392" s="9">
        <v>77.86</v>
      </c>
    </row>
    <row r="393" customHeight="1" spans="1:10">
      <c r="A393" s="8" t="str">
        <f>"20202611030"</f>
        <v>20202611030</v>
      </c>
      <c r="B393" s="8" t="s">
        <v>45</v>
      </c>
      <c r="C393" s="8" t="str">
        <f>"冯靖涵"</f>
        <v>冯靖涵</v>
      </c>
      <c r="D393" s="8" t="str">
        <f>"女"</f>
        <v>女</v>
      </c>
      <c r="E393" s="8">
        <v>10</v>
      </c>
      <c r="F393" s="8" t="s">
        <v>13</v>
      </c>
      <c r="G393" s="8">
        <v>13</v>
      </c>
      <c r="H393" s="9">
        <v>81.74</v>
      </c>
      <c r="I393" s="10"/>
      <c r="J393" s="9">
        <v>81.74</v>
      </c>
    </row>
    <row r="394" customHeight="1" spans="1:10">
      <c r="A394" s="8" t="str">
        <f>"20205612311"</f>
        <v>20205612311</v>
      </c>
      <c r="B394" s="8" t="s">
        <v>44</v>
      </c>
      <c r="C394" s="8" t="str">
        <f>"李姗珊"</f>
        <v>李姗珊</v>
      </c>
      <c r="D394" s="8" t="str">
        <f>"女"</f>
        <v>女</v>
      </c>
      <c r="E394" s="8">
        <v>10</v>
      </c>
      <c r="F394" s="8" t="s">
        <v>13</v>
      </c>
      <c r="G394" s="8">
        <v>14</v>
      </c>
      <c r="H394" s="9">
        <v>84.4</v>
      </c>
      <c r="I394" s="10"/>
      <c r="J394" s="9">
        <v>84.4</v>
      </c>
    </row>
    <row r="395" customHeight="1" spans="1:10">
      <c r="A395" s="8" t="str">
        <f>"20206012511"</f>
        <v>20206012511</v>
      </c>
      <c r="B395" s="8" t="s">
        <v>46</v>
      </c>
      <c r="C395" s="8" t="str">
        <f>"魏杰"</f>
        <v>魏杰</v>
      </c>
      <c r="D395" s="8" t="str">
        <f>"男"</f>
        <v>男</v>
      </c>
      <c r="E395" s="8">
        <v>11</v>
      </c>
      <c r="F395" s="8" t="s">
        <v>12</v>
      </c>
      <c r="G395" s="8">
        <v>1</v>
      </c>
      <c r="H395" s="9">
        <v>77.38</v>
      </c>
      <c r="I395" s="10"/>
      <c r="J395" s="9">
        <v>77.38</v>
      </c>
    </row>
    <row r="396" customHeight="1" spans="1:10">
      <c r="A396" s="8" t="str">
        <f>"20203311525"</f>
        <v>20203311525</v>
      </c>
      <c r="B396" s="8" t="s">
        <v>47</v>
      </c>
      <c r="C396" s="8" t="str">
        <f>"张杰"</f>
        <v>张杰</v>
      </c>
      <c r="D396" s="8" t="str">
        <f>"女"</f>
        <v>女</v>
      </c>
      <c r="E396" s="8">
        <v>11</v>
      </c>
      <c r="F396" s="8" t="s">
        <v>12</v>
      </c>
      <c r="G396" s="8">
        <v>2</v>
      </c>
      <c r="H396" s="9">
        <v>84.42</v>
      </c>
      <c r="I396" s="10"/>
      <c r="J396" s="9">
        <v>84.42</v>
      </c>
    </row>
    <row r="397" customHeight="1" spans="1:10">
      <c r="A397" s="8" t="str">
        <f>"20203311603"</f>
        <v>20203311603</v>
      </c>
      <c r="B397" s="8" t="s">
        <v>47</v>
      </c>
      <c r="C397" s="8" t="str">
        <f>"杨显现"</f>
        <v>杨显现</v>
      </c>
      <c r="D397" s="8" t="str">
        <f>"女"</f>
        <v>女</v>
      </c>
      <c r="E397" s="8">
        <v>11</v>
      </c>
      <c r="F397" s="8" t="s">
        <v>12</v>
      </c>
      <c r="G397" s="8">
        <v>4</v>
      </c>
      <c r="H397" s="9">
        <v>81.04</v>
      </c>
      <c r="I397" s="10"/>
      <c r="J397" s="9">
        <v>81.04</v>
      </c>
    </row>
    <row r="398" customHeight="1" spans="1:10">
      <c r="A398" s="8">
        <v>20200216539</v>
      </c>
      <c r="B398" s="8" t="s">
        <v>48</v>
      </c>
      <c r="C398" s="8" t="s">
        <v>49</v>
      </c>
      <c r="D398" s="8" t="s">
        <v>34</v>
      </c>
      <c r="E398" s="8">
        <v>11</v>
      </c>
      <c r="F398" s="8" t="s">
        <v>12</v>
      </c>
      <c r="G398" s="8">
        <v>5</v>
      </c>
      <c r="H398" s="9">
        <v>81.44</v>
      </c>
      <c r="I398" s="10"/>
      <c r="J398" s="9">
        <v>81.44</v>
      </c>
    </row>
    <row r="399" customHeight="1" spans="1:10">
      <c r="A399" s="8" t="str">
        <f>"20206012506"</f>
        <v>20206012506</v>
      </c>
      <c r="B399" s="8" t="s">
        <v>46</v>
      </c>
      <c r="C399" s="8" t="str">
        <f>"张雪"</f>
        <v>张雪</v>
      </c>
      <c r="D399" s="8" t="str">
        <f>"女"</f>
        <v>女</v>
      </c>
      <c r="E399" s="8">
        <v>11</v>
      </c>
      <c r="F399" s="8" t="s">
        <v>12</v>
      </c>
      <c r="G399" s="8">
        <v>6</v>
      </c>
      <c r="H399" s="9">
        <v>80.52</v>
      </c>
      <c r="I399" s="10"/>
      <c r="J399" s="9">
        <v>80.52</v>
      </c>
    </row>
    <row r="400" customHeight="1" spans="1:10">
      <c r="A400" s="8">
        <v>20200216543</v>
      </c>
      <c r="B400" s="8" t="s">
        <v>48</v>
      </c>
      <c r="C400" s="8" t="s">
        <v>50</v>
      </c>
      <c r="D400" s="8" t="s">
        <v>34</v>
      </c>
      <c r="E400" s="8">
        <v>11</v>
      </c>
      <c r="F400" s="8" t="s">
        <v>12</v>
      </c>
      <c r="G400" s="8">
        <v>7</v>
      </c>
      <c r="H400" s="9">
        <v>76.74</v>
      </c>
      <c r="I400" s="10"/>
      <c r="J400" s="9">
        <v>76.74</v>
      </c>
    </row>
    <row r="401" customHeight="1" spans="1:10">
      <c r="A401" s="8">
        <v>20200216544</v>
      </c>
      <c r="B401" s="8" t="s">
        <v>48</v>
      </c>
      <c r="C401" s="8" t="s">
        <v>51</v>
      </c>
      <c r="D401" s="8" t="s">
        <v>34</v>
      </c>
      <c r="E401" s="8">
        <v>11</v>
      </c>
      <c r="F401" s="8" t="s">
        <v>12</v>
      </c>
      <c r="G401" s="8">
        <v>8</v>
      </c>
      <c r="H401" s="9">
        <v>77.92</v>
      </c>
      <c r="I401" s="10"/>
      <c r="J401" s="9">
        <v>77.92</v>
      </c>
    </row>
    <row r="402" customHeight="1" spans="1:10">
      <c r="A402" s="8" t="str">
        <f>"20203311526"</f>
        <v>20203311526</v>
      </c>
      <c r="B402" s="8" t="s">
        <v>47</v>
      </c>
      <c r="C402" s="8" t="str">
        <f>"周聪"</f>
        <v>周聪</v>
      </c>
      <c r="D402" s="8" t="str">
        <f>"女"</f>
        <v>女</v>
      </c>
      <c r="E402" s="8">
        <v>11</v>
      </c>
      <c r="F402" s="8" t="s">
        <v>12</v>
      </c>
      <c r="G402" s="8">
        <v>9</v>
      </c>
      <c r="H402" s="9">
        <v>85.16</v>
      </c>
      <c r="I402" s="10"/>
      <c r="J402" s="9">
        <v>85.16</v>
      </c>
    </row>
    <row r="403" customHeight="1" spans="1:10">
      <c r="A403" s="8" t="str">
        <f>"20206012503"</f>
        <v>20206012503</v>
      </c>
      <c r="B403" s="8" t="s">
        <v>46</v>
      </c>
      <c r="C403" s="8" t="str">
        <f>"吴浩"</f>
        <v>吴浩</v>
      </c>
      <c r="D403" s="8" t="str">
        <f>"男"</f>
        <v>男</v>
      </c>
      <c r="E403" s="8">
        <v>11</v>
      </c>
      <c r="F403" s="8" t="s">
        <v>12</v>
      </c>
      <c r="G403" s="8">
        <v>10</v>
      </c>
      <c r="H403" s="9">
        <v>71.1</v>
      </c>
      <c r="I403" s="10"/>
      <c r="J403" s="9">
        <v>71.1</v>
      </c>
    </row>
    <row r="404" customHeight="1" spans="1:10">
      <c r="A404" s="8" t="str">
        <f>"20206012430"</f>
        <v>20206012430</v>
      </c>
      <c r="B404" s="8" t="s">
        <v>46</v>
      </c>
      <c r="C404" s="8" t="str">
        <f>"荣耀之"</f>
        <v>荣耀之</v>
      </c>
      <c r="D404" s="8" t="str">
        <f>"男"</f>
        <v>男</v>
      </c>
      <c r="E404" s="8">
        <v>11</v>
      </c>
      <c r="F404" s="8" t="s">
        <v>12</v>
      </c>
      <c r="G404" s="8">
        <v>11</v>
      </c>
      <c r="H404" s="9">
        <v>83.28</v>
      </c>
      <c r="I404" s="10"/>
      <c r="J404" s="9">
        <v>83.28</v>
      </c>
    </row>
    <row r="405" customHeight="1" spans="1:10">
      <c r="A405" s="8" t="str">
        <f>"20206012427"</f>
        <v>20206012427</v>
      </c>
      <c r="B405" s="8" t="s">
        <v>46</v>
      </c>
      <c r="C405" s="8" t="str">
        <f>"王傲"</f>
        <v>王傲</v>
      </c>
      <c r="D405" s="8" t="str">
        <f>"男"</f>
        <v>男</v>
      </c>
      <c r="E405" s="8">
        <v>11</v>
      </c>
      <c r="F405" s="8" t="s">
        <v>12</v>
      </c>
      <c r="G405" s="8">
        <v>12</v>
      </c>
      <c r="H405" s="9">
        <v>74.08</v>
      </c>
      <c r="I405" s="10"/>
      <c r="J405" s="9">
        <v>74.08</v>
      </c>
    </row>
    <row r="406" customHeight="1" spans="1:10">
      <c r="A406" s="8" t="str">
        <f>"20203311522"</f>
        <v>20203311522</v>
      </c>
      <c r="B406" s="8" t="s">
        <v>47</v>
      </c>
      <c r="C406" s="8" t="str">
        <f>"刘亚楠"</f>
        <v>刘亚楠</v>
      </c>
      <c r="D406" s="8" t="str">
        <f>"女"</f>
        <v>女</v>
      </c>
      <c r="E406" s="8">
        <v>11</v>
      </c>
      <c r="F406" s="8" t="s">
        <v>12</v>
      </c>
      <c r="G406" s="8">
        <v>13</v>
      </c>
      <c r="H406" s="9">
        <v>75.82</v>
      </c>
      <c r="I406" s="10"/>
      <c r="J406" s="9">
        <v>75.82</v>
      </c>
    </row>
    <row r="407" customHeight="1" spans="1:10">
      <c r="A407" s="8" t="str">
        <f>"20203311530"</f>
        <v>20203311530</v>
      </c>
      <c r="B407" s="8" t="s">
        <v>47</v>
      </c>
      <c r="C407" s="8" t="str">
        <f>"施彦茹"</f>
        <v>施彦茹</v>
      </c>
      <c r="D407" s="8" t="str">
        <f>"女"</f>
        <v>女</v>
      </c>
      <c r="E407" s="8">
        <v>11</v>
      </c>
      <c r="F407" s="8" t="s">
        <v>12</v>
      </c>
      <c r="G407" s="8">
        <v>14</v>
      </c>
      <c r="H407" s="9">
        <v>81.1</v>
      </c>
      <c r="I407" s="10"/>
      <c r="J407" s="9">
        <v>81.1</v>
      </c>
    </row>
    <row r="408" customHeight="1" spans="1:10">
      <c r="A408" s="8" t="str">
        <f>"20206012429"</f>
        <v>20206012429</v>
      </c>
      <c r="B408" s="8" t="s">
        <v>46</v>
      </c>
      <c r="C408" s="8" t="str">
        <f>"吕梦"</f>
        <v>吕梦</v>
      </c>
      <c r="D408" s="8" t="str">
        <f>"女"</f>
        <v>女</v>
      </c>
      <c r="E408" s="8">
        <v>11</v>
      </c>
      <c r="F408" s="8" t="s">
        <v>12</v>
      </c>
      <c r="G408" s="8">
        <v>15</v>
      </c>
      <c r="H408" s="9">
        <v>79.74</v>
      </c>
      <c r="I408" s="10"/>
      <c r="J408" s="9">
        <v>79.74</v>
      </c>
    </row>
    <row r="409" customHeight="1" spans="1:10">
      <c r="A409" s="8" t="str">
        <f>"20206012501"</f>
        <v>20206012501</v>
      </c>
      <c r="B409" s="8" t="s">
        <v>46</v>
      </c>
      <c r="C409" s="8" t="str">
        <f>"王珂"</f>
        <v>王珂</v>
      </c>
      <c r="D409" s="8" t="str">
        <f>"女"</f>
        <v>女</v>
      </c>
      <c r="E409" s="8">
        <v>11</v>
      </c>
      <c r="F409" s="8" t="s">
        <v>12</v>
      </c>
      <c r="G409" s="8">
        <v>16</v>
      </c>
      <c r="H409" s="9">
        <v>76.48</v>
      </c>
      <c r="I409" s="10"/>
      <c r="J409" s="9">
        <v>76.48</v>
      </c>
    </row>
    <row r="410" customHeight="1" spans="1:10">
      <c r="A410" s="8" t="str">
        <f>"20206012507"</f>
        <v>20206012507</v>
      </c>
      <c r="B410" s="8" t="s">
        <v>46</v>
      </c>
      <c r="C410" s="8" t="str">
        <f>"秦宇"</f>
        <v>秦宇</v>
      </c>
      <c r="D410" s="8" t="str">
        <f>"女"</f>
        <v>女</v>
      </c>
      <c r="E410" s="8">
        <v>11</v>
      </c>
      <c r="F410" s="8" t="s">
        <v>12</v>
      </c>
      <c r="G410" s="8">
        <v>17</v>
      </c>
      <c r="H410" s="9">
        <v>80.36</v>
      </c>
      <c r="I410" s="10"/>
      <c r="J410" s="9">
        <v>80.36</v>
      </c>
    </row>
    <row r="411" customHeight="1" spans="1:10">
      <c r="A411" s="8" t="str">
        <f>"20206012504"</f>
        <v>20206012504</v>
      </c>
      <c r="B411" s="8" t="s">
        <v>46</v>
      </c>
      <c r="C411" s="8" t="str">
        <f>"刘昂"</f>
        <v>刘昂</v>
      </c>
      <c r="D411" s="8" t="str">
        <f>"男"</f>
        <v>男</v>
      </c>
      <c r="E411" s="8">
        <v>11</v>
      </c>
      <c r="F411" s="8" t="s">
        <v>12</v>
      </c>
      <c r="G411" s="8">
        <v>18</v>
      </c>
      <c r="H411" s="9">
        <v>81.24</v>
      </c>
      <c r="I411" s="10"/>
      <c r="J411" s="9">
        <v>81.24</v>
      </c>
    </row>
    <row r="412" customHeight="1" spans="1:10">
      <c r="A412" s="8" t="str">
        <f>"20206424210"</f>
        <v>20206424210</v>
      </c>
      <c r="B412" s="8" t="s">
        <v>52</v>
      </c>
      <c r="C412" s="8" t="str">
        <f>"韩悟禹"</f>
        <v>韩悟禹</v>
      </c>
      <c r="D412" s="8" t="str">
        <f>"男"</f>
        <v>男</v>
      </c>
      <c r="E412" s="8">
        <v>11</v>
      </c>
      <c r="F412" s="8" t="s">
        <v>12</v>
      </c>
      <c r="G412" s="8">
        <v>19</v>
      </c>
      <c r="H412" s="9">
        <v>76.86</v>
      </c>
      <c r="I412" s="10"/>
      <c r="J412" s="9">
        <v>76.86</v>
      </c>
    </row>
    <row r="413" customHeight="1" spans="1:10">
      <c r="A413" s="8" t="str">
        <f>"20206424204"</f>
        <v>20206424204</v>
      </c>
      <c r="B413" s="8" t="s">
        <v>52</v>
      </c>
      <c r="C413" s="8" t="str">
        <f>"秦梦"</f>
        <v>秦梦</v>
      </c>
      <c r="D413" s="8" t="str">
        <f>"女"</f>
        <v>女</v>
      </c>
      <c r="E413" s="8">
        <v>11</v>
      </c>
      <c r="F413" s="8" t="s">
        <v>12</v>
      </c>
      <c r="G413" s="8">
        <v>21</v>
      </c>
      <c r="H413" s="9">
        <v>78.5</v>
      </c>
      <c r="I413" s="10"/>
      <c r="J413" s="9">
        <v>78.5</v>
      </c>
    </row>
    <row r="414" customHeight="1" spans="1:10">
      <c r="A414" s="8" t="str">
        <f>"20206424216"</f>
        <v>20206424216</v>
      </c>
      <c r="B414" s="8" t="s">
        <v>52</v>
      </c>
      <c r="C414" s="8" t="str">
        <f>"张宇帆"</f>
        <v>张宇帆</v>
      </c>
      <c r="D414" s="8" t="str">
        <f>"男"</f>
        <v>男</v>
      </c>
      <c r="E414" s="8">
        <v>11</v>
      </c>
      <c r="F414" s="8" t="s">
        <v>12</v>
      </c>
      <c r="G414" s="8">
        <v>22</v>
      </c>
      <c r="H414" s="9">
        <v>76.24</v>
      </c>
      <c r="I414" s="10"/>
      <c r="J414" s="9">
        <v>76.24</v>
      </c>
    </row>
    <row r="415" customHeight="1" spans="1:10">
      <c r="A415" s="8" t="str">
        <f>"20206424205"</f>
        <v>20206424205</v>
      </c>
      <c r="B415" s="8" t="s">
        <v>52</v>
      </c>
      <c r="C415" s="8" t="str">
        <f>"乔锋"</f>
        <v>乔锋</v>
      </c>
      <c r="D415" s="8" t="str">
        <f>"男"</f>
        <v>男</v>
      </c>
      <c r="E415" s="8">
        <v>11</v>
      </c>
      <c r="F415" s="8" t="s">
        <v>12</v>
      </c>
      <c r="G415" s="8">
        <v>23</v>
      </c>
      <c r="H415" s="9">
        <v>82.86</v>
      </c>
      <c r="I415" s="10"/>
      <c r="J415" s="9">
        <v>82.86</v>
      </c>
    </row>
    <row r="416" customHeight="1" spans="1:10">
      <c r="A416" s="8" t="str">
        <f>"20206424208"</f>
        <v>20206424208</v>
      </c>
      <c r="B416" s="8" t="s">
        <v>52</v>
      </c>
      <c r="C416" s="8" t="str">
        <f>"贾书博"</f>
        <v>贾书博</v>
      </c>
      <c r="D416" s="8" t="str">
        <f>"女"</f>
        <v>女</v>
      </c>
      <c r="E416" s="8">
        <v>11</v>
      </c>
      <c r="F416" s="8" t="s">
        <v>12</v>
      </c>
      <c r="G416" s="8">
        <v>24</v>
      </c>
      <c r="H416" s="9">
        <v>81.02</v>
      </c>
      <c r="I416" s="10"/>
      <c r="J416" s="9">
        <v>81.02</v>
      </c>
    </row>
    <row r="417" customHeight="1" spans="1:10">
      <c r="A417" s="8" t="str">
        <f>"20206424127"</f>
        <v>20206424127</v>
      </c>
      <c r="B417" s="8" t="s">
        <v>52</v>
      </c>
      <c r="C417" s="8" t="str">
        <f>"王鑫"</f>
        <v>王鑫</v>
      </c>
      <c r="D417" s="8" t="str">
        <f>"女"</f>
        <v>女</v>
      </c>
      <c r="E417" s="8">
        <v>11</v>
      </c>
      <c r="F417" s="8" t="s">
        <v>12</v>
      </c>
      <c r="G417" s="8">
        <v>25</v>
      </c>
      <c r="H417" s="9">
        <v>81.94</v>
      </c>
      <c r="I417" s="10"/>
      <c r="J417" s="9">
        <v>81.94</v>
      </c>
    </row>
    <row r="418" customHeight="1" spans="1:10">
      <c r="A418" s="8" t="str">
        <f>"20206424125"</f>
        <v>20206424125</v>
      </c>
      <c r="B418" s="8" t="s">
        <v>52</v>
      </c>
      <c r="C418" s="8" t="str">
        <f>"马正果"</f>
        <v>马正果</v>
      </c>
      <c r="D418" s="8" t="str">
        <f>"女"</f>
        <v>女</v>
      </c>
      <c r="E418" s="8">
        <v>11</v>
      </c>
      <c r="F418" s="8" t="s">
        <v>12</v>
      </c>
      <c r="G418" s="8">
        <v>26</v>
      </c>
      <c r="H418" s="9">
        <v>74.14</v>
      </c>
      <c r="I418" s="10"/>
      <c r="J418" s="9">
        <v>74.14</v>
      </c>
    </row>
    <row r="419" customHeight="1" spans="1:10">
      <c r="A419" s="8" t="str">
        <f>"20206424212"</f>
        <v>20206424212</v>
      </c>
      <c r="B419" s="8" t="s">
        <v>52</v>
      </c>
      <c r="C419" s="8" t="str">
        <f>"尼洪勤"</f>
        <v>尼洪勤</v>
      </c>
      <c r="D419" s="8" t="str">
        <f>"女"</f>
        <v>女</v>
      </c>
      <c r="E419" s="8">
        <v>11</v>
      </c>
      <c r="F419" s="8" t="s">
        <v>12</v>
      </c>
      <c r="G419" s="8">
        <v>27</v>
      </c>
      <c r="H419" s="9">
        <v>83.1</v>
      </c>
      <c r="I419" s="10"/>
      <c r="J419" s="9">
        <v>83.1</v>
      </c>
    </row>
    <row r="420" customHeight="1" spans="1:10">
      <c r="A420" s="8" t="str">
        <f>"20206424130"</f>
        <v>20206424130</v>
      </c>
      <c r="B420" s="8" t="s">
        <v>52</v>
      </c>
      <c r="C420" s="8" t="str">
        <f>"刘雪"</f>
        <v>刘雪</v>
      </c>
      <c r="D420" s="8" t="str">
        <f>"女"</f>
        <v>女</v>
      </c>
      <c r="E420" s="8">
        <v>11</v>
      </c>
      <c r="F420" s="8" t="s">
        <v>12</v>
      </c>
      <c r="G420" s="8">
        <v>28</v>
      </c>
      <c r="H420" s="9">
        <v>83.04</v>
      </c>
      <c r="I420" s="10"/>
      <c r="J420" s="9">
        <v>83.04</v>
      </c>
    </row>
    <row r="421" customHeight="1" spans="1:10">
      <c r="A421" s="8" t="str">
        <f>"20206424207"</f>
        <v>20206424207</v>
      </c>
      <c r="B421" s="8" t="s">
        <v>52</v>
      </c>
      <c r="C421" s="8" t="str">
        <f>"赵正阳"</f>
        <v>赵正阳</v>
      </c>
      <c r="D421" s="8" t="str">
        <f>"男"</f>
        <v>男</v>
      </c>
      <c r="E421" s="8">
        <v>11</v>
      </c>
      <c r="F421" s="8" t="s">
        <v>12</v>
      </c>
      <c r="G421" s="8">
        <v>29</v>
      </c>
      <c r="H421" s="9">
        <v>80.24</v>
      </c>
      <c r="I421" s="10"/>
      <c r="J421" s="9">
        <v>80.24</v>
      </c>
    </row>
    <row r="422" customHeight="1" spans="1:10">
      <c r="A422" s="8" t="str">
        <f>"20206424129"</f>
        <v>20206424129</v>
      </c>
      <c r="B422" s="8" t="s">
        <v>52</v>
      </c>
      <c r="C422" s="8" t="str">
        <f>"张恩硕"</f>
        <v>张恩硕</v>
      </c>
      <c r="D422" s="8" t="str">
        <f>"男"</f>
        <v>男</v>
      </c>
      <c r="E422" s="8">
        <v>11</v>
      </c>
      <c r="F422" s="8" t="s">
        <v>12</v>
      </c>
      <c r="G422" s="8">
        <v>30</v>
      </c>
      <c r="H422" s="9">
        <v>75.02</v>
      </c>
      <c r="I422" s="10"/>
      <c r="J422" s="9">
        <v>75.02</v>
      </c>
    </row>
    <row r="423" customHeight="1" spans="1:10">
      <c r="A423" s="8" t="str">
        <f>"20206424128"</f>
        <v>20206424128</v>
      </c>
      <c r="B423" s="8" t="s">
        <v>52</v>
      </c>
      <c r="C423" s="8" t="str">
        <f>"李延东"</f>
        <v>李延东</v>
      </c>
      <c r="D423" s="8" t="str">
        <f>"男"</f>
        <v>男</v>
      </c>
      <c r="E423" s="8">
        <v>11</v>
      </c>
      <c r="F423" s="8" t="s">
        <v>12</v>
      </c>
      <c r="G423" s="8">
        <v>31</v>
      </c>
      <c r="H423" s="9">
        <v>72.54</v>
      </c>
      <c r="I423" s="10"/>
      <c r="J423" s="9">
        <v>72.54</v>
      </c>
    </row>
    <row r="424" customHeight="1" spans="1:10">
      <c r="A424" s="8" t="s">
        <v>53</v>
      </c>
      <c r="B424" s="8" t="s">
        <v>54</v>
      </c>
      <c r="C424" s="8" t="s">
        <v>55</v>
      </c>
      <c r="D424" s="8" t="s">
        <v>42</v>
      </c>
      <c r="E424" s="8">
        <v>11</v>
      </c>
      <c r="F424" s="8" t="s">
        <v>13</v>
      </c>
      <c r="G424" s="8">
        <v>1</v>
      </c>
      <c r="H424" s="9">
        <v>80.42</v>
      </c>
      <c r="I424" s="10"/>
      <c r="J424" s="9">
        <v>80.42</v>
      </c>
    </row>
    <row r="425" customHeight="1" spans="1:10">
      <c r="A425" s="8" t="s">
        <v>56</v>
      </c>
      <c r="B425" s="8" t="s">
        <v>54</v>
      </c>
      <c r="C425" s="8" t="s">
        <v>57</v>
      </c>
      <c r="D425" s="8" t="s">
        <v>42</v>
      </c>
      <c r="E425" s="8">
        <v>11</v>
      </c>
      <c r="F425" s="8" t="s">
        <v>13</v>
      </c>
      <c r="G425" s="8">
        <v>2</v>
      </c>
      <c r="H425" s="9">
        <v>83.7</v>
      </c>
      <c r="I425" s="10"/>
      <c r="J425" s="9">
        <v>83.7</v>
      </c>
    </row>
    <row r="426" customHeight="1" spans="1:10">
      <c r="A426" s="8" t="s">
        <v>58</v>
      </c>
      <c r="B426" s="8" t="s">
        <v>54</v>
      </c>
      <c r="C426" s="8" t="s">
        <v>59</v>
      </c>
      <c r="D426" s="8" t="s">
        <v>34</v>
      </c>
      <c r="E426" s="8">
        <v>11</v>
      </c>
      <c r="F426" s="8" t="s">
        <v>13</v>
      </c>
      <c r="G426" s="8">
        <v>3</v>
      </c>
      <c r="H426" s="9">
        <v>83.6</v>
      </c>
      <c r="I426" s="10"/>
      <c r="J426" s="9">
        <v>83.6</v>
      </c>
    </row>
    <row r="427" customHeight="1" spans="1:10">
      <c r="A427" s="8" t="s">
        <v>60</v>
      </c>
      <c r="B427" s="8" t="s">
        <v>54</v>
      </c>
      <c r="C427" s="8" t="s">
        <v>61</v>
      </c>
      <c r="D427" s="8" t="s">
        <v>34</v>
      </c>
      <c r="E427" s="8">
        <v>11</v>
      </c>
      <c r="F427" s="8" t="s">
        <v>13</v>
      </c>
      <c r="G427" s="8">
        <v>4</v>
      </c>
      <c r="H427" s="9">
        <v>85.04</v>
      </c>
      <c r="I427" s="10"/>
      <c r="J427" s="9">
        <v>85.04</v>
      </c>
    </row>
    <row r="428" customHeight="1" spans="1:10">
      <c r="A428" s="8" t="s">
        <v>62</v>
      </c>
      <c r="B428" s="8" t="s">
        <v>54</v>
      </c>
      <c r="C428" s="8" t="s">
        <v>63</v>
      </c>
      <c r="D428" s="8" t="s">
        <v>34</v>
      </c>
      <c r="E428" s="8">
        <v>11</v>
      </c>
      <c r="F428" s="8" t="s">
        <v>13</v>
      </c>
      <c r="G428" s="8">
        <v>5</v>
      </c>
      <c r="H428" s="9">
        <v>81.08</v>
      </c>
      <c r="I428" s="10"/>
      <c r="J428" s="9">
        <v>81.08</v>
      </c>
    </row>
    <row r="429" customHeight="1" spans="1:10">
      <c r="A429" s="8" t="str">
        <f>"20205712322"</f>
        <v>20205712322</v>
      </c>
      <c r="B429" s="8" t="s">
        <v>64</v>
      </c>
      <c r="C429" s="8" t="str">
        <f>"陈亚茹"</f>
        <v>陈亚茹</v>
      </c>
      <c r="D429" s="8" t="str">
        <f>"女"</f>
        <v>女</v>
      </c>
      <c r="E429" s="8">
        <v>11</v>
      </c>
      <c r="F429" s="8" t="s">
        <v>13</v>
      </c>
      <c r="G429" s="8">
        <v>6</v>
      </c>
      <c r="H429" s="9">
        <v>79.18</v>
      </c>
      <c r="I429" s="10"/>
      <c r="J429" s="9">
        <v>79.18</v>
      </c>
    </row>
    <row r="430" customHeight="1" spans="1:10">
      <c r="A430" s="8" t="str">
        <f>"20202711109"</f>
        <v>20202711109</v>
      </c>
      <c r="B430" s="8" t="s">
        <v>65</v>
      </c>
      <c r="C430" s="8" t="str">
        <f>"来小双"</f>
        <v>来小双</v>
      </c>
      <c r="D430" s="8" t="str">
        <f>"女"</f>
        <v>女</v>
      </c>
      <c r="E430" s="8">
        <v>11</v>
      </c>
      <c r="F430" s="8" t="s">
        <v>13</v>
      </c>
      <c r="G430" s="8">
        <v>7</v>
      </c>
      <c r="H430" s="9">
        <v>86.08</v>
      </c>
      <c r="I430" s="10"/>
      <c r="J430" s="9">
        <v>86.08</v>
      </c>
    </row>
    <row r="431" customHeight="1" spans="1:10">
      <c r="A431" s="8" t="str">
        <f>"20202711112"</f>
        <v>20202711112</v>
      </c>
      <c r="B431" s="8" t="s">
        <v>65</v>
      </c>
      <c r="C431" s="8" t="str">
        <f>"屠振华"</f>
        <v>屠振华</v>
      </c>
      <c r="D431" s="8" t="str">
        <f>"女"</f>
        <v>女</v>
      </c>
      <c r="E431" s="8">
        <v>11</v>
      </c>
      <c r="F431" s="8" t="s">
        <v>13</v>
      </c>
      <c r="G431" s="8">
        <v>8</v>
      </c>
      <c r="H431" s="9">
        <v>73.98</v>
      </c>
      <c r="I431" s="10"/>
      <c r="J431" s="9">
        <v>73.98</v>
      </c>
    </row>
    <row r="432" customHeight="1" spans="1:10">
      <c r="A432" s="8" t="str">
        <f>"20202711101"</f>
        <v>20202711101</v>
      </c>
      <c r="B432" s="8" t="s">
        <v>65</v>
      </c>
      <c r="C432" s="8" t="str">
        <f>"王永宾"</f>
        <v>王永宾</v>
      </c>
      <c r="D432" s="8" t="str">
        <f>"男"</f>
        <v>男</v>
      </c>
      <c r="E432" s="8">
        <v>11</v>
      </c>
      <c r="F432" s="8" t="s">
        <v>13</v>
      </c>
      <c r="G432" s="8">
        <v>9</v>
      </c>
      <c r="H432" s="9">
        <v>80.02</v>
      </c>
      <c r="I432" s="10"/>
      <c r="J432" s="9">
        <v>80.02</v>
      </c>
    </row>
    <row r="433" customHeight="1" spans="1:10">
      <c r="A433" s="8" t="str">
        <f>"20202711110"</f>
        <v>20202711110</v>
      </c>
      <c r="B433" s="8" t="s">
        <v>65</v>
      </c>
      <c r="C433" s="8" t="str">
        <f>"王可"</f>
        <v>王可</v>
      </c>
      <c r="D433" s="8" t="str">
        <f>"女"</f>
        <v>女</v>
      </c>
      <c r="E433" s="8">
        <v>11</v>
      </c>
      <c r="F433" s="8" t="s">
        <v>13</v>
      </c>
      <c r="G433" s="8">
        <v>10</v>
      </c>
      <c r="H433" s="9">
        <v>81.42</v>
      </c>
      <c r="I433" s="10"/>
      <c r="J433" s="9">
        <v>81.42</v>
      </c>
    </row>
    <row r="434" customHeight="1" spans="1:10">
      <c r="A434" s="8" t="str">
        <f>"20202711105"</f>
        <v>20202711105</v>
      </c>
      <c r="B434" s="8" t="s">
        <v>65</v>
      </c>
      <c r="C434" s="8" t="str">
        <f>"王庆伟"</f>
        <v>王庆伟</v>
      </c>
      <c r="D434" s="8" t="str">
        <f>"女"</f>
        <v>女</v>
      </c>
      <c r="E434" s="8">
        <v>11</v>
      </c>
      <c r="F434" s="8" t="s">
        <v>13</v>
      </c>
      <c r="G434" s="8">
        <v>11</v>
      </c>
      <c r="H434" s="9">
        <v>83.8</v>
      </c>
      <c r="I434" s="10"/>
      <c r="J434" s="9">
        <v>83.8</v>
      </c>
    </row>
    <row r="435" customHeight="1" spans="1:10">
      <c r="A435" s="8" t="str">
        <f>"20205712317"</f>
        <v>20205712317</v>
      </c>
      <c r="B435" s="8" t="s">
        <v>64</v>
      </c>
      <c r="C435" s="8" t="str">
        <f>"崔昶"</f>
        <v>崔昶</v>
      </c>
      <c r="D435" s="8" t="str">
        <f>"男"</f>
        <v>男</v>
      </c>
      <c r="E435" s="8">
        <v>11</v>
      </c>
      <c r="F435" s="8" t="s">
        <v>13</v>
      </c>
      <c r="G435" s="8">
        <v>12</v>
      </c>
      <c r="H435" s="9">
        <v>76.64</v>
      </c>
      <c r="I435" s="10"/>
      <c r="J435" s="9">
        <v>76.64</v>
      </c>
    </row>
    <row r="436" customHeight="1" spans="1:10">
      <c r="A436" s="8" t="str">
        <f>"20202711106"</f>
        <v>20202711106</v>
      </c>
      <c r="B436" s="8" t="s">
        <v>65</v>
      </c>
      <c r="C436" s="8" t="str">
        <f>"陶明真"</f>
        <v>陶明真</v>
      </c>
      <c r="D436" s="8" t="str">
        <f t="shared" ref="D436:D447" si="21">"女"</f>
        <v>女</v>
      </c>
      <c r="E436" s="8">
        <v>11</v>
      </c>
      <c r="F436" s="8" t="s">
        <v>13</v>
      </c>
      <c r="G436" s="8">
        <v>13</v>
      </c>
      <c r="H436" s="9">
        <v>82.12</v>
      </c>
      <c r="I436" s="10"/>
      <c r="J436" s="9">
        <v>82.12</v>
      </c>
    </row>
    <row r="437" customHeight="1" spans="1:10">
      <c r="A437" s="8" t="str">
        <f>"20202711104"</f>
        <v>20202711104</v>
      </c>
      <c r="B437" s="8" t="s">
        <v>65</v>
      </c>
      <c r="C437" s="8" t="str">
        <f>"安伶俐"</f>
        <v>安伶俐</v>
      </c>
      <c r="D437" s="8" t="str">
        <f t="shared" si="21"/>
        <v>女</v>
      </c>
      <c r="E437" s="8">
        <v>11</v>
      </c>
      <c r="F437" s="8" t="s">
        <v>13</v>
      </c>
      <c r="G437" s="8">
        <v>14</v>
      </c>
      <c r="H437" s="9">
        <v>79.32</v>
      </c>
      <c r="I437" s="10"/>
      <c r="J437" s="9">
        <v>79.32</v>
      </c>
    </row>
    <row r="438" customHeight="1" spans="1:10">
      <c r="A438" s="8" t="str">
        <f>"20202711107"</f>
        <v>20202711107</v>
      </c>
      <c r="B438" s="8" t="s">
        <v>65</v>
      </c>
      <c r="C438" s="8" t="str">
        <f>"高爽"</f>
        <v>高爽</v>
      </c>
      <c r="D438" s="8" t="str">
        <f t="shared" si="21"/>
        <v>女</v>
      </c>
      <c r="E438" s="8">
        <v>11</v>
      </c>
      <c r="F438" s="8" t="s">
        <v>13</v>
      </c>
      <c r="G438" s="8">
        <v>15</v>
      </c>
      <c r="H438" s="9">
        <v>82.02</v>
      </c>
      <c r="I438" s="10"/>
      <c r="J438" s="9">
        <v>82.02</v>
      </c>
    </row>
    <row r="439" customHeight="1" spans="1:10">
      <c r="A439" s="8" t="str">
        <f>"20202711111"</f>
        <v>20202711111</v>
      </c>
      <c r="B439" s="8" t="s">
        <v>65</v>
      </c>
      <c r="C439" s="8" t="str">
        <f>"冯立爽"</f>
        <v>冯立爽</v>
      </c>
      <c r="D439" s="8" t="str">
        <f t="shared" si="21"/>
        <v>女</v>
      </c>
      <c r="E439" s="8">
        <v>11</v>
      </c>
      <c r="F439" s="8" t="s">
        <v>13</v>
      </c>
      <c r="G439" s="8">
        <v>16</v>
      </c>
      <c r="H439" s="9">
        <v>84.48</v>
      </c>
      <c r="I439" s="10"/>
      <c r="J439" s="9">
        <v>84.48</v>
      </c>
    </row>
    <row r="440" customHeight="1" spans="1:10">
      <c r="A440" s="8" t="str">
        <f>"20202811201"</f>
        <v>20202811201</v>
      </c>
      <c r="B440" s="8" t="s">
        <v>66</v>
      </c>
      <c r="C440" s="8" t="str">
        <f>"赵晓露"</f>
        <v>赵晓露</v>
      </c>
      <c r="D440" s="8" t="str">
        <f t="shared" si="21"/>
        <v>女</v>
      </c>
      <c r="E440" s="8">
        <v>12</v>
      </c>
      <c r="F440" s="8" t="s">
        <v>12</v>
      </c>
      <c r="G440" s="8">
        <v>2</v>
      </c>
      <c r="H440" s="9">
        <v>80.48</v>
      </c>
      <c r="I440" s="10"/>
      <c r="J440" s="9">
        <v>80.48</v>
      </c>
    </row>
    <row r="441" customHeight="1" spans="1:10">
      <c r="A441" s="8" t="str">
        <f>"20200810229"</f>
        <v>20200810229</v>
      </c>
      <c r="B441" s="8" t="s">
        <v>67</v>
      </c>
      <c r="C441" s="8" t="str">
        <f>"徐卫珍"</f>
        <v>徐卫珍</v>
      </c>
      <c r="D441" s="8" t="str">
        <f t="shared" si="21"/>
        <v>女</v>
      </c>
      <c r="E441" s="8">
        <v>12</v>
      </c>
      <c r="F441" s="8" t="s">
        <v>12</v>
      </c>
      <c r="G441" s="8">
        <v>3</v>
      </c>
      <c r="H441" s="9">
        <v>88.7</v>
      </c>
      <c r="I441" s="10"/>
      <c r="J441" s="9">
        <v>88.7</v>
      </c>
    </row>
    <row r="442" customHeight="1" spans="1:10">
      <c r="A442" s="8" t="str">
        <f>"20200810305"</f>
        <v>20200810305</v>
      </c>
      <c r="B442" s="8" t="s">
        <v>67</v>
      </c>
      <c r="C442" s="8" t="str">
        <f>"岳闪闪"</f>
        <v>岳闪闪</v>
      </c>
      <c r="D442" s="8" t="str">
        <f t="shared" si="21"/>
        <v>女</v>
      </c>
      <c r="E442" s="8">
        <v>12</v>
      </c>
      <c r="F442" s="8" t="s">
        <v>12</v>
      </c>
      <c r="G442" s="8">
        <v>4</v>
      </c>
      <c r="H442" s="9">
        <v>85.58</v>
      </c>
      <c r="I442" s="10"/>
      <c r="J442" s="9">
        <v>85.58</v>
      </c>
    </row>
    <row r="443" customHeight="1" spans="1:10">
      <c r="A443" s="8" t="str">
        <f>"20205812326"</f>
        <v>20205812326</v>
      </c>
      <c r="B443" s="8" t="s">
        <v>68</v>
      </c>
      <c r="C443" s="8" t="str">
        <f>"王蕊"</f>
        <v>王蕊</v>
      </c>
      <c r="D443" s="8" t="str">
        <f t="shared" si="21"/>
        <v>女</v>
      </c>
      <c r="E443" s="8">
        <v>12</v>
      </c>
      <c r="F443" s="8" t="s">
        <v>12</v>
      </c>
      <c r="G443" s="8">
        <v>5</v>
      </c>
      <c r="H443" s="9">
        <v>74.06</v>
      </c>
      <c r="I443" s="10"/>
      <c r="J443" s="9">
        <v>74.06</v>
      </c>
    </row>
    <row r="444" customHeight="1" spans="1:10">
      <c r="A444" s="8" t="str">
        <f>"20205812408"</f>
        <v>20205812408</v>
      </c>
      <c r="B444" s="8" t="s">
        <v>68</v>
      </c>
      <c r="C444" s="8" t="str">
        <f>"樊欣意"</f>
        <v>樊欣意</v>
      </c>
      <c r="D444" s="8" t="str">
        <f t="shared" si="21"/>
        <v>女</v>
      </c>
      <c r="E444" s="8">
        <v>12</v>
      </c>
      <c r="F444" s="8" t="s">
        <v>12</v>
      </c>
      <c r="G444" s="8">
        <v>7</v>
      </c>
      <c r="H444" s="9">
        <v>83.08</v>
      </c>
      <c r="I444" s="10"/>
      <c r="J444" s="9">
        <v>83.08</v>
      </c>
    </row>
    <row r="445" customHeight="1" spans="1:10">
      <c r="A445" s="8" t="str">
        <f>"20202811116"</f>
        <v>20202811116</v>
      </c>
      <c r="B445" s="8" t="s">
        <v>66</v>
      </c>
      <c r="C445" s="8" t="str">
        <f>"闫闯"</f>
        <v>闫闯</v>
      </c>
      <c r="D445" s="8" t="str">
        <f t="shared" si="21"/>
        <v>女</v>
      </c>
      <c r="E445" s="8">
        <v>12</v>
      </c>
      <c r="F445" s="8" t="s">
        <v>12</v>
      </c>
      <c r="G445" s="8">
        <v>8</v>
      </c>
      <c r="H445" s="9">
        <v>80.82</v>
      </c>
      <c r="I445" s="10"/>
      <c r="J445" s="9">
        <v>80.82</v>
      </c>
    </row>
    <row r="446" customHeight="1" spans="1:10">
      <c r="A446" s="8" t="str">
        <f>"20200810302"</f>
        <v>20200810302</v>
      </c>
      <c r="B446" s="8" t="s">
        <v>67</v>
      </c>
      <c r="C446" s="8" t="str">
        <f>"唐元元"</f>
        <v>唐元元</v>
      </c>
      <c r="D446" s="8" t="str">
        <f t="shared" si="21"/>
        <v>女</v>
      </c>
      <c r="E446" s="8">
        <v>12</v>
      </c>
      <c r="F446" s="8" t="s">
        <v>12</v>
      </c>
      <c r="G446" s="8">
        <v>9</v>
      </c>
      <c r="H446" s="9">
        <v>80.96</v>
      </c>
      <c r="I446" s="10"/>
      <c r="J446" s="9">
        <v>80.96</v>
      </c>
    </row>
    <row r="447" customHeight="1" spans="1:10">
      <c r="A447" s="8" t="str">
        <f>"20200810230"</f>
        <v>20200810230</v>
      </c>
      <c r="B447" s="8" t="s">
        <v>67</v>
      </c>
      <c r="C447" s="8" t="str">
        <f>"张明月"</f>
        <v>张明月</v>
      </c>
      <c r="D447" s="8" t="str">
        <f t="shared" si="21"/>
        <v>女</v>
      </c>
      <c r="E447" s="8">
        <v>12</v>
      </c>
      <c r="F447" s="8" t="s">
        <v>12</v>
      </c>
      <c r="G447" s="8">
        <v>10</v>
      </c>
      <c r="H447" s="9">
        <v>80.2</v>
      </c>
      <c r="I447" s="10"/>
      <c r="J447" s="9">
        <v>80.2</v>
      </c>
    </row>
    <row r="448" customHeight="1" spans="1:10">
      <c r="A448" s="8" t="str">
        <f>"20205812403"</f>
        <v>20205812403</v>
      </c>
      <c r="B448" s="8" t="s">
        <v>68</v>
      </c>
      <c r="C448" s="8" t="str">
        <f>"孙振林"</f>
        <v>孙振林</v>
      </c>
      <c r="D448" s="8" t="str">
        <f>"男"</f>
        <v>男</v>
      </c>
      <c r="E448" s="8">
        <v>12</v>
      </c>
      <c r="F448" s="8" t="s">
        <v>12</v>
      </c>
      <c r="G448" s="8">
        <v>11</v>
      </c>
      <c r="H448" s="9">
        <v>79.38</v>
      </c>
      <c r="I448" s="10"/>
      <c r="J448" s="9">
        <v>79.38</v>
      </c>
    </row>
    <row r="449" customHeight="1" spans="1:10">
      <c r="A449" s="8" t="str">
        <f>"20205812402"</f>
        <v>20205812402</v>
      </c>
      <c r="B449" s="8" t="s">
        <v>68</v>
      </c>
      <c r="C449" s="8" t="str">
        <f>"蒋亚涵"</f>
        <v>蒋亚涵</v>
      </c>
      <c r="D449" s="8" t="str">
        <f>"女"</f>
        <v>女</v>
      </c>
      <c r="E449" s="8">
        <v>12</v>
      </c>
      <c r="F449" s="8" t="s">
        <v>12</v>
      </c>
      <c r="G449" s="8">
        <v>12</v>
      </c>
      <c r="H449" s="9">
        <v>74.26</v>
      </c>
      <c r="I449" s="10"/>
      <c r="J449" s="9">
        <v>74.26</v>
      </c>
    </row>
    <row r="450" customHeight="1" spans="1:10">
      <c r="A450" s="8" t="str">
        <f>"20200810308"</f>
        <v>20200810308</v>
      </c>
      <c r="B450" s="8" t="s">
        <v>67</v>
      </c>
      <c r="C450" s="8" t="str">
        <f>"白宏宇"</f>
        <v>白宏宇</v>
      </c>
      <c r="D450" s="8" t="str">
        <f>"女"</f>
        <v>女</v>
      </c>
      <c r="E450" s="8">
        <v>12</v>
      </c>
      <c r="F450" s="8" t="s">
        <v>12</v>
      </c>
      <c r="G450" s="8">
        <v>13</v>
      </c>
      <c r="H450" s="9">
        <v>73.82</v>
      </c>
      <c r="I450" s="10"/>
      <c r="J450" s="9">
        <v>73.82</v>
      </c>
    </row>
    <row r="451" customHeight="1" spans="1:10">
      <c r="A451" s="8" t="str">
        <f>"20205812407"</f>
        <v>20205812407</v>
      </c>
      <c r="B451" s="8" t="s">
        <v>68</v>
      </c>
      <c r="C451" s="8" t="str">
        <f>"高嘉庆"</f>
        <v>高嘉庆</v>
      </c>
      <c r="D451" s="8" t="str">
        <f>"男"</f>
        <v>男</v>
      </c>
      <c r="E451" s="8">
        <v>12</v>
      </c>
      <c r="F451" s="8" t="s">
        <v>12</v>
      </c>
      <c r="G451" s="8">
        <v>14</v>
      </c>
      <c r="H451" s="9">
        <v>84.08</v>
      </c>
      <c r="I451" s="10"/>
      <c r="J451" s="9">
        <v>84.08</v>
      </c>
    </row>
    <row r="452" customHeight="1" spans="1:10">
      <c r="A452" s="8" t="str">
        <f>"20200810312"</f>
        <v>20200810312</v>
      </c>
      <c r="B452" s="8" t="s">
        <v>67</v>
      </c>
      <c r="C452" s="8" t="str">
        <f>"张瑜"</f>
        <v>张瑜</v>
      </c>
      <c r="D452" s="8" t="str">
        <f t="shared" ref="D452:D458" si="22">"女"</f>
        <v>女</v>
      </c>
      <c r="E452" s="8">
        <v>12</v>
      </c>
      <c r="F452" s="8" t="s">
        <v>12</v>
      </c>
      <c r="G452" s="8">
        <v>15</v>
      </c>
      <c r="H452" s="9">
        <v>77.42</v>
      </c>
      <c r="I452" s="10"/>
      <c r="J452" s="9">
        <v>77.42</v>
      </c>
    </row>
    <row r="453" customHeight="1" spans="1:10">
      <c r="A453" s="8" t="str">
        <f>"20202811121"</f>
        <v>20202811121</v>
      </c>
      <c r="B453" s="8" t="s">
        <v>66</v>
      </c>
      <c r="C453" s="8" t="str">
        <f>"宗真真"</f>
        <v>宗真真</v>
      </c>
      <c r="D453" s="8" t="str">
        <f t="shared" si="22"/>
        <v>女</v>
      </c>
      <c r="E453" s="8">
        <v>12</v>
      </c>
      <c r="F453" s="8" t="s">
        <v>12</v>
      </c>
      <c r="G453" s="8">
        <v>16</v>
      </c>
      <c r="H453" s="9">
        <v>74.08</v>
      </c>
      <c r="I453" s="10"/>
      <c r="J453" s="9">
        <v>74.08</v>
      </c>
    </row>
    <row r="454" customHeight="1" spans="1:10">
      <c r="A454" s="8" t="str">
        <f>"20202811128"</f>
        <v>20202811128</v>
      </c>
      <c r="B454" s="8" t="s">
        <v>66</v>
      </c>
      <c r="C454" s="8" t="str">
        <f>"周有存"</f>
        <v>周有存</v>
      </c>
      <c r="D454" s="8" t="str">
        <f t="shared" si="22"/>
        <v>女</v>
      </c>
      <c r="E454" s="8">
        <v>12</v>
      </c>
      <c r="F454" s="8" t="s">
        <v>12</v>
      </c>
      <c r="G454" s="8">
        <v>17</v>
      </c>
      <c r="H454" s="9">
        <v>81.68</v>
      </c>
      <c r="I454" s="10"/>
      <c r="J454" s="9">
        <v>81.68</v>
      </c>
    </row>
    <row r="455" customHeight="1" spans="1:10">
      <c r="A455" s="8" t="str">
        <f>"20200810311"</f>
        <v>20200810311</v>
      </c>
      <c r="B455" s="8" t="s">
        <v>67</v>
      </c>
      <c r="C455" s="8" t="str">
        <f>"刘会杰"</f>
        <v>刘会杰</v>
      </c>
      <c r="D455" s="8" t="str">
        <f t="shared" si="22"/>
        <v>女</v>
      </c>
      <c r="E455" s="8">
        <v>12</v>
      </c>
      <c r="F455" s="8" t="s">
        <v>12</v>
      </c>
      <c r="G455" s="8">
        <v>18</v>
      </c>
      <c r="H455" s="9">
        <v>82.74</v>
      </c>
      <c r="I455" s="10"/>
      <c r="J455" s="9">
        <v>82.74</v>
      </c>
    </row>
    <row r="456" customHeight="1" spans="1:10">
      <c r="A456" s="8" t="str">
        <f>"20202811130"</f>
        <v>20202811130</v>
      </c>
      <c r="B456" s="8" t="s">
        <v>66</v>
      </c>
      <c r="C456" s="8" t="str">
        <f>"邢婵媛"</f>
        <v>邢婵媛</v>
      </c>
      <c r="D456" s="8" t="str">
        <f t="shared" si="22"/>
        <v>女</v>
      </c>
      <c r="E456" s="8">
        <v>12</v>
      </c>
      <c r="F456" s="8" t="s">
        <v>12</v>
      </c>
      <c r="G456" s="8">
        <v>19</v>
      </c>
      <c r="H456" s="9">
        <v>83.8</v>
      </c>
      <c r="I456" s="10"/>
      <c r="J456" s="9">
        <v>83.8</v>
      </c>
    </row>
    <row r="457" customHeight="1" spans="1:10">
      <c r="A457" s="8" t="str">
        <f>"20205812327"</f>
        <v>20205812327</v>
      </c>
      <c r="B457" s="8" t="s">
        <v>68</v>
      </c>
      <c r="C457" s="8" t="str">
        <f>"韩春红"</f>
        <v>韩春红</v>
      </c>
      <c r="D457" s="8" t="str">
        <f t="shared" si="22"/>
        <v>女</v>
      </c>
      <c r="E457" s="8">
        <v>12</v>
      </c>
      <c r="F457" s="8" t="s">
        <v>12</v>
      </c>
      <c r="G457" s="8">
        <v>20</v>
      </c>
      <c r="H457" s="9">
        <v>76.46</v>
      </c>
      <c r="I457" s="10"/>
      <c r="J457" s="9">
        <v>76.46</v>
      </c>
    </row>
    <row r="458" customHeight="1" spans="1:10">
      <c r="A458" s="8" t="str">
        <f>"20200810310"</f>
        <v>20200810310</v>
      </c>
      <c r="B458" s="8" t="s">
        <v>67</v>
      </c>
      <c r="C458" s="8" t="str">
        <f>"许丹"</f>
        <v>许丹</v>
      </c>
      <c r="D458" s="8" t="str">
        <f t="shared" si="22"/>
        <v>女</v>
      </c>
      <c r="E458" s="8">
        <v>12</v>
      </c>
      <c r="F458" s="8" t="s">
        <v>12</v>
      </c>
      <c r="G458" s="8">
        <v>21</v>
      </c>
      <c r="H458" s="9">
        <v>81.86</v>
      </c>
      <c r="I458" s="10"/>
      <c r="J458" s="9">
        <v>81.86</v>
      </c>
    </row>
    <row r="459" customHeight="1" spans="1:10">
      <c r="A459" s="8" t="str">
        <f>"20200810304"</f>
        <v>20200810304</v>
      </c>
      <c r="B459" s="8" t="s">
        <v>67</v>
      </c>
      <c r="C459" s="8" t="str">
        <f>"马冬清"</f>
        <v>马冬清</v>
      </c>
      <c r="D459" s="8" t="str">
        <f>"男"</f>
        <v>男</v>
      </c>
      <c r="E459" s="8">
        <v>12</v>
      </c>
      <c r="F459" s="8" t="s">
        <v>12</v>
      </c>
      <c r="G459" s="8">
        <v>22</v>
      </c>
      <c r="H459" s="9">
        <v>78.16</v>
      </c>
      <c r="I459" s="10"/>
      <c r="J459" s="9">
        <v>78.16</v>
      </c>
    </row>
    <row r="460" customHeight="1" spans="1:10">
      <c r="A460" s="8" t="str">
        <f>"20202911215"</f>
        <v>20202911215</v>
      </c>
      <c r="B460" s="8" t="s">
        <v>69</v>
      </c>
      <c r="C460" s="8" t="str">
        <f>"张士选"</f>
        <v>张士选</v>
      </c>
      <c r="D460" s="8" t="str">
        <f>"男"</f>
        <v>男</v>
      </c>
      <c r="E460" s="8">
        <v>12</v>
      </c>
      <c r="F460" s="8" t="s">
        <v>13</v>
      </c>
      <c r="G460" s="8">
        <v>1</v>
      </c>
      <c r="H460" s="9">
        <v>77.8</v>
      </c>
      <c r="I460" s="10"/>
      <c r="J460" s="9">
        <v>77.8</v>
      </c>
    </row>
    <row r="461" customHeight="1" spans="1:10">
      <c r="A461" s="8" t="str">
        <f>"20205912421"</f>
        <v>20205912421</v>
      </c>
      <c r="B461" s="8" t="s">
        <v>70</v>
      </c>
      <c r="C461" s="8" t="str">
        <f>"李萌雅"</f>
        <v>李萌雅</v>
      </c>
      <c r="D461" s="8" t="str">
        <f t="shared" ref="D461:D470" si="23">"女"</f>
        <v>女</v>
      </c>
      <c r="E461" s="8">
        <v>12</v>
      </c>
      <c r="F461" s="8" t="s">
        <v>13</v>
      </c>
      <c r="G461" s="8">
        <v>2</v>
      </c>
      <c r="H461" s="9">
        <v>87.24</v>
      </c>
      <c r="I461" s="10"/>
      <c r="J461" s="9">
        <v>87.24</v>
      </c>
    </row>
    <row r="462" customHeight="1" spans="1:10">
      <c r="A462" s="8" t="str">
        <f>"20205912417"</f>
        <v>20205912417</v>
      </c>
      <c r="B462" s="8" t="s">
        <v>70</v>
      </c>
      <c r="C462" s="8" t="str">
        <f>"翟冬婉"</f>
        <v>翟冬婉</v>
      </c>
      <c r="D462" s="8" t="str">
        <f t="shared" si="23"/>
        <v>女</v>
      </c>
      <c r="E462" s="8">
        <v>12</v>
      </c>
      <c r="F462" s="8" t="s">
        <v>13</v>
      </c>
      <c r="G462" s="8">
        <v>3</v>
      </c>
      <c r="H462" s="9">
        <v>83.58</v>
      </c>
      <c r="I462" s="10"/>
      <c r="J462" s="9">
        <v>83.58</v>
      </c>
    </row>
    <row r="463" customHeight="1" spans="1:10">
      <c r="A463" s="8" t="str">
        <f>"20202911210"</f>
        <v>20202911210</v>
      </c>
      <c r="B463" s="8" t="s">
        <v>69</v>
      </c>
      <c r="C463" s="8" t="str">
        <f>"宋亚静"</f>
        <v>宋亚静</v>
      </c>
      <c r="D463" s="8" t="str">
        <f t="shared" si="23"/>
        <v>女</v>
      </c>
      <c r="E463" s="8">
        <v>12</v>
      </c>
      <c r="F463" s="8" t="s">
        <v>13</v>
      </c>
      <c r="G463" s="8">
        <v>4</v>
      </c>
      <c r="H463" s="9">
        <v>77.58</v>
      </c>
      <c r="I463" s="10"/>
      <c r="J463" s="9">
        <v>77.58</v>
      </c>
    </row>
    <row r="464" customHeight="1" spans="1:10">
      <c r="A464" s="8" t="str">
        <f>"20200910402"</f>
        <v>20200910402</v>
      </c>
      <c r="B464" s="8" t="s">
        <v>71</v>
      </c>
      <c r="C464" s="8" t="str">
        <f>"杨伟"</f>
        <v>杨伟</v>
      </c>
      <c r="D464" s="8" t="str">
        <f t="shared" si="23"/>
        <v>女</v>
      </c>
      <c r="E464" s="8">
        <v>12</v>
      </c>
      <c r="F464" s="8" t="s">
        <v>13</v>
      </c>
      <c r="G464" s="8">
        <v>5</v>
      </c>
      <c r="H464" s="9">
        <v>80.88</v>
      </c>
      <c r="I464" s="10"/>
      <c r="J464" s="9">
        <v>80.88</v>
      </c>
    </row>
    <row r="465" customHeight="1" spans="1:10">
      <c r="A465" s="8" t="str">
        <f>"20200910322"</f>
        <v>20200910322</v>
      </c>
      <c r="B465" s="8" t="s">
        <v>71</v>
      </c>
      <c r="C465" s="8" t="str">
        <f>"段清清"</f>
        <v>段清清</v>
      </c>
      <c r="D465" s="8" t="str">
        <f t="shared" si="23"/>
        <v>女</v>
      </c>
      <c r="E465" s="8">
        <v>12</v>
      </c>
      <c r="F465" s="8" t="s">
        <v>13</v>
      </c>
      <c r="G465" s="8">
        <v>6</v>
      </c>
      <c r="H465" s="9">
        <v>74.36</v>
      </c>
      <c r="I465" s="10"/>
      <c r="J465" s="9">
        <v>74.36</v>
      </c>
    </row>
    <row r="466" customHeight="1" spans="1:10">
      <c r="A466" s="8" t="str">
        <f>"20205912416"</f>
        <v>20205912416</v>
      </c>
      <c r="B466" s="8" t="s">
        <v>70</v>
      </c>
      <c r="C466" s="8" t="str">
        <f>"郭美媛"</f>
        <v>郭美媛</v>
      </c>
      <c r="D466" s="8" t="str">
        <f t="shared" si="23"/>
        <v>女</v>
      </c>
      <c r="E466" s="8">
        <v>12</v>
      </c>
      <c r="F466" s="8" t="s">
        <v>13</v>
      </c>
      <c r="G466" s="8">
        <v>7</v>
      </c>
      <c r="H466" s="9">
        <v>77.74</v>
      </c>
      <c r="I466" s="10"/>
      <c r="J466" s="9">
        <v>77.74</v>
      </c>
    </row>
    <row r="467" customHeight="1" spans="1:10">
      <c r="A467" s="8" t="str">
        <f>"20200910329"</f>
        <v>20200910329</v>
      </c>
      <c r="B467" s="8" t="s">
        <v>71</v>
      </c>
      <c r="C467" s="8" t="str">
        <f>"刘佳乐"</f>
        <v>刘佳乐</v>
      </c>
      <c r="D467" s="8" t="str">
        <f t="shared" si="23"/>
        <v>女</v>
      </c>
      <c r="E467" s="8">
        <v>12</v>
      </c>
      <c r="F467" s="8" t="s">
        <v>13</v>
      </c>
      <c r="G467" s="8">
        <v>8</v>
      </c>
      <c r="H467" s="9">
        <v>75.8</v>
      </c>
      <c r="I467" s="10"/>
      <c r="J467" s="9">
        <v>75.8</v>
      </c>
    </row>
    <row r="468" customHeight="1" spans="1:10">
      <c r="A468" s="8" t="str">
        <f>"20205912424"</f>
        <v>20205912424</v>
      </c>
      <c r="B468" s="8" t="s">
        <v>70</v>
      </c>
      <c r="C468" s="8" t="str">
        <f>"周虹辉"</f>
        <v>周虹辉</v>
      </c>
      <c r="D468" s="8" t="str">
        <f t="shared" si="23"/>
        <v>女</v>
      </c>
      <c r="E468" s="8">
        <v>12</v>
      </c>
      <c r="F468" s="8" t="s">
        <v>13</v>
      </c>
      <c r="G468" s="8">
        <v>9</v>
      </c>
      <c r="H468" s="9">
        <v>85.06</v>
      </c>
      <c r="I468" s="10"/>
      <c r="J468" s="9">
        <v>85.06</v>
      </c>
    </row>
    <row r="469" customHeight="1" spans="1:10">
      <c r="A469" s="8" t="str">
        <f>"20200910317"</f>
        <v>20200910317</v>
      </c>
      <c r="B469" s="8" t="s">
        <v>71</v>
      </c>
      <c r="C469" s="8" t="str">
        <f>"叶鹏馨"</f>
        <v>叶鹏馨</v>
      </c>
      <c r="D469" s="8" t="str">
        <f t="shared" si="23"/>
        <v>女</v>
      </c>
      <c r="E469" s="8">
        <v>12</v>
      </c>
      <c r="F469" s="8" t="s">
        <v>13</v>
      </c>
      <c r="G469" s="8">
        <v>11</v>
      </c>
      <c r="H469" s="9">
        <v>85.06</v>
      </c>
      <c r="I469" s="10"/>
      <c r="J469" s="9">
        <v>85.06</v>
      </c>
    </row>
    <row r="470" customHeight="1" spans="1:10">
      <c r="A470" s="8" t="str">
        <f>"20205912420"</f>
        <v>20205912420</v>
      </c>
      <c r="B470" s="8" t="s">
        <v>70</v>
      </c>
      <c r="C470" s="8" t="str">
        <f>"王嘉欣"</f>
        <v>王嘉欣</v>
      </c>
      <c r="D470" s="8" t="str">
        <f t="shared" si="23"/>
        <v>女</v>
      </c>
      <c r="E470" s="8">
        <v>12</v>
      </c>
      <c r="F470" s="8" t="s">
        <v>13</v>
      </c>
      <c r="G470" s="8">
        <v>12</v>
      </c>
      <c r="H470" s="9">
        <v>83</v>
      </c>
      <c r="I470" s="10"/>
      <c r="J470" s="9">
        <v>83</v>
      </c>
    </row>
    <row r="471" customHeight="1" spans="1:10">
      <c r="A471" s="8" t="str">
        <f>"20200910321"</f>
        <v>20200910321</v>
      </c>
      <c r="B471" s="8" t="s">
        <v>71</v>
      </c>
      <c r="C471" s="8" t="str">
        <f>"王鹏飞"</f>
        <v>王鹏飞</v>
      </c>
      <c r="D471" s="8" t="str">
        <f>"男"</f>
        <v>男</v>
      </c>
      <c r="E471" s="8">
        <v>12</v>
      </c>
      <c r="F471" s="8" t="s">
        <v>13</v>
      </c>
      <c r="G471" s="8">
        <v>13</v>
      </c>
      <c r="H471" s="9">
        <v>78</v>
      </c>
      <c r="I471" s="10"/>
      <c r="J471" s="9">
        <v>78</v>
      </c>
    </row>
    <row r="472" customHeight="1" spans="1:10">
      <c r="A472" s="8" t="str">
        <f>"20202911214"</f>
        <v>20202911214</v>
      </c>
      <c r="B472" s="8" t="s">
        <v>69</v>
      </c>
      <c r="C472" s="8" t="str">
        <f>"张红稳"</f>
        <v>张红稳</v>
      </c>
      <c r="D472" s="8" t="str">
        <f>"女"</f>
        <v>女</v>
      </c>
      <c r="E472" s="8">
        <v>12</v>
      </c>
      <c r="F472" s="8" t="s">
        <v>13</v>
      </c>
      <c r="G472" s="8">
        <v>14</v>
      </c>
      <c r="H472" s="9">
        <v>84.26</v>
      </c>
      <c r="I472" s="10"/>
      <c r="J472" s="9">
        <v>84.26</v>
      </c>
    </row>
    <row r="473" customHeight="1" spans="1:10">
      <c r="A473" s="8" t="str">
        <f>"20205912412"</f>
        <v>20205912412</v>
      </c>
      <c r="B473" s="8" t="s">
        <v>70</v>
      </c>
      <c r="C473" s="8" t="str">
        <f>"郭鑫"</f>
        <v>郭鑫</v>
      </c>
      <c r="D473" s="8" t="str">
        <f>"男"</f>
        <v>男</v>
      </c>
      <c r="E473" s="8">
        <v>12</v>
      </c>
      <c r="F473" s="8" t="s">
        <v>13</v>
      </c>
      <c r="G473" s="8">
        <v>15</v>
      </c>
      <c r="H473" s="9">
        <v>80.92</v>
      </c>
      <c r="I473" s="10"/>
      <c r="J473" s="9">
        <v>80.92</v>
      </c>
    </row>
    <row r="474" customHeight="1" spans="1:10">
      <c r="A474" s="8" t="str">
        <f>"20202911211"</f>
        <v>20202911211</v>
      </c>
      <c r="B474" s="8" t="s">
        <v>69</v>
      </c>
      <c r="C474" s="8" t="str">
        <f>"李莹"</f>
        <v>李莹</v>
      </c>
      <c r="D474" s="8" t="str">
        <f>"女"</f>
        <v>女</v>
      </c>
      <c r="E474" s="8">
        <v>12</v>
      </c>
      <c r="F474" s="8" t="s">
        <v>13</v>
      </c>
      <c r="G474" s="8">
        <v>16</v>
      </c>
      <c r="H474" s="9">
        <v>83.92</v>
      </c>
      <c r="I474" s="10"/>
      <c r="J474" s="9">
        <v>83.92</v>
      </c>
    </row>
    <row r="475" customHeight="1" spans="1:10">
      <c r="A475" s="8" t="str">
        <f>"20200910324"</f>
        <v>20200910324</v>
      </c>
      <c r="B475" s="8" t="s">
        <v>71</v>
      </c>
      <c r="C475" s="8" t="str">
        <f>"王柳杰"</f>
        <v>王柳杰</v>
      </c>
      <c r="D475" s="8" t="str">
        <f>"女"</f>
        <v>女</v>
      </c>
      <c r="E475" s="8">
        <v>12</v>
      </c>
      <c r="F475" s="8" t="s">
        <v>13</v>
      </c>
      <c r="G475" s="8">
        <v>17</v>
      </c>
      <c r="H475" s="9">
        <v>83.56</v>
      </c>
      <c r="I475" s="10"/>
      <c r="J475" s="9">
        <v>83.56</v>
      </c>
    </row>
    <row r="476" customHeight="1" spans="1:10">
      <c r="A476" s="8" t="str">
        <f>"20202911209"</f>
        <v>20202911209</v>
      </c>
      <c r="B476" s="8" t="s">
        <v>69</v>
      </c>
      <c r="C476" s="8" t="str">
        <f>"姜海娇"</f>
        <v>姜海娇</v>
      </c>
      <c r="D476" s="8" t="str">
        <f>"女"</f>
        <v>女</v>
      </c>
      <c r="E476" s="8">
        <v>12</v>
      </c>
      <c r="F476" s="8" t="s">
        <v>13</v>
      </c>
      <c r="G476" s="8">
        <v>18</v>
      </c>
      <c r="H476" s="9">
        <v>77.66</v>
      </c>
      <c r="I476" s="10"/>
      <c r="J476" s="9">
        <v>77.66</v>
      </c>
    </row>
    <row r="477" customHeight="1" spans="1:10">
      <c r="A477" s="8" t="str">
        <f>"20200910405"</f>
        <v>20200910405</v>
      </c>
      <c r="B477" s="8" t="s">
        <v>71</v>
      </c>
      <c r="C477" s="8" t="str">
        <f>"毛倩倩"</f>
        <v>毛倩倩</v>
      </c>
      <c r="D477" s="8" t="str">
        <f>"女"</f>
        <v>女</v>
      </c>
      <c r="E477" s="8">
        <v>12</v>
      </c>
      <c r="F477" s="8" t="s">
        <v>13</v>
      </c>
      <c r="G477" s="8">
        <v>19</v>
      </c>
      <c r="H477" s="9">
        <v>83.38</v>
      </c>
      <c r="I477" s="10"/>
      <c r="J477" s="9">
        <v>83.38</v>
      </c>
    </row>
    <row r="478" customHeight="1" spans="1:10">
      <c r="A478" s="8" t="str">
        <f>"20200910327"</f>
        <v>20200910327</v>
      </c>
      <c r="B478" s="8" t="s">
        <v>71</v>
      </c>
      <c r="C478" s="8" t="str">
        <f>"李长福"</f>
        <v>李长福</v>
      </c>
      <c r="D478" s="8" t="str">
        <f>"男"</f>
        <v>男</v>
      </c>
      <c r="E478" s="8">
        <v>12</v>
      </c>
      <c r="F478" s="8" t="s">
        <v>13</v>
      </c>
      <c r="G478" s="8">
        <v>20</v>
      </c>
      <c r="H478" s="9">
        <v>76.82</v>
      </c>
      <c r="I478" s="10"/>
      <c r="J478" s="9">
        <v>76.82</v>
      </c>
    </row>
    <row r="479" customHeight="1" spans="1:10">
      <c r="A479" s="8"/>
      <c r="B479" s="8"/>
      <c r="C479" s="8"/>
      <c r="D479" s="8"/>
      <c r="E479" s="8"/>
      <c r="F479" s="8"/>
      <c r="G479" s="8"/>
      <c r="H479" s="9"/>
      <c r="I479" s="10"/>
      <c r="J479" s="9"/>
    </row>
    <row r="480" customHeight="1" spans="1:10">
      <c r="A480" s="8" t="str">
        <f>"20207025412"</f>
        <v>20207025412</v>
      </c>
      <c r="B480" s="8" t="s">
        <v>72</v>
      </c>
      <c r="C480" s="8" t="str">
        <f>"文杰"</f>
        <v>文杰</v>
      </c>
      <c r="D480" s="8" t="str">
        <f t="shared" ref="D480:D507" si="24">"女"</f>
        <v>女</v>
      </c>
      <c r="E480" s="8">
        <v>13</v>
      </c>
      <c r="F480" s="8" t="s">
        <v>12</v>
      </c>
      <c r="G480" s="8">
        <v>1</v>
      </c>
      <c r="H480" s="9">
        <v>86.14</v>
      </c>
      <c r="I480" s="10">
        <v>1.0229</v>
      </c>
      <c r="J480" s="9">
        <f>H480*I480</f>
        <v>88.112606</v>
      </c>
    </row>
    <row r="481" customHeight="1" spans="1:10">
      <c r="A481" s="8" t="str">
        <f>"20207024318"</f>
        <v>20207024318</v>
      </c>
      <c r="B481" s="8" t="s">
        <v>72</v>
      </c>
      <c r="C481" s="8" t="str">
        <f>"王闪闪"</f>
        <v>王闪闪</v>
      </c>
      <c r="D481" s="8" t="str">
        <f t="shared" si="24"/>
        <v>女</v>
      </c>
      <c r="E481" s="8">
        <v>13</v>
      </c>
      <c r="F481" s="8" t="s">
        <v>12</v>
      </c>
      <c r="G481" s="8">
        <v>2</v>
      </c>
      <c r="H481" s="9">
        <v>76.72</v>
      </c>
      <c r="I481" s="10">
        <v>1.0229</v>
      </c>
      <c r="J481" s="9">
        <f t="shared" ref="J481:J507" si="25">H481*I481</f>
        <v>78.476888</v>
      </c>
    </row>
    <row r="482" customHeight="1" spans="1:10">
      <c r="A482" s="8" t="str">
        <f>"20207025723"</f>
        <v>20207025723</v>
      </c>
      <c r="B482" s="8" t="s">
        <v>72</v>
      </c>
      <c r="C482" s="8" t="str">
        <f>"肖风雪"</f>
        <v>肖风雪</v>
      </c>
      <c r="D482" s="8" t="str">
        <f t="shared" si="24"/>
        <v>女</v>
      </c>
      <c r="E482" s="8">
        <v>13</v>
      </c>
      <c r="F482" s="8" t="s">
        <v>12</v>
      </c>
      <c r="G482" s="8">
        <v>3</v>
      </c>
      <c r="H482" s="9">
        <v>82.58</v>
      </c>
      <c r="I482" s="10">
        <v>1.0229</v>
      </c>
      <c r="J482" s="9">
        <f t="shared" si="25"/>
        <v>84.471082</v>
      </c>
    </row>
    <row r="483" customHeight="1" spans="1:10">
      <c r="A483" s="8" t="str">
        <f>"20207024727"</f>
        <v>20207024727</v>
      </c>
      <c r="B483" s="8" t="s">
        <v>72</v>
      </c>
      <c r="C483" s="8" t="str">
        <f>"李璐璐"</f>
        <v>李璐璐</v>
      </c>
      <c r="D483" s="8" t="str">
        <f t="shared" si="24"/>
        <v>女</v>
      </c>
      <c r="E483" s="8">
        <v>13</v>
      </c>
      <c r="F483" s="8" t="s">
        <v>12</v>
      </c>
      <c r="G483" s="8">
        <v>4</v>
      </c>
      <c r="H483" s="9">
        <v>80.14</v>
      </c>
      <c r="I483" s="10">
        <v>1.0229</v>
      </c>
      <c r="J483" s="9">
        <f t="shared" si="25"/>
        <v>81.975206</v>
      </c>
    </row>
    <row r="484" customHeight="1" spans="1:10">
      <c r="A484" s="8" t="str">
        <f>"20207024311"</f>
        <v>20207024311</v>
      </c>
      <c r="B484" s="8" t="s">
        <v>72</v>
      </c>
      <c r="C484" s="8" t="str">
        <f>"范立彦"</f>
        <v>范立彦</v>
      </c>
      <c r="D484" s="8" t="str">
        <f t="shared" si="24"/>
        <v>女</v>
      </c>
      <c r="E484" s="8">
        <v>13</v>
      </c>
      <c r="F484" s="8" t="s">
        <v>12</v>
      </c>
      <c r="G484" s="8">
        <v>5</v>
      </c>
      <c r="H484" s="9">
        <v>82.42</v>
      </c>
      <c r="I484" s="10">
        <v>1.0229</v>
      </c>
      <c r="J484" s="9">
        <f t="shared" si="25"/>
        <v>84.307418</v>
      </c>
    </row>
    <row r="485" customHeight="1" spans="1:10">
      <c r="A485" s="8" t="str">
        <f>"20207025317"</f>
        <v>20207025317</v>
      </c>
      <c r="B485" s="8" t="s">
        <v>72</v>
      </c>
      <c r="C485" s="8" t="str">
        <f>"朱媛媛"</f>
        <v>朱媛媛</v>
      </c>
      <c r="D485" s="8" t="str">
        <f t="shared" si="24"/>
        <v>女</v>
      </c>
      <c r="E485" s="8">
        <v>13</v>
      </c>
      <c r="F485" s="8" t="s">
        <v>12</v>
      </c>
      <c r="G485" s="8">
        <v>6</v>
      </c>
      <c r="H485" s="9">
        <v>81.14</v>
      </c>
      <c r="I485" s="10">
        <v>1.0229</v>
      </c>
      <c r="J485" s="9">
        <f t="shared" si="25"/>
        <v>82.998106</v>
      </c>
    </row>
    <row r="486" customHeight="1" spans="1:10">
      <c r="A486" s="8" t="str">
        <f>"20207025801"</f>
        <v>20207025801</v>
      </c>
      <c r="B486" s="8" t="s">
        <v>72</v>
      </c>
      <c r="C486" s="8" t="str">
        <f>"田凯新"</f>
        <v>田凯新</v>
      </c>
      <c r="D486" s="8" t="str">
        <f t="shared" si="24"/>
        <v>女</v>
      </c>
      <c r="E486" s="8">
        <v>13</v>
      </c>
      <c r="F486" s="8" t="s">
        <v>12</v>
      </c>
      <c r="G486" s="8">
        <v>7</v>
      </c>
      <c r="H486" s="9">
        <v>85.7</v>
      </c>
      <c r="I486" s="10">
        <v>1.0229</v>
      </c>
      <c r="J486" s="9">
        <f t="shared" si="25"/>
        <v>87.66253</v>
      </c>
    </row>
    <row r="487" customHeight="1" spans="1:10">
      <c r="A487" s="8" t="str">
        <f>"20207025602"</f>
        <v>20207025602</v>
      </c>
      <c r="B487" s="8" t="s">
        <v>72</v>
      </c>
      <c r="C487" s="8" t="str">
        <f>"鲁文雪"</f>
        <v>鲁文雪</v>
      </c>
      <c r="D487" s="8" t="str">
        <f t="shared" si="24"/>
        <v>女</v>
      </c>
      <c r="E487" s="8">
        <v>13</v>
      </c>
      <c r="F487" s="8" t="s">
        <v>12</v>
      </c>
      <c r="G487" s="8">
        <v>8</v>
      </c>
      <c r="H487" s="9">
        <v>82.72</v>
      </c>
      <c r="I487" s="10">
        <v>1.0229</v>
      </c>
      <c r="J487" s="9">
        <f t="shared" si="25"/>
        <v>84.614288</v>
      </c>
    </row>
    <row r="488" customHeight="1" spans="1:10">
      <c r="A488" s="8" t="str">
        <f>"20207025417"</f>
        <v>20207025417</v>
      </c>
      <c r="B488" s="8" t="s">
        <v>72</v>
      </c>
      <c r="C488" s="8" t="str">
        <f>"田传玉"</f>
        <v>田传玉</v>
      </c>
      <c r="D488" s="8" t="str">
        <f t="shared" si="24"/>
        <v>女</v>
      </c>
      <c r="E488" s="8">
        <v>13</v>
      </c>
      <c r="F488" s="8" t="s">
        <v>12</v>
      </c>
      <c r="G488" s="8">
        <v>9</v>
      </c>
      <c r="H488" s="9">
        <v>83.32</v>
      </c>
      <c r="I488" s="10">
        <v>1.0229</v>
      </c>
      <c r="J488" s="9">
        <f t="shared" si="25"/>
        <v>85.228028</v>
      </c>
    </row>
    <row r="489" customHeight="1" spans="1:10">
      <c r="A489" s="8" t="str">
        <f>"20207024703"</f>
        <v>20207024703</v>
      </c>
      <c r="B489" s="8" t="s">
        <v>72</v>
      </c>
      <c r="C489" s="8" t="str">
        <f>"李玲瑜"</f>
        <v>李玲瑜</v>
      </c>
      <c r="D489" s="8" t="str">
        <f t="shared" si="24"/>
        <v>女</v>
      </c>
      <c r="E489" s="8">
        <v>13</v>
      </c>
      <c r="F489" s="8" t="s">
        <v>12</v>
      </c>
      <c r="G489" s="8">
        <v>10</v>
      </c>
      <c r="H489" s="9">
        <v>79.56</v>
      </c>
      <c r="I489" s="10">
        <v>1.0229</v>
      </c>
      <c r="J489" s="9">
        <f t="shared" si="25"/>
        <v>81.381924</v>
      </c>
    </row>
    <row r="490" customHeight="1" spans="1:10">
      <c r="A490" s="8" t="str">
        <f>"20207024416"</f>
        <v>20207024416</v>
      </c>
      <c r="B490" s="8" t="s">
        <v>72</v>
      </c>
      <c r="C490" s="8" t="str">
        <f>"朱青军"</f>
        <v>朱青军</v>
      </c>
      <c r="D490" s="8" t="str">
        <f t="shared" si="24"/>
        <v>女</v>
      </c>
      <c r="E490" s="8">
        <v>13</v>
      </c>
      <c r="F490" s="8" t="s">
        <v>12</v>
      </c>
      <c r="G490" s="8">
        <v>11</v>
      </c>
      <c r="H490" s="9">
        <v>81.6</v>
      </c>
      <c r="I490" s="10">
        <v>1.0229</v>
      </c>
      <c r="J490" s="9">
        <f t="shared" si="25"/>
        <v>83.46864</v>
      </c>
    </row>
    <row r="491" customHeight="1" spans="1:10">
      <c r="A491" s="8" t="str">
        <f>"20207024517"</f>
        <v>20207024517</v>
      </c>
      <c r="B491" s="8" t="s">
        <v>72</v>
      </c>
      <c r="C491" s="8" t="str">
        <f>"马孟军"</f>
        <v>马孟军</v>
      </c>
      <c r="D491" s="8" t="str">
        <f t="shared" si="24"/>
        <v>女</v>
      </c>
      <c r="E491" s="8">
        <v>13</v>
      </c>
      <c r="F491" s="8" t="s">
        <v>12</v>
      </c>
      <c r="G491" s="8">
        <v>12</v>
      </c>
      <c r="H491" s="9">
        <v>80.12</v>
      </c>
      <c r="I491" s="10">
        <v>1.0229</v>
      </c>
      <c r="J491" s="9">
        <f t="shared" si="25"/>
        <v>81.954748</v>
      </c>
    </row>
    <row r="492" customHeight="1" spans="1:10">
      <c r="A492" s="8" t="str">
        <f>"20207024522"</f>
        <v>20207024522</v>
      </c>
      <c r="B492" s="8" t="s">
        <v>72</v>
      </c>
      <c r="C492" s="8" t="str">
        <f>"周林"</f>
        <v>周林</v>
      </c>
      <c r="D492" s="8" t="str">
        <f t="shared" si="24"/>
        <v>女</v>
      </c>
      <c r="E492" s="8">
        <v>13</v>
      </c>
      <c r="F492" s="8" t="s">
        <v>12</v>
      </c>
      <c r="G492" s="8">
        <v>13</v>
      </c>
      <c r="H492" s="9">
        <v>82.94</v>
      </c>
      <c r="I492" s="10">
        <v>1.0229</v>
      </c>
      <c r="J492" s="9">
        <f t="shared" si="25"/>
        <v>84.839326</v>
      </c>
    </row>
    <row r="493" customHeight="1" spans="1:10">
      <c r="A493" s="8" t="str">
        <f>"20207024411"</f>
        <v>20207024411</v>
      </c>
      <c r="B493" s="8" t="s">
        <v>72</v>
      </c>
      <c r="C493" s="8" t="str">
        <f>"张锐"</f>
        <v>张锐</v>
      </c>
      <c r="D493" s="8" t="str">
        <f t="shared" si="24"/>
        <v>女</v>
      </c>
      <c r="E493" s="8">
        <v>13</v>
      </c>
      <c r="F493" s="8" t="s">
        <v>12</v>
      </c>
      <c r="G493" s="8">
        <v>14</v>
      </c>
      <c r="H493" s="9">
        <v>78.76</v>
      </c>
      <c r="I493" s="10">
        <v>1.0229</v>
      </c>
      <c r="J493" s="9">
        <f t="shared" si="25"/>
        <v>80.563604</v>
      </c>
    </row>
    <row r="494" customHeight="1" spans="1:10">
      <c r="A494" s="8" t="str">
        <f>"20207025228"</f>
        <v>20207025228</v>
      </c>
      <c r="B494" s="8" t="s">
        <v>72</v>
      </c>
      <c r="C494" s="8" t="str">
        <f>"李恩玲"</f>
        <v>李恩玲</v>
      </c>
      <c r="D494" s="8" t="str">
        <f t="shared" si="24"/>
        <v>女</v>
      </c>
      <c r="E494" s="8">
        <v>13</v>
      </c>
      <c r="F494" s="8" t="s">
        <v>12</v>
      </c>
      <c r="G494" s="8">
        <v>15</v>
      </c>
      <c r="H494" s="9">
        <v>81.56</v>
      </c>
      <c r="I494" s="10">
        <v>1.0229</v>
      </c>
      <c r="J494" s="9">
        <f t="shared" si="25"/>
        <v>83.427724</v>
      </c>
    </row>
    <row r="495" customHeight="1" spans="1:10">
      <c r="A495" s="8" t="str">
        <f>"20207025618"</f>
        <v>20207025618</v>
      </c>
      <c r="B495" s="8" t="s">
        <v>72</v>
      </c>
      <c r="C495" s="8" t="str">
        <f>"王岳"</f>
        <v>王岳</v>
      </c>
      <c r="D495" s="8" t="str">
        <f t="shared" si="24"/>
        <v>女</v>
      </c>
      <c r="E495" s="8">
        <v>13</v>
      </c>
      <c r="F495" s="8" t="s">
        <v>12</v>
      </c>
      <c r="G495" s="8">
        <v>16</v>
      </c>
      <c r="H495" s="9">
        <v>82.02</v>
      </c>
      <c r="I495" s="10">
        <v>1.0229</v>
      </c>
      <c r="J495" s="9">
        <f t="shared" si="25"/>
        <v>83.898258</v>
      </c>
    </row>
    <row r="496" customHeight="1" spans="1:10">
      <c r="A496" s="8" t="str">
        <f>"20207025707"</f>
        <v>20207025707</v>
      </c>
      <c r="B496" s="8" t="s">
        <v>72</v>
      </c>
      <c r="C496" s="8" t="str">
        <f>"孔德天"</f>
        <v>孔德天</v>
      </c>
      <c r="D496" s="8" t="str">
        <f t="shared" si="24"/>
        <v>女</v>
      </c>
      <c r="E496" s="8">
        <v>13</v>
      </c>
      <c r="F496" s="8" t="s">
        <v>12</v>
      </c>
      <c r="G496" s="8">
        <v>17</v>
      </c>
      <c r="H496" s="9">
        <v>78.26</v>
      </c>
      <c r="I496" s="10">
        <v>1.0229</v>
      </c>
      <c r="J496" s="9">
        <f t="shared" si="25"/>
        <v>80.052154</v>
      </c>
    </row>
    <row r="497" customHeight="1" spans="1:10">
      <c r="A497" s="8" t="str">
        <f>"20207025203"</f>
        <v>20207025203</v>
      </c>
      <c r="B497" s="8" t="s">
        <v>72</v>
      </c>
      <c r="C497" s="8" t="str">
        <f>"徐皓"</f>
        <v>徐皓</v>
      </c>
      <c r="D497" s="8" t="str">
        <f t="shared" si="24"/>
        <v>女</v>
      </c>
      <c r="E497" s="8">
        <v>13</v>
      </c>
      <c r="F497" s="8" t="s">
        <v>12</v>
      </c>
      <c r="G497" s="8">
        <v>18</v>
      </c>
      <c r="H497" s="9">
        <v>76.74</v>
      </c>
      <c r="I497" s="10">
        <v>1.0229</v>
      </c>
      <c r="J497" s="9">
        <f t="shared" si="25"/>
        <v>78.497346</v>
      </c>
    </row>
    <row r="498" customHeight="1" spans="1:10">
      <c r="A498" s="8" t="str">
        <f>"20207025321"</f>
        <v>20207025321</v>
      </c>
      <c r="B498" s="8" t="s">
        <v>72</v>
      </c>
      <c r="C498" s="8" t="str">
        <f>"李欣欣"</f>
        <v>李欣欣</v>
      </c>
      <c r="D498" s="8" t="str">
        <f t="shared" si="24"/>
        <v>女</v>
      </c>
      <c r="E498" s="8">
        <v>13</v>
      </c>
      <c r="F498" s="8" t="s">
        <v>12</v>
      </c>
      <c r="G498" s="8">
        <v>19</v>
      </c>
      <c r="H498" s="9">
        <v>73.78</v>
      </c>
      <c r="I498" s="10">
        <v>1.0229</v>
      </c>
      <c r="J498" s="9">
        <f t="shared" si="25"/>
        <v>75.469562</v>
      </c>
    </row>
    <row r="499" customHeight="1" spans="1:10">
      <c r="A499" s="8" t="str">
        <f>"20207025521"</f>
        <v>20207025521</v>
      </c>
      <c r="B499" s="8" t="s">
        <v>72</v>
      </c>
      <c r="C499" s="8" t="str">
        <f>"雷铭"</f>
        <v>雷铭</v>
      </c>
      <c r="D499" s="8" t="str">
        <f t="shared" si="24"/>
        <v>女</v>
      </c>
      <c r="E499" s="8">
        <v>13</v>
      </c>
      <c r="F499" s="8" t="s">
        <v>12</v>
      </c>
      <c r="G499" s="8">
        <v>20</v>
      </c>
      <c r="H499" s="9">
        <v>77.32</v>
      </c>
      <c r="I499" s="10">
        <v>1.0229</v>
      </c>
      <c r="J499" s="9">
        <f t="shared" si="25"/>
        <v>79.090628</v>
      </c>
    </row>
    <row r="500" customHeight="1" spans="1:10">
      <c r="A500" s="8" t="str">
        <f>"20207025105"</f>
        <v>20207025105</v>
      </c>
      <c r="B500" s="8" t="s">
        <v>72</v>
      </c>
      <c r="C500" s="8" t="str">
        <f>"王玉爽"</f>
        <v>王玉爽</v>
      </c>
      <c r="D500" s="8" t="str">
        <f t="shared" si="24"/>
        <v>女</v>
      </c>
      <c r="E500" s="8">
        <v>13</v>
      </c>
      <c r="F500" s="8" t="s">
        <v>12</v>
      </c>
      <c r="G500" s="8">
        <v>21</v>
      </c>
      <c r="H500" s="9">
        <v>75.36</v>
      </c>
      <c r="I500" s="10">
        <v>1.0229</v>
      </c>
      <c r="J500" s="9">
        <f t="shared" si="25"/>
        <v>77.085744</v>
      </c>
    </row>
    <row r="501" customHeight="1" spans="1:10">
      <c r="A501" s="8" t="str">
        <f>"20207025126"</f>
        <v>20207025126</v>
      </c>
      <c r="B501" s="8" t="s">
        <v>72</v>
      </c>
      <c r="C501" s="8" t="str">
        <f>"宋建雯"</f>
        <v>宋建雯</v>
      </c>
      <c r="D501" s="8" t="str">
        <f t="shared" si="24"/>
        <v>女</v>
      </c>
      <c r="E501" s="8">
        <v>13</v>
      </c>
      <c r="F501" s="8" t="s">
        <v>12</v>
      </c>
      <c r="G501" s="8">
        <v>22</v>
      </c>
      <c r="H501" s="9">
        <v>84.3</v>
      </c>
      <c r="I501" s="10">
        <v>1.0229</v>
      </c>
      <c r="J501" s="9">
        <f t="shared" si="25"/>
        <v>86.23047</v>
      </c>
    </row>
    <row r="502" customHeight="1" spans="1:10">
      <c r="A502" s="8" t="str">
        <f>"20207025404"</f>
        <v>20207025404</v>
      </c>
      <c r="B502" s="8" t="s">
        <v>72</v>
      </c>
      <c r="C502" s="8" t="str">
        <f>"杜新莹"</f>
        <v>杜新莹</v>
      </c>
      <c r="D502" s="8" t="str">
        <f t="shared" si="24"/>
        <v>女</v>
      </c>
      <c r="E502" s="8">
        <v>13</v>
      </c>
      <c r="F502" s="8" t="s">
        <v>13</v>
      </c>
      <c r="G502" s="8">
        <v>2</v>
      </c>
      <c r="H502" s="9">
        <v>83.82</v>
      </c>
      <c r="I502" s="10">
        <v>1.0229</v>
      </c>
      <c r="J502" s="9">
        <f t="shared" si="25"/>
        <v>85.739478</v>
      </c>
    </row>
    <row r="503" customHeight="1" spans="1:10">
      <c r="A503" s="8" t="str">
        <f>"20207025528"</f>
        <v>20207025528</v>
      </c>
      <c r="B503" s="8" t="s">
        <v>72</v>
      </c>
      <c r="C503" s="8" t="str">
        <f>"杨露"</f>
        <v>杨露</v>
      </c>
      <c r="D503" s="8" t="str">
        <f t="shared" si="24"/>
        <v>女</v>
      </c>
      <c r="E503" s="8">
        <v>13</v>
      </c>
      <c r="F503" s="8" t="s">
        <v>13</v>
      </c>
      <c r="G503" s="8">
        <v>3</v>
      </c>
      <c r="H503" s="9">
        <v>79.68</v>
      </c>
      <c r="I503" s="10">
        <v>1.0229</v>
      </c>
      <c r="J503" s="9">
        <f t="shared" si="25"/>
        <v>81.504672</v>
      </c>
    </row>
    <row r="504" customHeight="1" spans="1:10">
      <c r="A504" s="8" t="str">
        <f>"20207025005"</f>
        <v>20207025005</v>
      </c>
      <c r="B504" s="8" t="s">
        <v>72</v>
      </c>
      <c r="C504" s="8" t="str">
        <f>"何玉蕾"</f>
        <v>何玉蕾</v>
      </c>
      <c r="D504" s="8" t="str">
        <f t="shared" si="24"/>
        <v>女</v>
      </c>
      <c r="E504" s="8">
        <v>13</v>
      </c>
      <c r="F504" s="8" t="s">
        <v>13</v>
      </c>
      <c r="G504" s="8">
        <v>4</v>
      </c>
      <c r="H504" s="9">
        <v>79.7</v>
      </c>
      <c r="I504" s="10">
        <v>1.0229</v>
      </c>
      <c r="J504" s="9">
        <f t="shared" si="25"/>
        <v>81.52513</v>
      </c>
    </row>
    <row r="505" customHeight="1" spans="1:10">
      <c r="A505" s="8" t="str">
        <f>"20207025501"</f>
        <v>20207025501</v>
      </c>
      <c r="B505" s="8" t="s">
        <v>72</v>
      </c>
      <c r="C505" s="8" t="str">
        <f>"李越"</f>
        <v>李越</v>
      </c>
      <c r="D505" s="8" t="str">
        <f t="shared" si="24"/>
        <v>女</v>
      </c>
      <c r="E505" s="8">
        <v>13</v>
      </c>
      <c r="F505" s="8" t="s">
        <v>13</v>
      </c>
      <c r="G505" s="8">
        <v>6</v>
      </c>
      <c r="H505" s="9">
        <v>84.94</v>
      </c>
      <c r="I505" s="10">
        <v>1.0229</v>
      </c>
      <c r="J505" s="9">
        <f t="shared" si="25"/>
        <v>86.885126</v>
      </c>
    </row>
    <row r="506" customHeight="1" spans="1:10">
      <c r="A506" s="8" t="str">
        <f>"20207025712"</f>
        <v>20207025712</v>
      </c>
      <c r="B506" s="8" t="s">
        <v>72</v>
      </c>
      <c r="C506" s="8" t="str">
        <f>"赵萌"</f>
        <v>赵萌</v>
      </c>
      <c r="D506" s="8" t="str">
        <f t="shared" si="24"/>
        <v>女</v>
      </c>
      <c r="E506" s="8">
        <v>13</v>
      </c>
      <c r="F506" s="8" t="s">
        <v>13</v>
      </c>
      <c r="G506" s="8">
        <v>7</v>
      </c>
      <c r="H506" s="9">
        <v>83.06</v>
      </c>
      <c r="I506" s="10">
        <v>1.0229</v>
      </c>
      <c r="J506" s="9">
        <f t="shared" si="25"/>
        <v>84.962074</v>
      </c>
    </row>
    <row r="507" customHeight="1" spans="1:10">
      <c r="A507" s="8" t="str">
        <f>"20207025729"</f>
        <v>20207025729</v>
      </c>
      <c r="B507" s="8" t="s">
        <v>72</v>
      </c>
      <c r="C507" s="8" t="str">
        <f>"刘文艺"</f>
        <v>刘文艺</v>
      </c>
      <c r="D507" s="8" t="str">
        <f t="shared" si="24"/>
        <v>女</v>
      </c>
      <c r="E507" s="8">
        <v>13</v>
      </c>
      <c r="F507" s="8" t="s">
        <v>13</v>
      </c>
      <c r="G507" s="8">
        <v>8</v>
      </c>
      <c r="H507" s="9">
        <v>82.34</v>
      </c>
      <c r="I507" s="10">
        <v>1.0229</v>
      </c>
      <c r="J507" s="9">
        <f t="shared" si="25"/>
        <v>84.225586</v>
      </c>
    </row>
    <row r="508" customHeight="1" spans="1:10">
      <c r="A508" s="8"/>
      <c r="B508" s="8"/>
      <c r="C508" s="8"/>
      <c r="D508" s="8"/>
      <c r="E508" s="8"/>
      <c r="F508" s="8"/>
      <c r="G508" s="8"/>
      <c r="H508" s="9"/>
      <c r="I508" s="10"/>
      <c r="J508" s="9"/>
    </row>
    <row r="509" customHeight="1" spans="1:10">
      <c r="A509" s="8" t="s">
        <v>73</v>
      </c>
      <c r="B509" s="8" t="s">
        <v>74</v>
      </c>
      <c r="C509" s="8" t="s">
        <v>75</v>
      </c>
      <c r="D509" s="8" t="s">
        <v>34</v>
      </c>
      <c r="E509" s="8">
        <v>13</v>
      </c>
      <c r="F509" s="8" t="s">
        <v>13</v>
      </c>
      <c r="G509" s="8">
        <v>9</v>
      </c>
      <c r="H509" s="9">
        <v>87.36</v>
      </c>
      <c r="I509" s="10"/>
      <c r="J509" s="9">
        <v>87.36</v>
      </c>
    </row>
    <row r="510" customHeight="1" spans="1:10">
      <c r="A510" s="8" t="s">
        <v>76</v>
      </c>
      <c r="B510" s="8" t="s">
        <v>74</v>
      </c>
      <c r="C510" s="8" t="s">
        <v>77</v>
      </c>
      <c r="D510" s="8" t="s">
        <v>34</v>
      </c>
      <c r="E510" s="8">
        <v>13</v>
      </c>
      <c r="F510" s="8" t="s">
        <v>13</v>
      </c>
      <c r="G510" s="8">
        <v>10</v>
      </c>
      <c r="H510" s="9">
        <v>81.34</v>
      </c>
      <c r="I510" s="10"/>
      <c r="J510" s="9">
        <v>81.34</v>
      </c>
    </row>
    <row r="511" customHeight="1" spans="1:10">
      <c r="A511" s="8" t="s">
        <v>78</v>
      </c>
      <c r="B511" s="8" t="s">
        <v>74</v>
      </c>
      <c r="C511" s="8" t="s">
        <v>79</v>
      </c>
      <c r="D511" s="8" t="s">
        <v>34</v>
      </c>
      <c r="E511" s="8">
        <v>13</v>
      </c>
      <c r="F511" s="8" t="s">
        <v>13</v>
      </c>
      <c r="G511" s="8">
        <v>11</v>
      </c>
      <c r="H511" s="9">
        <v>81.06</v>
      </c>
      <c r="I511" s="10"/>
      <c r="J511" s="9">
        <v>81.06</v>
      </c>
    </row>
    <row r="512" customHeight="1" spans="1:10">
      <c r="A512" s="8" t="s">
        <v>80</v>
      </c>
      <c r="B512" s="8" t="s">
        <v>74</v>
      </c>
      <c r="C512" s="8" t="s">
        <v>81</v>
      </c>
      <c r="D512" s="8" t="s">
        <v>34</v>
      </c>
      <c r="E512" s="8">
        <v>13</v>
      </c>
      <c r="F512" s="8" t="s">
        <v>13</v>
      </c>
      <c r="G512" s="8">
        <v>12</v>
      </c>
      <c r="H512" s="9">
        <v>80.58</v>
      </c>
      <c r="I512" s="10"/>
      <c r="J512" s="9">
        <v>80.58</v>
      </c>
    </row>
    <row r="513" customHeight="1" spans="1:10">
      <c r="A513" s="8" t="s">
        <v>82</v>
      </c>
      <c r="B513" s="8" t="s">
        <v>74</v>
      </c>
      <c r="C513" s="8" t="s">
        <v>83</v>
      </c>
      <c r="D513" s="8" t="s">
        <v>34</v>
      </c>
      <c r="E513" s="8">
        <v>13</v>
      </c>
      <c r="F513" s="8" t="s">
        <v>13</v>
      </c>
      <c r="G513" s="8">
        <v>13</v>
      </c>
      <c r="H513" s="9">
        <v>81.54</v>
      </c>
      <c r="I513" s="10"/>
      <c r="J513" s="9">
        <v>81.54</v>
      </c>
    </row>
    <row r="514" customHeight="1" spans="1:10">
      <c r="A514" s="8"/>
      <c r="B514" s="8"/>
      <c r="C514" s="8"/>
      <c r="D514" s="8"/>
      <c r="E514" s="8"/>
      <c r="F514" s="8"/>
      <c r="G514" s="8"/>
      <c r="H514" s="9"/>
      <c r="I514" s="10"/>
      <c r="J514" s="9"/>
    </row>
    <row r="515" customHeight="1" spans="1:10">
      <c r="A515" s="8" t="str">
        <f>"20207024827"</f>
        <v>20207024827</v>
      </c>
      <c r="B515" s="8" t="s">
        <v>72</v>
      </c>
      <c r="C515" s="8" t="str">
        <f>"王畑"</f>
        <v>王畑</v>
      </c>
      <c r="D515" s="8" t="str">
        <f t="shared" ref="D515:D535" si="26">"女"</f>
        <v>女</v>
      </c>
      <c r="E515" s="8">
        <v>14</v>
      </c>
      <c r="F515" s="8" t="s">
        <v>12</v>
      </c>
      <c r="G515" s="8">
        <v>1</v>
      </c>
      <c r="H515" s="9">
        <v>86.3</v>
      </c>
      <c r="I515" s="10">
        <v>0.9783</v>
      </c>
      <c r="J515" s="9">
        <f>H515*I515</f>
        <v>84.42729</v>
      </c>
    </row>
    <row r="516" customHeight="1" spans="1:10">
      <c r="A516" s="8" t="str">
        <f>"20207025713"</f>
        <v>20207025713</v>
      </c>
      <c r="B516" s="8" t="s">
        <v>72</v>
      </c>
      <c r="C516" s="8" t="str">
        <f>"高茹云"</f>
        <v>高茹云</v>
      </c>
      <c r="D516" s="8" t="str">
        <f t="shared" si="26"/>
        <v>女</v>
      </c>
      <c r="E516" s="8">
        <v>14</v>
      </c>
      <c r="F516" s="8" t="s">
        <v>12</v>
      </c>
      <c r="G516" s="8">
        <v>2</v>
      </c>
      <c r="H516" s="9">
        <v>85.46</v>
      </c>
      <c r="I516" s="10">
        <v>0.9783</v>
      </c>
      <c r="J516" s="9">
        <f t="shared" ref="J516:J535" si="27">H516*I516</f>
        <v>83.605518</v>
      </c>
    </row>
    <row r="517" customHeight="1" spans="1:10">
      <c r="A517" s="8" t="str">
        <f>"20207024523"</f>
        <v>20207024523</v>
      </c>
      <c r="B517" s="8" t="s">
        <v>72</v>
      </c>
      <c r="C517" s="8" t="str">
        <f>"金阳"</f>
        <v>金阳</v>
      </c>
      <c r="D517" s="8" t="str">
        <f t="shared" si="26"/>
        <v>女</v>
      </c>
      <c r="E517" s="8">
        <v>14</v>
      </c>
      <c r="F517" s="8" t="s">
        <v>12</v>
      </c>
      <c r="G517" s="8">
        <v>3</v>
      </c>
      <c r="H517" s="9">
        <v>85</v>
      </c>
      <c r="I517" s="10">
        <v>0.9783</v>
      </c>
      <c r="J517" s="9">
        <f t="shared" si="27"/>
        <v>83.1555</v>
      </c>
    </row>
    <row r="518" customHeight="1" spans="1:10">
      <c r="A518" s="8" t="str">
        <f>"20207024421"</f>
        <v>20207024421</v>
      </c>
      <c r="B518" s="8" t="s">
        <v>72</v>
      </c>
      <c r="C518" s="8" t="str">
        <f>"李莹"</f>
        <v>李莹</v>
      </c>
      <c r="D518" s="8" t="str">
        <f t="shared" si="26"/>
        <v>女</v>
      </c>
      <c r="E518" s="8">
        <v>14</v>
      </c>
      <c r="F518" s="8" t="s">
        <v>12</v>
      </c>
      <c r="G518" s="8">
        <v>4</v>
      </c>
      <c r="H518" s="9">
        <v>84.98</v>
      </c>
      <c r="I518" s="10">
        <v>0.9783</v>
      </c>
      <c r="J518" s="9">
        <f t="shared" si="27"/>
        <v>83.135934</v>
      </c>
    </row>
    <row r="519" customHeight="1" spans="1:10">
      <c r="A519" s="8" t="str">
        <f>"20207024515"</f>
        <v>20207024515</v>
      </c>
      <c r="B519" s="8" t="s">
        <v>72</v>
      </c>
      <c r="C519" s="8" t="str">
        <f>"袁紫然"</f>
        <v>袁紫然</v>
      </c>
      <c r="D519" s="8" t="str">
        <f t="shared" si="26"/>
        <v>女</v>
      </c>
      <c r="E519" s="8">
        <v>14</v>
      </c>
      <c r="F519" s="8" t="s">
        <v>12</v>
      </c>
      <c r="G519" s="8">
        <v>5</v>
      </c>
      <c r="H519" s="9">
        <v>81.8</v>
      </c>
      <c r="I519" s="10">
        <v>0.9783</v>
      </c>
      <c r="J519" s="9">
        <f t="shared" si="27"/>
        <v>80.02494</v>
      </c>
    </row>
    <row r="520" customHeight="1" spans="1:10">
      <c r="A520" s="8" t="str">
        <f>"20207025124"</f>
        <v>20207025124</v>
      </c>
      <c r="B520" s="8" t="s">
        <v>72</v>
      </c>
      <c r="C520" s="8" t="str">
        <f>"丁雪"</f>
        <v>丁雪</v>
      </c>
      <c r="D520" s="8" t="str">
        <f t="shared" si="26"/>
        <v>女</v>
      </c>
      <c r="E520" s="8">
        <v>14</v>
      </c>
      <c r="F520" s="8" t="s">
        <v>12</v>
      </c>
      <c r="G520" s="8">
        <v>6</v>
      </c>
      <c r="H520" s="9">
        <v>86.12</v>
      </c>
      <c r="I520" s="10">
        <v>0.9783</v>
      </c>
      <c r="J520" s="9">
        <f t="shared" si="27"/>
        <v>84.251196</v>
      </c>
    </row>
    <row r="521" customHeight="1" spans="1:10">
      <c r="A521" s="8" t="str">
        <f>"20207025802"</f>
        <v>20207025802</v>
      </c>
      <c r="B521" s="8" t="s">
        <v>72</v>
      </c>
      <c r="C521" s="8" t="str">
        <f>"徐惠"</f>
        <v>徐惠</v>
      </c>
      <c r="D521" s="8" t="str">
        <f t="shared" si="26"/>
        <v>女</v>
      </c>
      <c r="E521" s="8">
        <v>14</v>
      </c>
      <c r="F521" s="8" t="s">
        <v>12</v>
      </c>
      <c r="G521" s="8">
        <v>7</v>
      </c>
      <c r="H521" s="9">
        <v>81.58</v>
      </c>
      <c r="I521" s="10">
        <v>0.9783</v>
      </c>
      <c r="J521" s="9">
        <f t="shared" si="27"/>
        <v>79.809714</v>
      </c>
    </row>
    <row r="522" customHeight="1" spans="1:10">
      <c r="A522" s="8" t="str">
        <f>"20207024412"</f>
        <v>20207024412</v>
      </c>
      <c r="B522" s="8" t="s">
        <v>72</v>
      </c>
      <c r="C522" s="8" t="str">
        <f>"张俊阳"</f>
        <v>张俊阳</v>
      </c>
      <c r="D522" s="8" t="str">
        <f t="shared" si="26"/>
        <v>女</v>
      </c>
      <c r="E522" s="8">
        <v>14</v>
      </c>
      <c r="F522" s="8" t="s">
        <v>12</v>
      </c>
      <c r="G522" s="8">
        <v>8</v>
      </c>
      <c r="H522" s="9">
        <v>85.84</v>
      </c>
      <c r="I522" s="10">
        <v>0.9783</v>
      </c>
      <c r="J522" s="9">
        <f t="shared" si="27"/>
        <v>83.977272</v>
      </c>
    </row>
    <row r="523" customHeight="1" spans="1:10">
      <c r="A523" s="8" t="str">
        <f>"20207025013"</f>
        <v>20207025013</v>
      </c>
      <c r="B523" s="8" t="s">
        <v>72</v>
      </c>
      <c r="C523" s="8" t="str">
        <f>"赵亚男"</f>
        <v>赵亚男</v>
      </c>
      <c r="D523" s="8" t="str">
        <f t="shared" si="26"/>
        <v>女</v>
      </c>
      <c r="E523" s="8">
        <v>14</v>
      </c>
      <c r="F523" s="8" t="s">
        <v>12</v>
      </c>
      <c r="G523" s="8">
        <v>10</v>
      </c>
      <c r="H523" s="9">
        <v>80.98</v>
      </c>
      <c r="I523" s="10">
        <v>0.9783</v>
      </c>
      <c r="J523" s="9">
        <f t="shared" si="27"/>
        <v>79.222734</v>
      </c>
    </row>
    <row r="524" customHeight="1" spans="1:10">
      <c r="A524" s="8" t="str">
        <f>"20207024509"</f>
        <v>20207024509</v>
      </c>
      <c r="B524" s="8" t="s">
        <v>72</v>
      </c>
      <c r="C524" s="8" t="str">
        <f>"张鹏"</f>
        <v>张鹏</v>
      </c>
      <c r="D524" s="8" t="str">
        <f t="shared" si="26"/>
        <v>女</v>
      </c>
      <c r="E524" s="8">
        <v>14</v>
      </c>
      <c r="F524" s="8" t="s">
        <v>12</v>
      </c>
      <c r="G524" s="8">
        <v>11</v>
      </c>
      <c r="H524" s="9">
        <v>86.88</v>
      </c>
      <c r="I524" s="10">
        <v>0.9783</v>
      </c>
      <c r="J524" s="9">
        <f t="shared" si="27"/>
        <v>84.994704</v>
      </c>
    </row>
    <row r="525" customHeight="1" spans="1:10">
      <c r="A525" s="8" t="str">
        <f>"20207025605"</f>
        <v>20207025605</v>
      </c>
      <c r="B525" s="8" t="s">
        <v>72</v>
      </c>
      <c r="C525" s="8" t="str">
        <f>"高楚"</f>
        <v>高楚</v>
      </c>
      <c r="D525" s="8" t="str">
        <f t="shared" si="26"/>
        <v>女</v>
      </c>
      <c r="E525" s="8">
        <v>14</v>
      </c>
      <c r="F525" s="8" t="s">
        <v>12</v>
      </c>
      <c r="G525" s="8">
        <v>12</v>
      </c>
      <c r="H525" s="9">
        <v>83.36</v>
      </c>
      <c r="I525" s="10">
        <v>0.9783</v>
      </c>
      <c r="J525" s="9">
        <f t="shared" si="27"/>
        <v>81.551088</v>
      </c>
    </row>
    <row r="526" customHeight="1" spans="1:10">
      <c r="A526" s="8" t="str">
        <f>"20207024422"</f>
        <v>20207024422</v>
      </c>
      <c r="B526" s="8" t="s">
        <v>72</v>
      </c>
      <c r="C526" s="8" t="str">
        <f>"王金迪"</f>
        <v>王金迪</v>
      </c>
      <c r="D526" s="8" t="str">
        <f t="shared" si="26"/>
        <v>女</v>
      </c>
      <c r="E526" s="8">
        <v>14</v>
      </c>
      <c r="F526" s="8" t="s">
        <v>12</v>
      </c>
      <c r="G526" s="8">
        <v>13</v>
      </c>
      <c r="H526" s="9">
        <v>81.9</v>
      </c>
      <c r="I526" s="10">
        <v>0.9783</v>
      </c>
      <c r="J526" s="9">
        <f t="shared" si="27"/>
        <v>80.12277</v>
      </c>
    </row>
    <row r="527" customHeight="1" spans="1:10">
      <c r="A527" s="8" t="str">
        <f>"20207024425"</f>
        <v>20207024425</v>
      </c>
      <c r="B527" s="8" t="s">
        <v>72</v>
      </c>
      <c r="C527" s="8" t="str">
        <f>"李峰"</f>
        <v>李峰</v>
      </c>
      <c r="D527" s="8" t="str">
        <f t="shared" si="26"/>
        <v>女</v>
      </c>
      <c r="E527" s="8">
        <v>14</v>
      </c>
      <c r="F527" s="8" t="s">
        <v>12</v>
      </c>
      <c r="G527" s="8">
        <v>14</v>
      </c>
      <c r="H527" s="9">
        <v>86.26</v>
      </c>
      <c r="I527" s="10">
        <v>0.9783</v>
      </c>
      <c r="J527" s="9">
        <f t="shared" si="27"/>
        <v>84.388158</v>
      </c>
    </row>
    <row r="528" customHeight="1" spans="1:10">
      <c r="A528" s="8" t="str">
        <f>"20207025225"</f>
        <v>20207025225</v>
      </c>
      <c r="B528" s="8" t="s">
        <v>72</v>
      </c>
      <c r="C528" s="8" t="str">
        <f>"岳妍"</f>
        <v>岳妍</v>
      </c>
      <c r="D528" s="8" t="str">
        <f t="shared" si="26"/>
        <v>女</v>
      </c>
      <c r="E528" s="8">
        <v>14</v>
      </c>
      <c r="F528" s="8" t="s">
        <v>12</v>
      </c>
      <c r="G528" s="8">
        <v>15</v>
      </c>
      <c r="H528" s="9">
        <v>84.44</v>
      </c>
      <c r="I528" s="10">
        <v>0.9783</v>
      </c>
      <c r="J528" s="9">
        <f t="shared" si="27"/>
        <v>82.607652</v>
      </c>
    </row>
    <row r="529" customHeight="1" spans="1:10">
      <c r="A529" s="8" t="str">
        <f>"20207024317"</f>
        <v>20207024317</v>
      </c>
      <c r="B529" s="8" t="s">
        <v>72</v>
      </c>
      <c r="C529" s="8" t="str">
        <f>"孟亚丽"</f>
        <v>孟亚丽</v>
      </c>
      <c r="D529" s="8" t="str">
        <f t="shared" si="26"/>
        <v>女</v>
      </c>
      <c r="E529" s="8">
        <v>14</v>
      </c>
      <c r="F529" s="8" t="s">
        <v>12</v>
      </c>
      <c r="G529" s="8">
        <v>16</v>
      </c>
      <c r="H529" s="9">
        <v>86.12</v>
      </c>
      <c r="I529" s="10">
        <v>0.9783</v>
      </c>
      <c r="J529" s="9">
        <f t="shared" si="27"/>
        <v>84.251196</v>
      </c>
    </row>
    <row r="530" customHeight="1" spans="1:10">
      <c r="A530" s="8" t="str">
        <f>"20207024908"</f>
        <v>20207024908</v>
      </c>
      <c r="B530" s="8" t="s">
        <v>72</v>
      </c>
      <c r="C530" s="8" t="str">
        <f>"王晓杰"</f>
        <v>王晓杰</v>
      </c>
      <c r="D530" s="8" t="str">
        <f t="shared" si="26"/>
        <v>女</v>
      </c>
      <c r="E530" s="8">
        <v>14</v>
      </c>
      <c r="F530" s="8" t="s">
        <v>12</v>
      </c>
      <c r="G530" s="8">
        <v>17</v>
      </c>
      <c r="H530" s="9">
        <v>87.38</v>
      </c>
      <c r="I530" s="10">
        <v>0.9783</v>
      </c>
      <c r="J530" s="9">
        <f t="shared" si="27"/>
        <v>85.483854</v>
      </c>
    </row>
    <row r="531" customHeight="1" spans="1:10">
      <c r="A531" s="8" t="str">
        <f>"20207025004"</f>
        <v>20207025004</v>
      </c>
      <c r="B531" s="8" t="s">
        <v>72</v>
      </c>
      <c r="C531" s="8" t="str">
        <f>"张秋阳"</f>
        <v>张秋阳</v>
      </c>
      <c r="D531" s="8" t="str">
        <f t="shared" si="26"/>
        <v>女</v>
      </c>
      <c r="E531" s="8">
        <v>14</v>
      </c>
      <c r="F531" s="8" t="s">
        <v>12</v>
      </c>
      <c r="G531" s="8">
        <v>18</v>
      </c>
      <c r="H531" s="9">
        <v>88.56</v>
      </c>
      <c r="I531" s="10">
        <v>0.9783</v>
      </c>
      <c r="J531" s="9">
        <f t="shared" si="27"/>
        <v>86.638248</v>
      </c>
    </row>
    <row r="532" customHeight="1" spans="1:10">
      <c r="A532" s="8" t="str">
        <f>"20207025606"</f>
        <v>20207025606</v>
      </c>
      <c r="B532" s="8" t="s">
        <v>72</v>
      </c>
      <c r="C532" s="8" t="str">
        <f>"王琪"</f>
        <v>王琪</v>
      </c>
      <c r="D532" s="8" t="str">
        <f t="shared" si="26"/>
        <v>女</v>
      </c>
      <c r="E532" s="8">
        <v>14</v>
      </c>
      <c r="F532" s="8" t="s">
        <v>12</v>
      </c>
      <c r="G532" s="8">
        <v>19</v>
      </c>
      <c r="H532" s="9">
        <v>85.3</v>
      </c>
      <c r="I532" s="10">
        <v>0.9783</v>
      </c>
      <c r="J532" s="9">
        <f t="shared" si="27"/>
        <v>83.44899</v>
      </c>
    </row>
    <row r="533" customHeight="1" spans="1:10">
      <c r="A533" s="8" t="str">
        <f>"20207025129"</f>
        <v>20207025129</v>
      </c>
      <c r="B533" s="8" t="s">
        <v>72</v>
      </c>
      <c r="C533" s="8" t="str">
        <f>"侯金平"</f>
        <v>侯金平</v>
      </c>
      <c r="D533" s="8" t="str">
        <f t="shared" si="26"/>
        <v>女</v>
      </c>
      <c r="E533" s="8">
        <v>14</v>
      </c>
      <c r="F533" s="8" t="s">
        <v>12</v>
      </c>
      <c r="G533" s="8">
        <v>20</v>
      </c>
      <c r="H533" s="9">
        <v>85.08</v>
      </c>
      <c r="I533" s="10">
        <v>0.9783</v>
      </c>
      <c r="J533" s="9">
        <f t="shared" si="27"/>
        <v>83.233764</v>
      </c>
    </row>
    <row r="534" customHeight="1" spans="1:10">
      <c r="A534" s="8" t="str">
        <f>"20207025402"</f>
        <v>20207025402</v>
      </c>
      <c r="B534" s="8" t="s">
        <v>72</v>
      </c>
      <c r="C534" s="8" t="str">
        <f>"高芬"</f>
        <v>高芬</v>
      </c>
      <c r="D534" s="8" t="str">
        <f t="shared" si="26"/>
        <v>女</v>
      </c>
      <c r="E534" s="8">
        <v>14</v>
      </c>
      <c r="F534" s="8" t="s">
        <v>12</v>
      </c>
      <c r="G534" s="8">
        <v>21</v>
      </c>
      <c r="H534" s="9">
        <v>79.46</v>
      </c>
      <c r="I534" s="10">
        <v>0.9783</v>
      </c>
      <c r="J534" s="9">
        <f t="shared" si="27"/>
        <v>77.735718</v>
      </c>
    </row>
    <row r="535" customHeight="1" spans="1:10">
      <c r="A535" s="8" t="str">
        <f>"20207024307"</f>
        <v>20207024307</v>
      </c>
      <c r="B535" s="8" t="s">
        <v>72</v>
      </c>
      <c r="C535" s="8" t="str">
        <f>"秦鑫阳"</f>
        <v>秦鑫阳</v>
      </c>
      <c r="D535" s="8" t="str">
        <f t="shared" si="26"/>
        <v>女</v>
      </c>
      <c r="E535" s="8">
        <v>14</v>
      </c>
      <c r="F535" s="8" t="s">
        <v>12</v>
      </c>
      <c r="G535" s="8">
        <v>22</v>
      </c>
      <c r="H535" s="9">
        <v>84.78</v>
      </c>
      <c r="I535" s="10">
        <v>0.9783</v>
      </c>
      <c r="J535" s="9">
        <f t="shared" si="27"/>
        <v>82.940274</v>
      </c>
    </row>
    <row r="536" customHeight="1" spans="1:10">
      <c r="A536" s="8"/>
      <c r="B536" s="8"/>
      <c r="C536" s="8"/>
      <c r="D536" s="8"/>
      <c r="E536" s="8"/>
      <c r="F536" s="8"/>
      <c r="G536" s="8"/>
      <c r="H536" s="9"/>
      <c r="I536" s="10"/>
      <c r="J536" s="9"/>
    </row>
    <row r="537" customHeight="1" spans="1:10">
      <c r="A537" s="8">
        <v>20200216535</v>
      </c>
      <c r="B537" s="8" t="s">
        <v>84</v>
      </c>
      <c r="C537" s="8" t="s">
        <v>85</v>
      </c>
      <c r="D537" s="8" t="s">
        <v>34</v>
      </c>
      <c r="E537" s="8">
        <v>14</v>
      </c>
      <c r="F537" s="8" t="s">
        <v>13</v>
      </c>
      <c r="G537" s="8">
        <v>1</v>
      </c>
      <c r="H537" s="9">
        <v>86.12</v>
      </c>
      <c r="I537" s="10"/>
      <c r="J537" s="9">
        <v>86.12</v>
      </c>
    </row>
    <row r="538" customHeight="1" spans="1:10">
      <c r="A538" s="8">
        <v>20200216538</v>
      </c>
      <c r="B538" s="8" t="s">
        <v>84</v>
      </c>
      <c r="C538" s="8" t="s">
        <v>86</v>
      </c>
      <c r="D538" s="8" t="s">
        <v>34</v>
      </c>
      <c r="E538" s="8">
        <v>14</v>
      </c>
      <c r="F538" s="8" t="s">
        <v>13</v>
      </c>
      <c r="G538" s="8">
        <v>2</v>
      </c>
      <c r="H538" s="9">
        <v>86.64</v>
      </c>
      <c r="I538" s="10"/>
      <c r="J538" s="9">
        <v>86.64</v>
      </c>
    </row>
    <row r="539" customHeight="1" spans="1:10">
      <c r="A539" s="8" t="str">
        <f>"20203111330"</f>
        <v>20203111330</v>
      </c>
      <c r="B539" s="8" t="s">
        <v>87</v>
      </c>
      <c r="C539" s="8" t="str">
        <f>"李亚楠"</f>
        <v>李亚楠</v>
      </c>
      <c r="D539" s="8" t="str">
        <f>"女"</f>
        <v>女</v>
      </c>
      <c r="E539" s="8">
        <v>14</v>
      </c>
      <c r="F539" s="8" t="s">
        <v>13</v>
      </c>
      <c r="G539" s="8">
        <v>3</v>
      </c>
      <c r="H539" s="9">
        <v>88.08</v>
      </c>
      <c r="I539" s="10"/>
      <c r="J539" s="9">
        <v>88.08</v>
      </c>
    </row>
    <row r="540" customHeight="1" spans="1:10">
      <c r="A540" s="8" t="str">
        <f>"20203111404"</f>
        <v>20203111404</v>
      </c>
      <c r="B540" s="8" t="s">
        <v>87</v>
      </c>
      <c r="C540" s="8" t="str">
        <f>"聂会丽"</f>
        <v>聂会丽</v>
      </c>
      <c r="D540" s="8" t="str">
        <f>"女"</f>
        <v>女</v>
      </c>
      <c r="E540" s="8">
        <v>14</v>
      </c>
      <c r="F540" s="8" t="s">
        <v>13</v>
      </c>
      <c r="G540" s="8">
        <v>4</v>
      </c>
      <c r="H540" s="9">
        <v>84.34</v>
      </c>
      <c r="I540" s="10"/>
      <c r="J540" s="9">
        <v>84.34</v>
      </c>
    </row>
    <row r="541" customHeight="1" spans="1:10">
      <c r="A541" s="8" t="str">
        <f>"20203111327"</f>
        <v>20203111327</v>
      </c>
      <c r="B541" s="8" t="s">
        <v>87</v>
      </c>
      <c r="C541" s="8" t="str">
        <f>"任月梦"</f>
        <v>任月梦</v>
      </c>
      <c r="D541" s="8" t="str">
        <f>"女"</f>
        <v>女</v>
      </c>
      <c r="E541" s="8">
        <v>14</v>
      </c>
      <c r="F541" s="8" t="s">
        <v>13</v>
      </c>
      <c r="G541" s="8">
        <v>7</v>
      </c>
      <c r="H541" s="9">
        <v>85.1</v>
      </c>
      <c r="I541" s="10"/>
      <c r="J541" s="9">
        <v>85.1</v>
      </c>
    </row>
    <row r="542" customHeight="1" spans="1:10">
      <c r="A542" s="8" t="str">
        <f>"20203111329"</f>
        <v>20203111329</v>
      </c>
      <c r="B542" s="8" t="s">
        <v>87</v>
      </c>
      <c r="C542" s="8" t="str">
        <f>"靳芳"</f>
        <v>靳芳</v>
      </c>
      <c r="D542" s="8" t="str">
        <f>"女"</f>
        <v>女</v>
      </c>
      <c r="E542" s="8">
        <v>14</v>
      </c>
      <c r="F542" s="8" t="s">
        <v>13</v>
      </c>
      <c r="G542" s="8">
        <v>8</v>
      </c>
      <c r="H542" s="9">
        <v>79.62</v>
      </c>
      <c r="I542" s="10"/>
      <c r="J542" s="9">
        <v>79.62</v>
      </c>
    </row>
    <row r="543" customHeight="1" spans="1:10">
      <c r="A543" s="8" t="str">
        <f>"20203111406"</f>
        <v>20203111406</v>
      </c>
      <c r="B543" s="8" t="s">
        <v>87</v>
      </c>
      <c r="C543" s="8" t="str">
        <f>"晁子崴"</f>
        <v>晁子崴</v>
      </c>
      <c r="D543" s="8" t="str">
        <f>"男"</f>
        <v>男</v>
      </c>
      <c r="E543" s="8">
        <v>14</v>
      </c>
      <c r="F543" s="8" t="s">
        <v>13</v>
      </c>
      <c r="G543" s="8">
        <v>9</v>
      </c>
      <c r="H543" s="9">
        <v>80.18</v>
      </c>
      <c r="I543" s="10"/>
      <c r="J543" s="9">
        <v>80.18</v>
      </c>
    </row>
    <row r="544" customHeight="1" spans="1:10">
      <c r="A544" s="8">
        <v>20200216537</v>
      </c>
      <c r="B544" s="8" t="s">
        <v>84</v>
      </c>
      <c r="C544" s="8" t="s">
        <v>88</v>
      </c>
      <c r="D544" s="8" t="s">
        <v>34</v>
      </c>
      <c r="E544" s="8">
        <v>14</v>
      </c>
      <c r="F544" s="8" t="s">
        <v>13</v>
      </c>
      <c r="G544" s="8">
        <v>10</v>
      </c>
      <c r="H544" s="9">
        <v>79.94</v>
      </c>
      <c r="I544" s="10"/>
      <c r="J544" s="9">
        <v>79.94</v>
      </c>
    </row>
    <row r="545" customHeight="1" spans="1:10">
      <c r="A545" s="8" t="s">
        <v>89</v>
      </c>
      <c r="B545" s="8" t="s">
        <v>90</v>
      </c>
      <c r="C545" s="8" t="s">
        <v>91</v>
      </c>
      <c r="D545" s="8" t="s">
        <v>34</v>
      </c>
      <c r="E545" s="8">
        <v>14</v>
      </c>
      <c r="F545" s="8" t="s">
        <v>13</v>
      </c>
      <c r="G545" s="8">
        <v>11</v>
      </c>
      <c r="H545" s="9">
        <v>87.84</v>
      </c>
      <c r="I545" s="10"/>
      <c r="J545" s="9">
        <v>87.84</v>
      </c>
    </row>
    <row r="546" customHeight="1" spans="1:10">
      <c r="A546" s="8" t="s">
        <v>92</v>
      </c>
      <c r="B546" s="8" t="s">
        <v>90</v>
      </c>
      <c r="C546" s="8" t="s">
        <v>93</v>
      </c>
      <c r="D546" s="8" t="s">
        <v>34</v>
      </c>
      <c r="E546" s="8">
        <v>14</v>
      </c>
      <c r="F546" s="8" t="s">
        <v>13</v>
      </c>
      <c r="G546" s="8">
        <v>12</v>
      </c>
      <c r="H546" s="9">
        <v>86.62</v>
      </c>
      <c r="I546" s="10"/>
      <c r="J546" s="9">
        <v>86.62</v>
      </c>
    </row>
    <row r="547" customHeight="1" spans="1:10">
      <c r="A547" s="8" t="s">
        <v>94</v>
      </c>
      <c r="B547" s="8" t="s">
        <v>90</v>
      </c>
      <c r="C547" s="8" t="s">
        <v>95</v>
      </c>
      <c r="D547" s="8" t="s">
        <v>34</v>
      </c>
      <c r="E547" s="8">
        <v>14</v>
      </c>
      <c r="F547" s="8" t="s">
        <v>13</v>
      </c>
      <c r="G547" s="8">
        <v>13</v>
      </c>
      <c r="H547" s="9">
        <v>84.94</v>
      </c>
      <c r="I547" s="10"/>
      <c r="J547" s="9">
        <v>84.94</v>
      </c>
    </row>
    <row r="548" customHeight="1" spans="1:10">
      <c r="A548" s="8" t="s">
        <v>96</v>
      </c>
      <c r="B548" s="8" t="s">
        <v>90</v>
      </c>
      <c r="C548" s="8" t="s">
        <v>97</v>
      </c>
      <c r="D548" s="8" t="s">
        <v>34</v>
      </c>
      <c r="E548" s="8">
        <v>14</v>
      </c>
      <c r="F548" s="8" t="s">
        <v>13</v>
      </c>
      <c r="G548" s="8">
        <v>14</v>
      </c>
      <c r="H548" s="9">
        <v>73.32</v>
      </c>
      <c r="I548" s="10"/>
      <c r="J548" s="9">
        <v>73.32</v>
      </c>
    </row>
    <row r="549" customHeight="1" spans="1:10">
      <c r="A549" s="8" t="s">
        <v>98</v>
      </c>
      <c r="B549" s="8" t="s">
        <v>90</v>
      </c>
      <c r="C549" s="8" t="s">
        <v>99</v>
      </c>
      <c r="D549" s="8" t="s">
        <v>34</v>
      </c>
      <c r="E549" s="8">
        <v>14</v>
      </c>
      <c r="F549" s="8" t="s">
        <v>13</v>
      </c>
      <c r="G549" s="8">
        <v>15</v>
      </c>
      <c r="H549" s="9">
        <v>87.92</v>
      </c>
      <c r="I549" s="10"/>
      <c r="J549" s="9">
        <v>87.92</v>
      </c>
    </row>
    <row r="550" customHeight="1" spans="1:10">
      <c r="A550" s="8" t="str">
        <f>"20201010416"</f>
        <v>20201010416</v>
      </c>
      <c r="B550" s="8" t="s">
        <v>100</v>
      </c>
      <c r="C550" s="8" t="str">
        <f>"吴迪"</f>
        <v>吴迪</v>
      </c>
      <c r="D550" s="8" t="str">
        <f>"女"</f>
        <v>女</v>
      </c>
      <c r="E550" s="8">
        <v>15</v>
      </c>
      <c r="F550" s="8" t="s">
        <v>12</v>
      </c>
      <c r="G550" s="8">
        <v>1</v>
      </c>
      <c r="H550" s="9">
        <v>81.34</v>
      </c>
      <c r="I550" s="10"/>
      <c r="J550" s="9">
        <v>81.34</v>
      </c>
    </row>
    <row r="551" customHeight="1" spans="1:10">
      <c r="A551" s="8" t="str">
        <f>"20203011229"</f>
        <v>20203011229</v>
      </c>
      <c r="B551" s="8" t="s">
        <v>101</v>
      </c>
      <c r="C551" s="8" t="str">
        <f>"王祥伸"</f>
        <v>王祥伸</v>
      </c>
      <c r="D551" s="8" t="str">
        <f>"男"</f>
        <v>男</v>
      </c>
      <c r="E551" s="8">
        <v>15</v>
      </c>
      <c r="F551" s="8" t="s">
        <v>12</v>
      </c>
      <c r="G551" s="8">
        <v>2</v>
      </c>
      <c r="H551" s="9">
        <v>85.5</v>
      </c>
      <c r="I551" s="10"/>
      <c r="J551" s="9">
        <v>85.5</v>
      </c>
    </row>
    <row r="552" customHeight="1" spans="1:10">
      <c r="A552" s="8" t="str">
        <f>"20203011315"</f>
        <v>20203011315</v>
      </c>
      <c r="B552" s="8" t="s">
        <v>101</v>
      </c>
      <c r="C552" s="8" t="str">
        <f>"孟浩"</f>
        <v>孟浩</v>
      </c>
      <c r="D552" s="8" t="str">
        <f>"男"</f>
        <v>男</v>
      </c>
      <c r="E552" s="8">
        <v>15</v>
      </c>
      <c r="F552" s="8" t="s">
        <v>12</v>
      </c>
      <c r="G552" s="8">
        <v>3</v>
      </c>
      <c r="H552" s="9">
        <v>81.72</v>
      </c>
      <c r="I552" s="10"/>
      <c r="J552" s="9">
        <v>81.72</v>
      </c>
    </row>
    <row r="553" customHeight="1" spans="1:10">
      <c r="A553" s="8" t="str">
        <f>"20203011225"</f>
        <v>20203011225</v>
      </c>
      <c r="B553" s="8" t="s">
        <v>101</v>
      </c>
      <c r="C553" s="8" t="str">
        <f>"王萌"</f>
        <v>王萌</v>
      </c>
      <c r="D553" s="8" t="str">
        <f>"女"</f>
        <v>女</v>
      </c>
      <c r="E553" s="8">
        <v>15</v>
      </c>
      <c r="F553" s="8" t="s">
        <v>12</v>
      </c>
      <c r="G553" s="8">
        <v>4</v>
      </c>
      <c r="H553" s="9">
        <v>87.58</v>
      </c>
      <c r="I553" s="10"/>
      <c r="J553" s="9">
        <v>87.58</v>
      </c>
    </row>
    <row r="554" customHeight="1" spans="1:10">
      <c r="A554" s="8" t="str">
        <f>"20201010407"</f>
        <v>20201010407</v>
      </c>
      <c r="B554" s="8" t="s">
        <v>100</v>
      </c>
      <c r="C554" s="8" t="str">
        <f>"李婉婉"</f>
        <v>李婉婉</v>
      </c>
      <c r="D554" s="8" t="str">
        <f>"女"</f>
        <v>女</v>
      </c>
      <c r="E554" s="8">
        <v>15</v>
      </c>
      <c r="F554" s="8" t="s">
        <v>12</v>
      </c>
      <c r="G554" s="8">
        <v>5</v>
      </c>
      <c r="H554" s="9">
        <v>83.94</v>
      </c>
      <c r="I554" s="10"/>
      <c r="J554" s="9">
        <v>83.94</v>
      </c>
    </row>
    <row r="555" customHeight="1" spans="1:10">
      <c r="A555" s="8" t="str">
        <f>"20201010408"</f>
        <v>20201010408</v>
      </c>
      <c r="B555" s="8" t="s">
        <v>100</v>
      </c>
      <c r="C555" s="8" t="str">
        <f>"杨博"</f>
        <v>杨博</v>
      </c>
      <c r="D555" s="8" t="str">
        <f>"女"</f>
        <v>女</v>
      </c>
      <c r="E555" s="8">
        <v>15</v>
      </c>
      <c r="F555" s="8" t="s">
        <v>12</v>
      </c>
      <c r="G555" s="8">
        <v>6</v>
      </c>
      <c r="H555" s="9">
        <v>82.86</v>
      </c>
      <c r="I555" s="10"/>
      <c r="J555" s="9">
        <v>82.86</v>
      </c>
    </row>
    <row r="556" customHeight="1" spans="1:10">
      <c r="A556" s="8" t="str">
        <f>"20203011227"</f>
        <v>20203011227</v>
      </c>
      <c r="B556" s="8" t="s">
        <v>101</v>
      </c>
      <c r="C556" s="8" t="str">
        <f>"胡广奇"</f>
        <v>胡广奇</v>
      </c>
      <c r="D556" s="8" t="str">
        <f>"女"</f>
        <v>女</v>
      </c>
      <c r="E556" s="8">
        <v>15</v>
      </c>
      <c r="F556" s="8" t="s">
        <v>12</v>
      </c>
      <c r="G556" s="8">
        <v>7</v>
      </c>
      <c r="H556" s="9">
        <v>74.7</v>
      </c>
      <c r="I556" s="10"/>
      <c r="J556" s="9">
        <v>74.7</v>
      </c>
    </row>
    <row r="557" customHeight="1" spans="1:10">
      <c r="A557" s="8" t="str">
        <f>"20201010411"</f>
        <v>20201010411</v>
      </c>
      <c r="B557" s="8" t="s">
        <v>100</v>
      </c>
      <c r="C557" s="8" t="str">
        <f>"赵云丽 "</f>
        <v>赵云丽 </v>
      </c>
      <c r="D557" s="8" t="str">
        <f>"女"</f>
        <v>女</v>
      </c>
      <c r="E557" s="8">
        <v>15</v>
      </c>
      <c r="F557" s="8" t="s">
        <v>12</v>
      </c>
      <c r="G557" s="8">
        <v>8</v>
      </c>
      <c r="H557" s="9">
        <v>80.78</v>
      </c>
      <c r="I557" s="10"/>
      <c r="J557" s="9">
        <v>80.78</v>
      </c>
    </row>
    <row r="558" customHeight="1" spans="1:10">
      <c r="A558" s="8" t="s">
        <v>102</v>
      </c>
      <c r="B558" s="8" t="s">
        <v>103</v>
      </c>
      <c r="C558" s="8" t="s">
        <v>104</v>
      </c>
      <c r="D558" s="8" t="s">
        <v>42</v>
      </c>
      <c r="E558" s="8">
        <v>15</v>
      </c>
      <c r="F558" s="8" t="s">
        <v>12</v>
      </c>
      <c r="G558" s="8">
        <v>9</v>
      </c>
      <c r="H558" s="9">
        <v>84.22</v>
      </c>
      <c r="I558" s="10"/>
      <c r="J558" s="9">
        <v>84.22</v>
      </c>
    </row>
    <row r="559" customHeight="1" spans="1:10">
      <c r="A559" s="8" t="s">
        <v>105</v>
      </c>
      <c r="B559" s="8" t="s">
        <v>103</v>
      </c>
      <c r="C559" s="8" t="s">
        <v>106</v>
      </c>
      <c r="D559" s="8" t="s">
        <v>42</v>
      </c>
      <c r="E559" s="8">
        <v>15</v>
      </c>
      <c r="F559" s="8" t="s">
        <v>12</v>
      </c>
      <c r="G559" s="8">
        <v>10</v>
      </c>
      <c r="H559" s="9">
        <v>71.32</v>
      </c>
      <c r="I559" s="10"/>
      <c r="J559" s="9">
        <v>71.32</v>
      </c>
    </row>
    <row r="560" customHeight="1" spans="1:10">
      <c r="A560" s="8" t="s">
        <v>107</v>
      </c>
      <c r="B560" s="8" t="s">
        <v>103</v>
      </c>
      <c r="C560" s="8" t="s">
        <v>108</v>
      </c>
      <c r="D560" s="8" t="s">
        <v>34</v>
      </c>
      <c r="E560" s="8">
        <v>15</v>
      </c>
      <c r="F560" s="8" t="s">
        <v>12</v>
      </c>
      <c r="G560" s="8">
        <v>11</v>
      </c>
      <c r="H560" s="9">
        <v>78.3</v>
      </c>
      <c r="I560" s="10"/>
      <c r="J560" s="9">
        <v>78.3</v>
      </c>
    </row>
    <row r="561" customHeight="1" spans="1:10">
      <c r="A561" s="8" t="s">
        <v>109</v>
      </c>
      <c r="B561" s="8" t="s">
        <v>103</v>
      </c>
      <c r="C561" s="8" t="s">
        <v>110</v>
      </c>
      <c r="D561" s="8" t="s">
        <v>42</v>
      </c>
      <c r="E561" s="8">
        <v>15</v>
      </c>
      <c r="F561" s="8" t="s">
        <v>12</v>
      </c>
      <c r="G561" s="8">
        <v>12</v>
      </c>
      <c r="H561" s="9">
        <v>84.5</v>
      </c>
      <c r="I561" s="10"/>
      <c r="J561" s="9">
        <v>84.5</v>
      </c>
    </row>
    <row r="562" customHeight="1" spans="1:10">
      <c r="A562" s="8" t="s">
        <v>111</v>
      </c>
      <c r="B562" s="8" t="s">
        <v>103</v>
      </c>
      <c r="C562" s="8" t="s">
        <v>112</v>
      </c>
      <c r="D562" s="8" t="s">
        <v>34</v>
      </c>
      <c r="E562" s="8">
        <v>15</v>
      </c>
      <c r="F562" s="8" t="s">
        <v>12</v>
      </c>
      <c r="G562" s="8">
        <v>13</v>
      </c>
      <c r="H562" s="9">
        <v>76.08</v>
      </c>
      <c r="I562" s="10"/>
      <c r="J562" s="9">
        <v>76.08</v>
      </c>
    </row>
    <row r="563" customHeight="1" spans="1:10">
      <c r="A563" s="8" t="s">
        <v>113</v>
      </c>
      <c r="B563" s="8" t="s">
        <v>103</v>
      </c>
      <c r="C563" s="8" t="s">
        <v>114</v>
      </c>
      <c r="D563" s="8" t="s">
        <v>42</v>
      </c>
      <c r="E563" s="8">
        <v>15</v>
      </c>
      <c r="F563" s="8" t="s">
        <v>12</v>
      </c>
      <c r="G563" s="8">
        <v>14</v>
      </c>
      <c r="H563" s="9">
        <v>81</v>
      </c>
      <c r="I563" s="10"/>
      <c r="J563" s="9">
        <v>81</v>
      </c>
    </row>
    <row r="564" customHeight="1" spans="1:10">
      <c r="A564" s="8" t="str">
        <f>"20201210423"</f>
        <v>20201210423</v>
      </c>
      <c r="B564" s="8" t="s">
        <v>115</v>
      </c>
      <c r="C564" s="8" t="str">
        <f>"牛晓锐"</f>
        <v>牛晓锐</v>
      </c>
      <c r="D564" s="8" t="str">
        <f t="shared" ref="D564:D576" si="28">"女"</f>
        <v>女</v>
      </c>
      <c r="E564" s="8">
        <v>15</v>
      </c>
      <c r="F564" s="8" t="s">
        <v>13</v>
      </c>
      <c r="G564" s="8">
        <v>1</v>
      </c>
      <c r="H564" s="9">
        <v>83.06</v>
      </c>
      <c r="I564" s="10"/>
      <c r="J564" s="9">
        <v>83.06</v>
      </c>
    </row>
    <row r="565" customHeight="1" spans="1:10">
      <c r="A565" s="8" t="str">
        <f>"20201210504"</f>
        <v>20201210504</v>
      </c>
      <c r="B565" s="8" t="s">
        <v>115</v>
      </c>
      <c r="C565" s="8" t="str">
        <f>"申影"</f>
        <v>申影</v>
      </c>
      <c r="D565" s="8" t="str">
        <f t="shared" si="28"/>
        <v>女</v>
      </c>
      <c r="E565" s="8">
        <v>15</v>
      </c>
      <c r="F565" s="8" t="s">
        <v>13</v>
      </c>
      <c r="G565" s="8">
        <v>2</v>
      </c>
      <c r="H565" s="9">
        <v>82.3</v>
      </c>
      <c r="I565" s="10"/>
      <c r="J565" s="9">
        <v>82.3</v>
      </c>
    </row>
    <row r="566" customHeight="1" spans="1:10">
      <c r="A566" s="8" t="str">
        <f>"20201210511"</f>
        <v>20201210511</v>
      </c>
      <c r="B566" s="8" t="s">
        <v>115</v>
      </c>
      <c r="C566" s="8" t="str">
        <f>"李贤"</f>
        <v>李贤</v>
      </c>
      <c r="D566" s="8" t="str">
        <f t="shared" si="28"/>
        <v>女</v>
      </c>
      <c r="E566" s="8">
        <v>15</v>
      </c>
      <c r="F566" s="8" t="s">
        <v>13</v>
      </c>
      <c r="G566" s="8">
        <v>3</v>
      </c>
      <c r="H566" s="9">
        <v>77.78</v>
      </c>
      <c r="I566" s="10"/>
      <c r="J566" s="9">
        <v>77.78</v>
      </c>
    </row>
    <row r="567" customHeight="1" spans="1:10">
      <c r="A567" s="8" t="str">
        <f>"20201210505"</f>
        <v>20201210505</v>
      </c>
      <c r="B567" s="8" t="s">
        <v>115</v>
      </c>
      <c r="C567" s="8" t="str">
        <f>"李昂"</f>
        <v>李昂</v>
      </c>
      <c r="D567" s="8" t="str">
        <f t="shared" si="28"/>
        <v>女</v>
      </c>
      <c r="E567" s="8">
        <v>15</v>
      </c>
      <c r="F567" s="8" t="s">
        <v>13</v>
      </c>
      <c r="G567" s="8">
        <v>4</v>
      </c>
      <c r="H567" s="9">
        <v>83.24</v>
      </c>
      <c r="I567" s="10"/>
      <c r="J567" s="9">
        <v>83.24</v>
      </c>
    </row>
    <row r="568" customHeight="1" spans="1:10">
      <c r="A568" s="8" t="str">
        <f>"20201210424"</f>
        <v>20201210424</v>
      </c>
      <c r="B568" s="8" t="s">
        <v>115</v>
      </c>
      <c r="C568" s="8" t="str">
        <f>"彭胡弯"</f>
        <v>彭胡弯</v>
      </c>
      <c r="D568" s="8" t="str">
        <f t="shared" si="28"/>
        <v>女</v>
      </c>
      <c r="E568" s="8">
        <v>15</v>
      </c>
      <c r="F568" s="8" t="s">
        <v>13</v>
      </c>
      <c r="G568" s="8">
        <v>5</v>
      </c>
      <c r="H568" s="9">
        <v>86.46</v>
      </c>
      <c r="I568" s="10"/>
      <c r="J568" s="9">
        <v>86.46</v>
      </c>
    </row>
    <row r="569" customHeight="1" spans="1:10">
      <c r="A569" s="8" t="str">
        <f>"20203211510"</f>
        <v>20203211510</v>
      </c>
      <c r="B569" s="8" t="s">
        <v>116</v>
      </c>
      <c r="C569" s="8" t="str">
        <f>"李荣融"</f>
        <v>李荣融</v>
      </c>
      <c r="D569" s="8" t="str">
        <f t="shared" si="28"/>
        <v>女</v>
      </c>
      <c r="E569" s="8">
        <v>15</v>
      </c>
      <c r="F569" s="8" t="s">
        <v>13</v>
      </c>
      <c r="G569" s="8">
        <v>6</v>
      </c>
      <c r="H569" s="9">
        <v>75.08</v>
      </c>
      <c r="I569" s="10"/>
      <c r="J569" s="9">
        <v>75.08</v>
      </c>
    </row>
    <row r="570" customHeight="1" spans="1:10">
      <c r="A570" s="8" t="str">
        <f>"20203211515"</f>
        <v>20203211515</v>
      </c>
      <c r="B570" s="8" t="s">
        <v>116</v>
      </c>
      <c r="C570" s="8" t="str">
        <f>"姚娜"</f>
        <v>姚娜</v>
      </c>
      <c r="D570" s="8" t="str">
        <f t="shared" si="28"/>
        <v>女</v>
      </c>
      <c r="E570" s="8">
        <v>15</v>
      </c>
      <c r="F570" s="8" t="s">
        <v>13</v>
      </c>
      <c r="G570" s="8">
        <v>7</v>
      </c>
      <c r="H570" s="9">
        <v>87.22</v>
      </c>
      <c r="I570" s="10"/>
      <c r="J570" s="9">
        <v>87.22</v>
      </c>
    </row>
    <row r="571" customHeight="1" spans="1:10">
      <c r="A571" s="8" t="str">
        <f>"20203211503"</f>
        <v>20203211503</v>
      </c>
      <c r="B571" s="8" t="s">
        <v>116</v>
      </c>
      <c r="C571" s="8" t="str">
        <f>"刘丽君"</f>
        <v>刘丽君</v>
      </c>
      <c r="D571" s="8" t="str">
        <f t="shared" si="28"/>
        <v>女</v>
      </c>
      <c r="E571" s="8">
        <v>15</v>
      </c>
      <c r="F571" s="8" t="s">
        <v>13</v>
      </c>
      <c r="G571" s="8">
        <v>9</v>
      </c>
      <c r="H571" s="9">
        <v>75.9</v>
      </c>
      <c r="I571" s="10"/>
      <c r="J571" s="9">
        <v>75.9</v>
      </c>
    </row>
    <row r="572" customHeight="1" spans="1:10">
      <c r="A572" s="8" t="str">
        <f>"20203211508"</f>
        <v>20203211508</v>
      </c>
      <c r="B572" s="8" t="s">
        <v>116</v>
      </c>
      <c r="C572" s="8" t="str">
        <f>"黄亚男"</f>
        <v>黄亚男</v>
      </c>
      <c r="D572" s="8" t="str">
        <f t="shared" si="28"/>
        <v>女</v>
      </c>
      <c r="E572" s="8">
        <v>15</v>
      </c>
      <c r="F572" s="8" t="s">
        <v>13</v>
      </c>
      <c r="G572" s="8">
        <v>10</v>
      </c>
      <c r="H572" s="9">
        <v>78.84</v>
      </c>
      <c r="I572" s="10"/>
      <c r="J572" s="9">
        <v>78.84</v>
      </c>
    </row>
    <row r="573" customHeight="1" spans="1:10">
      <c r="A573" s="8" t="str">
        <f>"20201210426"</f>
        <v>20201210426</v>
      </c>
      <c r="B573" s="8" t="s">
        <v>115</v>
      </c>
      <c r="C573" s="8" t="str">
        <f>"李晶"</f>
        <v>李晶</v>
      </c>
      <c r="D573" s="8" t="str">
        <f t="shared" si="28"/>
        <v>女</v>
      </c>
      <c r="E573" s="8">
        <v>15</v>
      </c>
      <c r="F573" s="8" t="s">
        <v>13</v>
      </c>
      <c r="G573" s="8">
        <v>11</v>
      </c>
      <c r="H573" s="9">
        <v>78.52</v>
      </c>
      <c r="I573" s="10"/>
      <c r="J573" s="9">
        <v>78.52</v>
      </c>
    </row>
    <row r="574" customHeight="1" spans="1:10">
      <c r="A574" s="8" t="str">
        <f>"20201210507"</f>
        <v>20201210507</v>
      </c>
      <c r="B574" s="8" t="s">
        <v>115</v>
      </c>
      <c r="C574" s="8" t="str">
        <f>"冯韵淅"</f>
        <v>冯韵淅</v>
      </c>
      <c r="D574" s="8" t="str">
        <f t="shared" si="28"/>
        <v>女</v>
      </c>
      <c r="E574" s="8">
        <v>15</v>
      </c>
      <c r="F574" s="8" t="s">
        <v>13</v>
      </c>
      <c r="G574" s="8">
        <v>12</v>
      </c>
      <c r="H574" s="9">
        <v>86.66</v>
      </c>
      <c r="I574" s="10"/>
      <c r="J574" s="9">
        <v>86.66</v>
      </c>
    </row>
    <row r="575" customHeight="1" spans="1:10">
      <c r="A575" s="8" t="str">
        <f>"20203211514"</f>
        <v>20203211514</v>
      </c>
      <c r="B575" s="8" t="s">
        <v>116</v>
      </c>
      <c r="C575" s="8" t="str">
        <f>"张乾"</f>
        <v>张乾</v>
      </c>
      <c r="D575" s="8" t="str">
        <f t="shared" si="28"/>
        <v>女</v>
      </c>
      <c r="E575" s="8">
        <v>15</v>
      </c>
      <c r="F575" s="8" t="s">
        <v>13</v>
      </c>
      <c r="G575" s="8">
        <v>13</v>
      </c>
      <c r="H575" s="9">
        <v>81.06</v>
      </c>
      <c r="I575" s="10"/>
      <c r="J575" s="9">
        <v>81.06</v>
      </c>
    </row>
    <row r="576" customHeight="1" spans="1:10">
      <c r="A576" s="8">
        <v>20200216533</v>
      </c>
      <c r="B576" s="14" t="s">
        <v>117</v>
      </c>
      <c r="C576" s="14" t="str">
        <f>"范海英"</f>
        <v>范海英</v>
      </c>
      <c r="D576" s="14" t="str">
        <f t="shared" si="28"/>
        <v>女</v>
      </c>
      <c r="E576" s="14" t="s">
        <v>118</v>
      </c>
      <c r="F576" s="14" t="s">
        <v>12</v>
      </c>
      <c r="G576" s="8"/>
      <c r="H576" s="9"/>
      <c r="I576" s="10"/>
      <c r="J576" s="9" t="s">
        <v>119</v>
      </c>
    </row>
    <row r="577" customHeight="1" spans="1:10">
      <c r="A577" s="8">
        <v>20200216534</v>
      </c>
      <c r="B577" s="14" t="s">
        <v>117</v>
      </c>
      <c r="C577" s="14" t="str">
        <f>"王翔宇"</f>
        <v>王翔宇</v>
      </c>
      <c r="D577" s="14" t="str">
        <f>"男"</f>
        <v>男</v>
      </c>
      <c r="E577" s="14" t="s">
        <v>118</v>
      </c>
      <c r="F577" s="14" t="s">
        <v>12</v>
      </c>
      <c r="G577" s="8"/>
      <c r="H577" s="9"/>
      <c r="I577" s="10"/>
      <c r="J577" s="9" t="s">
        <v>119</v>
      </c>
    </row>
  </sheetData>
  <sortState ref="A2:K565">
    <sortCondition ref="E2:E565"/>
    <sortCondition ref="F2:F565"/>
    <sortCondition ref="G2:G565"/>
  </sortState>
  <mergeCells count="1">
    <mergeCell ref="A1:J1"/>
  </mergeCells>
  <printOptions horizontalCentered="1"/>
  <pageMargins left="0.700694444444445" right="0.700694444444445" top="0.161111111111111" bottom="0" header="0.298611111111111" footer="0.298611111111111"/>
  <pageSetup paperSize="9" orientation="portrait" horizontalDpi="600" verticalDpi="1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2020-08-07T12:10:00Z</dcterms:created>
  <dcterms:modified xsi:type="dcterms:W3CDTF">2020-08-23T07:51:51Z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